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7" sheetId="9" r:id="rId18"/>
    <sheet name="成本法" sheetId="68" state="hidden" r:id="rId19"/>
    <sheet name="假设开发法" sheetId="12" state="hidden" r:id="rId20"/>
    <sheet name="收益法" sheetId="15" state="hidden" r:id="rId21"/>
    <sheet name="比较法-307" sheetId="34" r:id="rId22"/>
    <sheet name="案例" sheetId="80" r:id="rId23"/>
    <sheet name="收益法-307"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r:id="rId35"/>
    <sheet name="基准地价修正" sheetId="43" r:id="rId36"/>
    <sheet name="结果表-505" sheetId="89" r:id="rId37"/>
    <sheet name="比较法-505" sheetId="81" r:id="rId38"/>
    <sheet name="收益法-505" sheetId="85" r:id="rId39"/>
    <sheet name="结果表-905" sheetId="90" r:id="rId40"/>
    <sheet name="比较法-905" sheetId="82" r:id="rId41"/>
    <sheet name="收益法-905" sheetId="86" r:id="rId42"/>
    <sheet name="结果表-911" sheetId="91" r:id="rId43"/>
    <sheet name="比较法-911" sheetId="83" r:id="rId44"/>
    <sheet name="收益法-911" sheetId="87" r:id="rId45"/>
    <sheet name="结果表-1012" sheetId="92" r:id="rId46"/>
    <sheet name="比较法-1012" sheetId="84" r:id="rId47"/>
    <sheet name="收益法-1012" sheetId="88" r:id="rId48"/>
    <sheet name="典型户型修正" sheetId="31"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6" hidden="1">'比较法-1012'!$A$1:$L$50</definedName>
    <definedName name="_xlnm._FilterDatabase" localSheetId="21" hidden="1">'比较法-307'!$A$1:$L$50</definedName>
    <definedName name="_xlnm._FilterDatabase" localSheetId="37" hidden="1">'比较法-505'!$A$1:$L$50</definedName>
    <definedName name="_xlnm._FilterDatabase" localSheetId="40" hidden="1">'比较法-905'!$A$1:$L$50</definedName>
    <definedName name="_xlnm._FilterDatabase" localSheetId="43" hidden="1">'比较法-911'!$A$1:$L$50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6">'比较法-1012'!$A$1:$K$55,'比较法-1012'!$A$58:$M$132</definedName>
    <definedName name="_xlnm.Print_Area" localSheetId="21">'比较法-307'!$A$1:$K$55,'比较法-307'!$A$58:$M$132</definedName>
    <definedName name="_xlnm.Print_Area" localSheetId="37">'比较法-505'!$A$1:$K$55,'比较法-505'!$A$58:$M$132</definedName>
    <definedName name="_xlnm.Print_Area" localSheetId="40">'比较法-905'!$A$1:$K$55,'比较法-905'!$A$58:$M$132</definedName>
    <definedName name="_xlnm.Print_Area" localSheetId="43">'比较法-911'!$A$1:$K$55,'比较法-911'!$A$58:$M$132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45">'结果表-1012'!$A$1:$I$127</definedName>
    <definedName name="_xlnm.Print_Area" localSheetId="17">'结果表-307'!$A$1:$I$127</definedName>
    <definedName name="_xlnm.Print_Area" localSheetId="36">'结果表-505'!$A$1:$I$127</definedName>
    <definedName name="_xlnm.Print_Area" localSheetId="39">'结果表-905'!$A$1:$I$127</definedName>
    <definedName name="_xlnm.Print_Area" localSheetId="42">'结果表-911'!$A$1:$I$127</definedName>
    <definedName name="_xlnm.Print_Area" localSheetId="20">收益法!$A$1:$F$43,收益法!$H$3:$M$29,收益法!$A$46:$F$71,收益法!$I$46:$N$65</definedName>
    <definedName name="_xlnm.Print_Area" localSheetId="25">'收益法（汇总）'!$A$1:$F$13</definedName>
    <definedName name="_xlnm.Print_Area" localSheetId="47">'收益法-1012'!$A$1:$F$43,'收益法-1012'!$H$3:$M$29,'收益法-1012'!$A$45:$F$71,'收益法-1012'!$I$46:$N$65</definedName>
    <definedName name="_xlnm.Print_Area" localSheetId="23">'收益法-307'!$A$1:$F$43,'收益法-307'!$H$3:$M$29,'收益法-307'!$A$45:$F$71,'收益法-307'!$I$46:$N$65</definedName>
    <definedName name="_xlnm.Print_Area" localSheetId="38">'收益法-505'!$A$1:$F$43,'收益法-505'!$H$3:$M$29,'收益法-505'!$A$45:$F$71,'收益法-505'!$I$46:$N$65</definedName>
    <definedName name="_xlnm.Print_Area" localSheetId="41">'收益法-905'!$A$1:$F$43,'收益法-905'!$H$3:$M$29,'收益法-905'!$A$45:$F$71,'收益法-905'!$I$46:$N$65</definedName>
    <definedName name="_xlnm.Print_Area" localSheetId="44">'收益法-911'!$A$1:$F$43,'收益法-911'!$H$3:$M$29,'收益法-911'!$A$45:$F$71,'收益法-911'!$I$46:$N$65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'比较法-1012'!$B$119:$M$119</definedName>
    <definedName name="办公层高" localSheetId="37">'比较法-505'!$B$119:$M$119</definedName>
    <definedName name="办公层高" localSheetId="40">'比较法-905'!$B$119:$M$119</definedName>
    <definedName name="办公层高" localSheetId="43">'比较法-911'!$B$119:$M$119</definedName>
    <definedName name="办公层高">'比较法-307'!$B$119:$M$119</definedName>
    <definedName name="办公朝向" localSheetId="46">'比较法-1012'!$B$91:$M$91</definedName>
    <definedName name="办公朝向" localSheetId="37">'比较法-505'!$B$91:$M$91</definedName>
    <definedName name="办公朝向" localSheetId="40">'比较法-905'!$B$91:$M$91</definedName>
    <definedName name="办公朝向" localSheetId="43">'比较法-911'!$B$91:$M$91</definedName>
    <definedName name="办公朝向">'比较法-307'!$B$91:$M$91</definedName>
    <definedName name="办公道路级别" localSheetId="46">'比较法-1012'!$B$87:$M$87</definedName>
    <definedName name="办公道路级别" localSheetId="37">'比较法-505'!$B$87:$M$87</definedName>
    <definedName name="办公道路级别" localSheetId="40">'比较法-905'!$B$87:$M$87</definedName>
    <definedName name="办公道路级别" localSheetId="43">'比较法-911'!$B$87:$M$87</definedName>
    <definedName name="办公道路级别">'比较法-307'!$B$87:$M$87</definedName>
    <definedName name="办公公共部分装修" localSheetId="46">'比较法-1012'!$B$108:$M$108</definedName>
    <definedName name="办公公共部分装修" localSheetId="37">'比较法-505'!$B$108:$M$108</definedName>
    <definedName name="办公公共部分装修" localSheetId="40">'比较法-905'!$B$108:$M$108</definedName>
    <definedName name="办公公共部分装修" localSheetId="43">'比较法-911'!$B$108:$M$108</definedName>
    <definedName name="办公公共部分装修">'比较法-307'!$B$108:$M$108</definedName>
    <definedName name="办公基础设施水平" localSheetId="46">'比较法-1012'!$B$117:$M$117</definedName>
    <definedName name="办公基础设施水平" localSheetId="37">'比较法-505'!$B$117:$M$117</definedName>
    <definedName name="办公基础设施水平" localSheetId="40">'比较法-905'!$B$117:$M$117</definedName>
    <definedName name="办公基础设施水平" localSheetId="43">'比较法-911'!$B$117:$M$117</definedName>
    <definedName name="办公基础设施水平">'比较法-307'!$B$117:$M$117</definedName>
    <definedName name="办公集聚程度">定义!$M$1:$M$6</definedName>
    <definedName name="办公建筑结构" localSheetId="46">'比较法-1012'!$B$106:$M$106</definedName>
    <definedName name="办公建筑结构" localSheetId="37">'比较法-505'!$B$106:$M$106</definedName>
    <definedName name="办公建筑结构" localSheetId="40">'比较法-905'!$B$106:$M$106</definedName>
    <definedName name="办公建筑结构" localSheetId="43">'比较法-911'!$B$106:$M$106</definedName>
    <definedName name="办公建筑结构">'比较法-307'!$B$106:$M$106</definedName>
    <definedName name="办公建筑类型" localSheetId="46">'比较法-1012'!$B$101:$M$101</definedName>
    <definedName name="办公建筑类型" localSheetId="37">'比较法-505'!$B$101:$M$101</definedName>
    <definedName name="办公建筑类型" localSheetId="40">'比较法-905'!$B$101:$M$101</definedName>
    <definedName name="办公建筑类型" localSheetId="43">'比较法-911'!$B$101:$M$101</definedName>
    <definedName name="办公建筑类型">'比较法-307'!$B$101:$M$101</definedName>
    <definedName name="办公交易情况" localSheetId="46">'比较法-1012'!$A$62:$M$62</definedName>
    <definedName name="办公交易情况" localSheetId="37">'比较法-505'!$A$62:$M$62</definedName>
    <definedName name="办公交易情况" localSheetId="40">'比较法-905'!$A$62:$M$62</definedName>
    <definedName name="办公交易情况" localSheetId="43">'比较法-911'!$A$62:$M$62</definedName>
    <definedName name="办公交易情况">'比较法-307'!$A$62:$M$62</definedName>
    <definedName name="办公楼层" localSheetId="46">'比较法-1012'!$B$89:$M$89</definedName>
    <definedName name="办公楼层" localSheetId="37">'比较法-505'!$B$89:$M$89</definedName>
    <definedName name="办公楼层" localSheetId="40">'比较法-905'!$B$89:$M$89</definedName>
    <definedName name="办公楼层" localSheetId="43">'比较法-911'!$B$89:$M$89</definedName>
    <definedName name="办公楼层">'比较法-307'!$B$89:$M$89</definedName>
    <definedName name="办公内部装修" localSheetId="46">'比较法-1012'!$B$123:$M$123</definedName>
    <definedName name="办公内部装修" localSheetId="37">'比较法-505'!$B$123:$M$123</definedName>
    <definedName name="办公内部装修" localSheetId="40">'比较法-905'!$B$123:$M$123</definedName>
    <definedName name="办公内部装修" localSheetId="43">'比较法-911'!$B$123:$M$123</definedName>
    <definedName name="办公内部装修">'比较法-307'!$B$123:$M$123</definedName>
    <definedName name="办公物业管理" localSheetId="46">'比较法-1012'!$B$115:$M$115</definedName>
    <definedName name="办公物业管理" localSheetId="37">'比较法-505'!$B$115:$M$115</definedName>
    <definedName name="办公物业管理" localSheetId="40">'比较法-905'!$B$115:$M$115</definedName>
    <definedName name="办公物业管理" localSheetId="43">'比较法-911'!$B$115:$M$115</definedName>
    <definedName name="办公物业管理">'比较法-307'!$B$115:$M$115</definedName>
    <definedName name="办公用途" localSheetId="46">'比较法-1012'!$B$64:$M$64</definedName>
    <definedName name="办公用途" localSheetId="37">'比较法-505'!$B$64:$M$64</definedName>
    <definedName name="办公用途" localSheetId="40">'比较法-905'!$B$64:$M$64</definedName>
    <definedName name="办公用途" localSheetId="43">'比较法-911'!$B$64:$M$64</definedName>
    <definedName name="办公用途">'比较法-307'!$B$64:$M$64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'比较法-1012'!$B$113:$M$113</definedName>
    <definedName name="写字楼等级" localSheetId="37">'比较法-505'!$B$113:$M$113</definedName>
    <definedName name="写字楼等级" localSheetId="40">'比较法-905'!$B$113:$M$113</definedName>
    <definedName name="写字楼等级" localSheetId="43">'比较法-911'!$B$113:$M$113</definedName>
    <definedName name="写字楼等级">'比较法-307'!$B$113:$M$113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10" i="1" l="1"/>
  <c r="U9" i="1"/>
  <c r="L10" i="1"/>
  <c r="L9" i="1"/>
  <c r="L8" i="1"/>
  <c r="L7" i="1"/>
  <c r="C34" i="84" l="1"/>
  <c r="C34" i="83"/>
  <c r="C34" i="82"/>
  <c r="C34" i="81"/>
  <c r="B14" i="74"/>
  <c r="B35" i="74"/>
  <c r="G29" i="74"/>
  <c r="E29" i="74"/>
  <c r="D29" i="74"/>
  <c r="B29" i="74"/>
  <c r="A29" i="74"/>
  <c r="B34" i="74"/>
  <c r="B33" i="74"/>
  <c r="B32" i="74"/>
  <c r="B31" i="74"/>
  <c r="B30" i="74"/>
  <c r="A120" i="92"/>
  <c r="A118" i="92"/>
  <c r="E111" i="92"/>
  <c r="H112" i="92" s="1"/>
  <c r="E109" i="92"/>
  <c r="A124" i="92" s="1"/>
  <c r="E107" i="92"/>
  <c r="A122" i="92" s="1"/>
  <c r="H106" i="92"/>
  <c r="H105" i="92"/>
  <c r="H104" i="92"/>
  <c r="H103" i="92"/>
  <c r="D120" i="92" s="1"/>
  <c r="D101" i="92"/>
  <c r="C101" i="92"/>
  <c r="D93" i="92"/>
  <c r="C91" i="92"/>
  <c r="E90" i="92"/>
  <c r="D89" i="92"/>
  <c r="C89" i="92"/>
  <c r="C87" i="92"/>
  <c r="C92" i="92" s="1"/>
  <c r="D78" i="92"/>
  <c r="H77" i="92"/>
  <c r="D77" i="92"/>
  <c r="C77" i="92"/>
  <c r="C74" i="92" s="1"/>
  <c r="C76" i="92"/>
  <c r="D68" i="92"/>
  <c r="F59" i="92"/>
  <c r="E59" i="92"/>
  <c r="N56" i="92"/>
  <c r="M56" i="92"/>
  <c r="K56" i="92"/>
  <c r="J56" i="92"/>
  <c r="F56" i="92"/>
  <c r="O55" i="92"/>
  <c r="N55" i="92"/>
  <c r="K55" i="92"/>
  <c r="J55" i="92"/>
  <c r="J57" i="92" s="1"/>
  <c r="J59" i="92" s="1"/>
  <c r="J61" i="92" s="1"/>
  <c r="I55" i="92"/>
  <c r="F55" i="92"/>
  <c r="O54" i="92"/>
  <c r="N54" i="92"/>
  <c r="F54" i="92"/>
  <c r="O53" i="92"/>
  <c r="N53" i="92"/>
  <c r="F53" i="92"/>
  <c r="F52" i="92"/>
  <c r="K49" i="92"/>
  <c r="F48" i="92"/>
  <c r="O52" i="92" s="1"/>
  <c r="E48" i="92"/>
  <c r="N52" i="92" s="1"/>
  <c r="D48" i="92"/>
  <c r="M52" i="92" s="1"/>
  <c r="M47" i="92"/>
  <c r="F33" i="92"/>
  <c r="D27" i="92"/>
  <c r="C25" i="92"/>
  <c r="C24" i="92"/>
  <c r="M19" i="92"/>
  <c r="C118" i="92" s="1"/>
  <c r="L19" i="92"/>
  <c r="M18" i="92"/>
  <c r="B118" i="92" s="1"/>
  <c r="L18" i="92"/>
  <c r="D17" i="92"/>
  <c r="C17" i="92"/>
  <c r="C18" i="92" s="1"/>
  <c r="D18" i="92" s="1"/>
  <c r="D14" i="92"/>
  <c r="L4" i="92"/>
  <c r="K4" i="92"/>
  <c r="A2" i="92"/>
  <c r="H1" i="92"/>
  <c r="A120" i="91"/>
  <c r="A118" i="91"/>
  <c r="E111" i="91"/>
  <c r="H112" i="91" s="1"/>
  <c r="E109" i="91"/>
  <c r="A124" i="91" s="1"/>
  <c r="E107" i="91"/>
  <c r="A122" i="91" s="1"/>
  <c r="H106" i="91"/>
  <c r="H105" i="91"/>
  <c r="H104" i="91"/>
  <c r="H103" i="91"/>
  <c r="D120" i="91" s="1"/>
  <c r="D101" i="91"/>
  <c r="C101" i="91"/>
  <c r="D93" i="91"/>
  <c r="C91" i="91"/>
  <c r="E90" i="91"/>
  <c r="D89" i="91"/>
  <c r="C89" i="91"/>
  <c r="C87" i="91" s="1"/>
  <c r="D78" i="91"/>
  <c r="H77" i="91"/>
  <c r="D77" i="91"/>
  <c r="C77" i="91" s="1"/>
  <c r="C74" i="91" s="1"/>
  <c r="C76" i="91"/>
  <c r="D68" i="91"/>
  <c r="F59" i="91"/>
  <c r="E59" i="91"/>
  <c r="N55" i="91" s="1"/>
  <c r="N56" i="91"/>
  <c r="M56" i="91"/>
  <c r="K56" i="91"/>
  <c r="J56" i="91"/>
  <c r="F56" i="91"/>
  <c r="O55" i="91"/>
  <c r="K55" i="91"/>
  <c r="J55" i="91"/>
  <c r="J57" i="91" s="1"/>
  <c r="J59" i="91" s="1"/>
  <c r="J61" i="91" s="1"/>
  <c r="I55" i="91"/>
  <c r="F55" i="91"/>
  <c r="O53" i="91" s="1"/>
  <c r="O54" i="91"/>
  <c r="N54" i="91"/>
  <c r="F54" i="91"/>
  <c r="N53" i="91"/>
  <c r="F53" i="91"/>
  <c r="F52" i="91"/>
  <c r="K49" i="91"/>
  <c r="F48" i="91"/>
  <c r="O52" i="91" s="1"/>
  <c r="E48" i="91"/>
  <c r="N52" i="91" s="1"/>
  <c r="D48" i="91"/>
  <c r="M52" i="91" s="1"/>
  <c r="M47" i="91"/>
  <c r="F33" i="91"/>
  <c r="D27" i="91"/>
  <c r="C25" i="91"/>
  <c r="C24" i="91"/>
  <c r="M19" i="91"/>
  <c r="C118" i="91" s="1"/>
  <c r="L19" i="91"/>
  <c r="M18" i="91"/>
  <c r="B118" i="91" s="1"/>
  <c r="L18" i="91"/>
  <c r="D17" i="91"/>
  <c r="C17" i="91"/>
  <c r="C18" i="91" s="1"/>
  <c r="D18" i="91" s="1"/>
  <c r="D14" i="91"/>
  <c r="L4" i="91"/>
  <c r="K4" i="91"/>
  <c r="A2" i="91"/>
  <c r="H1" i="91"/>
  <c r="A120" i="90"/>
  <c r="A118" i="90"/>
  <c r="E111" i="90"/>
  <c r="H112" i="90" s="1"/>
  <c r="E109" i="90"/>
  <c r="A124" i="90" s="1"/>
  <c r="E107" i="90"/>
  <c r="A122" i="90" s="1"/>
  <c r="H106" i="90"/>
  <c r="H105" i="90"/>
  <c r="H104" i="90"/>
  <c r="H103" i="90"/>
  <c r="D120" i="90" s="1"/>
  <c r="D101" i="90"/>
  <c r="C101" i="90"/>
  <c r="D93" i="90"/>
  <c r="C91" i="90"/>
  <c r="E90" i="90"/>
  <c r="D89" i="90"/>
  <c r="C89" i="90"/>
  <c r="C87" i="90" s="1"/>
  <c r="D78" i="90"/>
  <c r="H77" i="90"/>
  <c r="D77" i="90"/>
  <c r="C77" i="90" s="1"/>
  <c r="C74" i="90" s="1"/>
  <c r="C76" i="90"/>
  <c r="D68" i="90"/>
  <c r="F59" i="90"/>
  <c r="E59" i="90"/>
  <c r="N55" i="90" s="1"/>
  <c r="N56" i="90"/>
  <c r="M56" i="90"/>
  <c r="K56" i="90"/>
  <c r="J56" i="90"/>
  <c r="F56" i="90"/>
  <c r="O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9" i="90"/>
  <c r="C118" i="90" s="1"/>
  <c r="L19" i="90"/>
  <c r="M18" i="90"/>
  <c r="B118" i="90" s="1"/>
  <c r="L18" i="90"/>
  <c r="D17" i="90"/>
  <c r="C17" i="90"/>
  <c r="C18" i="90" s="1"/>
  <c r="D18" i="90" s="1"/>
  <c r="D14" i="90"/>
  <c r="L4" i="90"/>
  <c r="K4" i="90"/>
  <c r="A2" i="90"/>
  <c r="H1" i="90"/>
  <c r="A120" i="89"/>
  <c r="A118" i="89"/>
  <c r="E111" i="89"/>
  <c r="H112" i="89" s="1"/>
  <c r="E109" i="89"/>
  <c r="A124" i="89" s="1"/>
  <c r="E107" i="89"/>
  <c r="A122" i="89" s="1"/>
  <c r="H106" i="89"/>
  <c r="H105" i="89"/>
  <c r="H104" i="89"/>
  <c r="H103" i="89"/>
  <c r="D120" i="89" s="1"/>
  <c r="D101" i="89"/>
  <c r="C101" i="89"/>
  <c r="D93" i="89"/>
  <c r="C91" i="89"/>
  <c r="E90" i="89"/>
  <c r="D89" i="89"/>
  <c r="C89" i="89"/>
  <c r="C87" i="89" s="1"/>
  <c r="D78" i="89"/>
  <c r="H77" i="89"/>
  <c r="D77" i="89"/>
  <c r="C77" i="89" s="1"/>
  <c r="C74" i="89" s="1"/>
  <c r="C76" i="89"/>
  <c r="D68" i="89"/>
  <c r="F59" i="89"/>
  <c r="E59" i="89"/>
  <c r="N55" i="89" s="1"/>
  <c r="N56" i="89"/>
  <c r="M56" i="89"/>
  <c r="K56" i="89"/>
  <c r="J56" i="89"/>
  <c r="F56" i="89"/>
  <c r="O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L19" i="89"/>
  <c r="M18" i="89"/>
  <c r="B118" i="89" s="1"/>
  <c r="L18" i="89"/>
  <c r="D17" i="89"/>
  <c r="C17" i="89"/>
  <c r="C18" i="89" s="1"/>
  <c r="D18" i="89" s="1"/>
  <c r="D14" i="89"/>
  <c r="L4" i="89"/>
  <c r="K4" i="89"/>
  <c r="A2" i="89"/>
  <c r="H1" i="89"/>
  <c r="Q72" i="88"/>
  <c r="F60" i="88"/>
  <c r="Q59" i="88"/>
  <c r="K59" i="88"/>
  <c r="P74" i="88" s="1"/>
  <c r="F59" i="88"/>
  <c r="Q58" i="88"/>
  <c r="J52" i="88"/>
  <c r="Q51" i="88"/>
  <c r="J50" i="88"/>
  <c r="J49" i="88"/>
  <c r="J51" i="88" s="1"/>
  <c r="M47" i="88"/>
  <c r="D46" i="88"/>
  <c r="F34" i="88"/>
  <c r="F62" i="88" s="1"/>
  <c r="F33" i="88"/>
  <c r="F61" i="88" s="1"/>
  <c r="F32" i="88"/>
  <c r="F31" i="88"/>
  <c r="F28" i="88"/>
  <c r="C28" i="88"/>
  <c r="F23" i="88"/>
  <c r="D24" i="88" s="1"/>
  <c r="D23" i="88"/>
  <c r="D22" i="88"/>
  <c r="F21" i="88"/>
  <c r="M20" i="88"/>
  <c r="F20" i="88"/>
  <c r="M19" i="88"/>
  <c r="M18" i="88"/>
  <c r="F18" i="88"/>
  <c r="M17" i="88"/>
  <c r="F17" i="88"/>
  <c r="F15" i="88"/>
  <c r="G1" i="88"/>
  <c r="Q72" i="87"/>
  <c r="F60" i="87"/>
  <c r="Q59" i="87"/>
  <c r="K59" i="87"/>
  <c r="P74" i="87" s="1"/>
  <c r="F59" i="87"/>
  <c r="Q58" i="87"/>
  <c r="J52" i="87"/>
  <c r="Q51" i="87"/>
  <c r="J50" i="87"/>
  <c r="J49" i="87"/>
  <c r="J51" i="87" s="1"/>
  <c r="M47" i="87"/>
  <c r="D46" i="87"/>
  <c r="F34" i="87"/>
  <c r="F62" i="87" s="1"/>
  <c r="F33" i="87"/>
  <c r="F61" i="87" s="1"/>
  <c r="F32" i="87"/>
  <c r="F31" i="87"/>
  <c r="F28" i="87"/>
  <c r="C28" i="87"/>
  <c r="F23" i="87"/>
  <c r="D24" i="87" s="1"/>
  <c r="D23" i="87"/>
  <c r="D22" i="87"/>
  <c r="F21" i="87"/>
  <c r="M20" i="87"/>
  <c r="F20" i="87"/>
  <c r="M19" i="87"/>
  <c r="M18" i="87"/>
  <c r="F18" i="87"/>
  <c r="M17" i="87"/>
  <c r="F17" i="87"/>
  <c r="F15" i="87"/>
  <c r="G1" i="87"/>
  <c r="Q72" i="86"/>
  <c r="F60" i="86"/>
  <c r="Q59" i="86"/>
  <c r="K59" i="86"/>
  <c r="P74" i="86" s="1"/>
  <c r="F59" i="86"/>
  <c r="Q58" i="86"/>
  <c r="J52" i="86"/>
  <c r="Q51" i="86"/>
  <c r="J50" i="86"/>
  <c r="J49" i="86"/>
  <c r="J51" i="86" s="1"/>
  <c r="M47" i="86"/>
  <c r="D46" i="86"/>
  <c r="F34" i="86"/>
  <c r="F62" i="86" s="1"/>
  <c r="F33" i="86"/>
  <c r="F61" i="86" s="1"/>
  <c r="F32" i="86"/>
  <c r="F31" i="86"/>
  <c r="F28" i="86"/>
  <c r="C28" i="86"/>
  <c r="F23" i="86"/>
  <c r="D24" i="86" s="1"/>
  <c r="D23" i="86"/>
  <c r="D22" i="86"/>
  <c r="F21" i="86"/>
  <c r="M20" i="86"/>
  <c r="F20" i="86"/>
  <c r="M19" i="86"/>
  <c r="M18" i="86"/>
  <c r="F18" i="86"/>
  <c r="M17" i="86"/>
  <c r="F17" i="86"/>
  <c r="F15" i="86"/>
  <c r="G1" i="86"/>
  <c r="Q72" i="85"/>
  <c r="F60" i="85"/>
  <c r="Q59" i="85"/>
  <c r="K59" i="85"/>
  <c r="P74" i="85" s="1"/>
  <c r="F59" i="85"/>
  <c r="Q58" i="85"/>
  <c r="J52" i="85"/>
  <c r="Q51" i="85"/>
  <c r="J50" i="85"/>
  <c r="J49" i="85"/>
  <c r="J51" i="85" s="1"/>
  <c r="M47" i="85"/>
  <c r="D46" i="85"/>
  <c r="F34" i="85"/>
  <c r="F62" i="85" s="1"/>
  <c r="F33" i="85"/>
  <c r="F61" i="85" s="1"/>
  <c r="F32" i="85"/>
  <c r="F31" i="85"/>
  <c r="F28" i="85"/>
  <c r="C28" i="85"/>
  <c r="F23" i="85"/>
  <c r="D24" i="85" s="1"/>
  <c r="D23" i="85"/>
  <c r="D22" i="85"/>
  <c r="F21" i="85"/>
  <c r="M20" i="85"/>
  <c r="F20" i="85"/>
  <c r="M19" i="85"/>
  <c r="M18" i="85"/>
  <c r="F18" i="85"/>
  <c r="M17" i="85"/>
  <c r="F17" i="85"/>
  <c r="F15" i="85"/>
  <c r="G1" i="85"/>
  <c r="B131" i="84"/>
  <c r="B129" i="84"/>
  <c r="B127" i="84"/>
  <c r="D126" i="84"/>
  <c r="E126" i="84" s="1"/>
  <c r="F126" i="84" s="1"/>
  <c r="G126" i="84" s="1"/>
  <c r="E124" i="84"/>
  <c r="F124" i="84" s="1"/>
  <c r="G124" i="84" s="1"/>
  <c r="H124" i="84" s="1"/>
  <c r="I124" i="84" s="1"/>
  <c r="J124" i="84" s="1"/>
  <c r="K124" i="84" s="1"/>
  <c r="L124" i="84" s="1"/>
  <c r="M124" i="84" s="1"/>
  <c r="D124" i="84"/>
  <c r="F123" i="84"/>
  <c r="E123" i="84"/>
  <c r="D123" i="84"/>
  <c r="C123"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E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F90" i="84"/>
  <c r="G90" i="84" s="1"/>
  <c r="H90" i="84" s="1"/>
  <c r="I90" i="84" s="1"/>
  <c r="J90" i="84" s="1"/>
  <c r="K90" i="84" s="1"/>
  <c r="L90" i="84" s="1"/>
  <c r="M90" i="84" s="1"/>
  <c r="E90" i="84"/>
  <c r="D90" i="84"/>
  <c r="B89" i="84"/>
  <c r="E88" i="84"/>
  <c r="F88" i="84" s="1"/>
  <c r="G88" i="84" s="1"/>
  <c r="H88" i="84" s="1"/>
  <c r="I88" i="84" s="1"/>
  <c r="J88" i="84" s="1"/>
  <c r="K88" i="84" s="1"/>
  <c r="L88" i="84" s="1"/>
  <c r="M88" i="84" s="1"/>
  <c r="D88" i="84"/>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F70" i="84"/>
  <c r="G70" i="84" s="1"/>
  <c r="H70" i="84" s="1"/>
  <c r="I70" i="84" s="1"/>
  <c r="J70" i="84" s="1"/>
  <c r="K70" i="84" s="1"/>
  <c r="L70" i="84" s="1"/>
  <c r="M70" i="84" s="1"/>
  <c r="E70" i="84"/>
  <c r="D70" i="84"/>
  <c r="M68" i="84"/>
  <c r="L68" i="84"/>
  <c r="K68" i="84"/>
  <c r="J68" i="84"/>
  <c r="I68" i="84"/>
  <c r="H68" i="84"/>
  <c r="G68" i="84"/>
  <c r="F68" i="84"/>
  <c r="E68" i="84"/>
  <c r="D68" i="84"/>
  <c r="C68" i="84"/>
  <c r="F67" i="84"/>
  <c r="G67" i="84" s="1"/>
  <c r="D67" i="84"/>
  <c r="C67" i="84" s="1"/>
  <c r="C64" i="84"/>
  <c r="P50" i="84"/>
  <c r="P49" i="84"/>
  <c r="K49" i="84"/>
  <c r="P48" i="84"/>
  <c r="I48" i="84"/>
  <c r="V48" i="84" s="1"/>
  <c r="G48" i="84"/>
  <c r="G55" i="84" s="1"/>
  <c r="H55" i="84" s="1"/>
  <c r="E48" i="84"/>
  <c r="R48" i="84" s="1"/>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G37" i="84"/>
  <c r="H37" i="84" s="1"/>
  <c r="C37" i="84"/>
  <c r="J37" i="84" s="1"/>
  <c r="Q36" i="84"/>
  <c r="Z36" i="84" s="1"/>
  <c r="J36" i="84"/>
  <c r="AC36" i="84" s="1"/>
  <c r="H36" i="84"/>
  <c r="AB36" i="84" s="1"/>
  <c r="F36" i="84"/>
  <c r="AA36" i="84" s="1"/>
  <c r="Q35" i="84"/>
  <c r="Z35" i="84" s="1"/>
  <c r="J35" i="84"/>
  <c r="AC35" i="84" s="1"/>
  <c r="H35" i="84"/>
  <c r="AB35" i="84" s="1"/>
  <c r="F35" i="84"/>
  <c r="AA35" i="84" s="1"/>
  <c r="Z34" i="84"/>
  <c r="Q34" i="84"/>
  <c r="I34" i="84"/>
  <c r="J34" i="84" s="1"/>
  <c r="G34" i="84"/>
  <c r="H34" i="84" s="1"/>
  <c r="E34" i="84"/>
  <c r="F34" i="84" s="1"/>
  <c r="Q33" i="84"/>
  <c r="Z33" i="84" s="1"/>
  <c r="J33" i="84"/>
  <c r="AC33" i="84" s="1"/>
  <c r="H33" i="84"/>
  <c r="AB33" i="84" s="1"/>
  <c r="F33" i="84"/>
  <c r="AA33" i="84" s="1"/>
  <c r="U32" i="84"/>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AC29" i="84"/>
  <c r="Q29" i="84"/>
  <c r="Z29" i="84" s="1"/>
  <c r="J29" i="84"/>
  <c r="W29" i="84" s="1"/>
  <c r="H29" i="84"/>
  <c r="AB29" i="84" s="1"/>
  <c r="F29" i="84"/>
  <c r="AA29" i="84" s="1"/>
  <c r="Q28" i="84"/>
  <c r="Z28" i="84" s="1"/>
  <c r="J28" i="84"/>
  <c r="AC28" i="84" s="1"/>
  <c r="H28" i="84"/>
  <c r="AB28" i="84" s="1"/>
  <c r="F28" i="84"/>
  <c r="AA28" i="84" s="1"/>
  <c r="Q27" i="84"/>
  <c r="Z27" i="84" s="1"/>
  <c r="J27" i="84"/>
  <c r="AC27" i="84" s="1"/>
  <c r="H27" i="84"/>
  <c r="U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7" i="84"/>
  <c r="J7" i="84" s="1"/>
  <c r="G7" i="84"/>
  <c r="H7" i="84" s="1"/>
  <c r="E7" i="84"/>
  <c r="F7" i="84" s="1"/>
  <c r="C7" i="84"/>
  <c r="C59" i="84" s="1"/>
  <c r="D59" i="84" s="1"/>
  <c r="E59" i="84" s="1"/>
  <c r="F59" i="84" s="1"/>
  <c r="G59" i="84" s="1"/>
  <c r="H59" i="84" s="1"/>
  <c r="I59" i="84" s="1"/>
  <c r="J59" i="84" s="1"/>
  <c r="K59" i="84" s="1"/>
  <c r="L59" i="84" s="1"/>
  <c r="M59" i="84" s="1"/>
  <c r="N59" i="84" s="1"/>
  <c r="O59" i="84" s="1"/>
  <c r="I5" i="84"/>
  <c r="G5" i="84"/>
  <c r="E5" i="84"/>
  <c r="C5" i="84"/>
  <c r="D3" i="84"/>
  <c r="B131" i="83"/>
  <c r="B129" i="83"/>
  <c r="B127" i="83"/>
  <c r="D126" i="83"/>
  <c r="E126" i="83" s="1"/>
  <c r="F126" i="83" s="1"/>
  <c r="G126" i="83" s="1"/>
  <c r="E124" i="83"/>
  <c r="F124" i="83" s="1"/>
  <c r="G124" i="83" s="1"/>
  <c r="H124" i="83" s="1"/>
  <c r="I124" i="83" s="1"/>
  <c r="J124" i="83" s="1"/>
  <c r="K124" i="83" s="1"/>
  <c r="L124" i="83" s="1"/>
  <c r="M124" i="83" s="1"/>
  <c r="D124" i="83"/>
  <c r="F123" i="83"/>
  <c r="E123" i="83"/>
  <c r="D123" i="83"/>
  <c r="C123" i="83"/>
  <c r="D120" i="83"/>
  <c r="E120" i="83" s="1"/>
  <c r="F120" i="83" s="1"/>
  <c r="G120" i="83" s="1"/>
  <c r="H120" i="83" s="1"/>
  <c r="I120" i="83" s="1"/>
  <c r="J120" i="83" s="1"/>
  <c r="K120" i="83" s="1"/>
  <c r="L120" i="83" s="1"/>
  <c r="M120" i="83" s="1"/>
  <c r="D118" i="83"/>
  <c r="E118" i="83" s="1"/>
  <c r="F118" i="83" s="1"/>
  <c r="G118" i="83" s="1"/>
  <c r="G117" i="83"/>
  <c r="F117" i="83"/>
  <c r="E117" i="83"/>
  <c r="D117" i="83"/>
  <c r="C117" i="83"/>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E105" i="83"/>
  <c r="F105" i="83" s="1"/>
  <c r="G105" i="83" s="1"/>
  <c r="C105" i="83"/>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F67" i="83"/>
  <c r="G67" i="83" s="1"/>
  <c r="D67" i="83"/>
  <c r="C67" i="83" s="1"/>
  <c r="C64" i="83"/>
  <c r="P50" i="83"/>
  <c r="P49" i="83"/>
  <c r="K49" i="83"/>
  <c r="P48" i="83"/>
  <c r="I48" i="83"/>
  <c r="V48" i="83" s="1"/>
  <c r="G48" i="83"/>
  <c r="G55" i="83" s="1"/>
  <c r="H55" i="83" s="1"/>
  <c r="E48" i="83"/>
  <c r="R48" i="83" s="1"/>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J37" i="83" s="1"/>
  <c r="Q36" i="83"/>
  <c r="Z36" i="83" s="1"/>
  <c r="J36" i="83"/>
  <c r="AC36" i="83" s="1"/>
  <c r="H36" i="83"/>
  <c r="AB36" i="83" s="1"/>
  <c r="F36" i="83"/>
  <c r="AA36" i="83" s="1"/>
  <c r="Q35" i="83"/>
  <c r="Z35" i="83" s="1"/>
  <c r="J35" i="83"/>
  <c r="AC35" i="83" s="1"/>
  <c r="H35" i="83"/>
  <c r="AB35" i="83" s="1"/>
  <c r="F35" i="83"/>
  <c r="AA35" i="83" s="1"/>
  <c r="Z34" i="83"/>
  <c r="Q34" i="83"/>
  <c r="I34" i="83"/>
  <c r="J34" i="83" s="1"/>
  <c r="G34" i="83"/>
  <c r="H34" i="83" s="1"/>
  <c r="E34" i="83"/>
  <c r="F34" i="83" s="1"/>
  <c r="Q33" i="83"/>
  <c r="Z33" i="83" s="1"/>
  <c r="J33" i="83"/>
  <c r="AC33" i="83" s="1"/>
  <c r="H33" i="83"/>
  <c r="AB33" i="83" s="1"/>
  <c r="F33" i="83"/>
  <c r="AA33" i="83" s="1"/>
  <c r="U32" i="83"/>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C29" i="83"/>
  <c r="W29" i="83"/>
  <c r="Q29" i="83"/>
  <c r="Z29" i="83" s="1"/>
  <c r="J29" i="83"/>
  <c r="H29" i="83"/>
  <c r="AB29" i="83" s="1"/>
  <c r="F29" i="83"/>
  <c r="AA29" i="83" s="1"/>
  <c r="Q28" i="83"/>
  <c r="Z28" i="83" s="1"/>
  <c r="J28" i="83"/>
  <c r="AC28" i="83" s="1"/>
  <c r="H28" i="83"/>
  <c r="U28" i="83" s="1"/>
  <c r="F28" i="83"/>
  <c r="AA28" i="83" s="1"/>
  <c r="Q27" i="83"/>
  <c r="Z27" i="83" s="1"/>
  <c r="J27" i="83"/>
  <c r="AC27" i="83" s="1"/>
  <c r="H27" i="83"/>
  <c r="AB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U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I5" i="83"/>
  <c r="G5" i="83"/>
  <c r="E5" i="83"/>
  <c r="C5" i="83"/>
  <c r="D3" i="83"/>
  <c r="B131" i="82"/>
  <c r="B129" i="82"/>
  <c r="B127" i="82"/>
  <c r="D126" i="82"/>
  <c r="E126" i="82" s="1"/>
  <c r="F126" i="82" s="1"/>
  <c r="G126" i="82" s="1"/>
  <c r="E124" i="82"/>
  <c r="F124" i="82" s="1"/>
  <c r="G124" i="82" s="1"/>
  <c r="H124" i="82" s="1"/>
  <c r="I124" i="82" s="1"/>
  <c r="J124" i="82" s="1"/>
  <c r="K124" i="82" s="1"/>
  <c r="L124" i="82" s="1"/>
  <c r="M124" i="82" s="1"/>
  <c r="D124" i="82"/>
  <c r="F123" i="82"/>
  <c r="E123" i="82"/>
  <c r="D123" i="82"/>
  <c r="C123" i="82"/>
  <c r="D120" i="82"/>
  <c r="E120" i="82" s="1"/>
  <c r="F120" i="82" s="1"/>
  <c r="G120" i="82" s="1"/>
  <c r="H120" i="82" s="1"/>
  <c r="I120" i="82" s="1"/>
  <c r="J120" i="82" s="1"/>
  <c r="K120" i="82" s="1"/>
  <c r="L120" i="82" s="1"/>
  <c r="M120" i="82" s="1"/>
  <c r="D118" i="82"/>
  <c r="E118" i="82" s="1"/>
  <c r="F118" i="82" s="1"/>
  <c r="G118" i="82" s="1"/>
  <c r="G117" i="82"/>
  <c r="F117" i="82"/>
  <c r="E117" i="82"/>
  <c r="D117" i="82"/>
  <c r="C117" i="82"/>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E105" i="82"/>
  <c r="F105" i="82" s="1"/>
  <c r="G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F67" i="82"/>
  <c r="G67" i="82" s="1"/>
  <c r="D67" i="82"/>
  <c r="C67" i="82" s="1"/>
  <c r="C64" i="82"/>
  <c r="P50" i="82"/>
  <c r="P49" i="82"/>
  <c r="K49" i="82"/>
  <c r="P48" i="82"/>
  <c r="I48" i="82"/>
  <c r="V48" i="82" s="1"/>
  <c r="G48" i="82"/>
  <c r="G55" i="82" s="1"/>
  <c r="H55" i="82" s="1"/>
  <c r="E48" i="82"/>
  <c r="R48" i="82" s="1"/>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G37" i="82"/>
  <c r="H37" i="82" s="1"/>
  <c r="C37" i="82"/>
  <c r="J37" i="82" s="1"/>
  <c r="Q36" i="82"/>
  <c r="Z36" i="82" s="1"/>
  <c r="J36" i="82"/>
  <c r="AC36" i="82" s="1"/>
  <c r="H36" i="82"/>
  <c r="AB36" i="82" s="1"/>
  <c r="F36" i="82"/>
  <c r="AA36" i="82" s="1"/>
  <c r="Q35" i="82"/>
  <c r="Z35" i="82" s="1"/>
  <c r="J35" i="82"/>
  <c r="AC35" i="82" s="1"/>
  <c r="H35" i="82"/>
  <c r="AB35" i="82" s="1"/>
  <c r="F35" i="82"/>
  <c r="AA35" i="82" s="1"/>
  <c r="Z34" i="82"/>
  <c r="Q34" i="82"/>
  <c r="I34" i="82"/>
  <c r="J34" i="82" s="1"/>
  <c r="G34" i="82"/>
  <c r="H34" i="82" s="1"/>
  <c r="E34" i="82"/>
  <c r="F34" i="82" s="1"/>
  <c r="Q33" i="82"/>
  <c r="Z33" i="82" s="1"/>
  <c r="J33" i="82"/>
  <c r="AC33" i="82" s="1"/>
  <c r="H33" i="82"/>
  <c r="AB33" i="82" s="1"/>
  <c r="F33" i="82"/>
  <c r="AA33" i="82" s="1"/>
  <c r="U32" i="82"/>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AC29" i="82"/>
  <c r="W29" i="82"/>
  <c r="Q29" i="82"/>
  <c r="Z29" i="82" s="1"/>
  <c r="J29" i="82"/>
  <c r="H29" i="82"/>
  <c r="AB29" i="82" s="1"/>
  <c r="F29" i="82"/>
  <c r="AA29" i="82" s="1"/>
  <c r="Q28" i="82"/>
  <c r="Z28" i="82" s="1"/>
  <c r="J28" i="82"/>
  <c r="AC28" i="82" s="1"/>
  <c r="H28" i="82"/>
  <c r="U28" i="82" s="1"/>
  <c r="F28" i="82"/>
  <c r="AA28" i="82" s="1"/>
  <c r="Q27" i="82"/>
  <c r="Z27" i="82" s="1"/>
  <c r="H27" i="82"/>
  <c r="AB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W10" i="82" s="1"/>
  <c r="H10" i="82"/>
  <c r="AB10" i="82" s="1"/>
  <c r="F10" i="82"/>
  <c r="AA10" i="82" s="1"/>
  <c r="Q9" i="82"/>
  <c r="Z9" i="82" s="1"/>
  <c r="J9" i="82"/>
  <c r="AC9" i="82" s="1"/>
  <c r="H9" i="82"/>
  <c r="AB9" i="82" s="1"/>
  <c r="F9" i="82"/>
  <c r="AA9" i="82" s="1"/>
  <c r="AC8" i="82"/>
  <c r="W8" i="82"/>
  <c r="J8" i="82"/>
  <c r="H8" i="82"/>
  <c r="U8" i="82" s="1"/>
  <c r="F8" i="82"/>
  <c r="S8" i="82" s="1"/>
  <c r="I7" i="82"/>
  <c r="J7" i="82" s="1"/>
  <c r="G7" i="82"/>
  <c r="H7" i="82" s="1"/>
  <c r="E7" i="82"/>
  <c r="F7" i="82" s="1"/>
  <c r="C7" i="82"/>
  <c r="C59" i="82" s="1"/>
  <c r="D59" i="82" s="1"/>
  <c r="E59" i="82" s="1"/>
  <c r="F59" i="82" s="1"/>
  <c r="G59" i="82" s="1"/>
  <c r="H59" i="82" s="1"/>
  <c r="I59" i="82" s="1"/>
  <c r="J59" i="82" s="1"/>
  <c r="K59" i="82" s="1"/>
  <c r="L59" i="82" s="1"/>
  <c r="M59" i="82" s="1"/>
  <c r="N59" i="82" s="1"/>
  <c r="O59" i="82" s="1"/>
  <c r="I5" i="82"/>
  <c r="G5" i="82"/>
  <c r="E5" i="82"/>
  <c r="C5" i="82"/>
  <c r="D3" i="82"/>
  <c r="B131" i="81"/>
  <c r="B129" i="81"/>
  <c r="B127" i="81"/>
  <c r="D126" i="81"/>
  <c r="E126" i="81" s="1"/>
  <c r="F126" i="81" s="1"/>
  <c r="G126" i="81" s="1"/>
  <c r="E124" i="81"/>
  <c r="F124" i="81" s="1"/>
  <c r="G124" i="81" s="1"/>
  <c r="H124" i="81" s="1"/>
  <c r="I124" i="81" s="1"/>
  <c r="J124" i="81" s="1"/>
  <c r="K124" i="81" s="1"/>
  <c r="L124" i="81" s="1"/>
  <c r="M124" i="81" s="1"/>
  <c r="D124" i="81"/>
  <c r="F123" i="81"/>
  <c r="E123" i="81"/>
  <c r="D123" i="81"/>
  <c r="C123"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s="1"/>
  <c r="F107" i="81" s="1"/>
  <c r="G107" i="81" s="1"/>
  <c r="H107" i="81" s="1"/>
  <c r="I107" i="81" s="1"/>
  <c r="J107" i="81" s="1"/>
  <c r="K107" i="81" s="1"/>
  <c r="L107" i="81" s="1"/>
  <c r="M107" i="81" s="1"/>
  <c r="E105" i="81"/>
  <c r="F105" i="81" s="1"/>
  <c r="G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D67" i="81"/>
  <c r="C67" i="81"/>
  <c r="C64" i="81"/>
  <c r="I55" i="81"/>
  <c r="J55" i="81" s="1"/>
  <c r="E55" i="81"/>
  <c r="F55" i="81" s="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H37" i="81" s="1"/>
  <c r="C37" i="81"/>
  <c r="J37" i="81" s="1"/>
  <c r="Q36" i="81"/>
  <c r="Z36" i="81" s="1"/>
  <c r="J36" i="81"/>
  <c r="W36" i="81" s="1"/>
  <c r="H36" i="81"/>
  <c r="AB36" i="81" s="1"/>
  <c r="F36" i="81"/>
  <c r="AA36" i="81" s="1"/>
  <c r="U35" i="81"/>
  <c r="Q35" i="81"/>
  <c r="Z35" i="81" s="1"/>
  <c r="J35" i="81"/>
  <c r="AC35" i="81" s="1"/>
  <c r="H35" i="81"/>
  <c r="AB35" i="81" s="1"/>
  <c r="F35" i="81"/>
  <c r="AA35" i="81" s="1"/>
  <c r="Q34" i="81"/>
  <c r="Z34" i="81" s="1"/>
  <c r="I34" i="81"/>
  <c r="G34" i="81"/>
  <c r="H34" i="81" s="1"/>
  <c r="E34" i="81"/>
  <c r="F34" i="81" s="1"/>
  <c r="S34" i="81" s="1"/>
  <c r="Z33" i="81"/>
  <c r="W33" i="81"/>
  <c r="Q33" i="81"/>
  <c r="J33" i="81"/>
  <c r="AC33" i="81" s="1"/>
  <c r="H33" i="81"/>
  <c r="AB33" i="81" s="1"/>
  <c r="F33" i="81"/>
  <c r="AA33" i="81" s="1"/>
  <c r="W32" i="81"/>
  <c r="U32" i="81"/>
  <c r="Q32" i="81"/>
  <c r="Z32" i="81" s="1"/>
  <c r="J32" i="81"/>
  <c r="AC32" i="81" s="1"/>
  <c r="H32" i="81"/>
  <c r="AB32" i="81" s="1"/>
  <c r="F32" i="81"/>
  <c r="AA32" i="81" s="1"/>
  <c r="Q31" i="81"/>
  <c r="Z31" i="81" s="1"/>
  <c r="J31" i="81"/>
  <c r="AC31" i="81" s="1"/>
  <c r="H31" i="81"/>
  <c r="U31" i="81" s="1"/>
  <c r="F31" i="81"/>
  <c r="AA31" i="81" s="1"/>
  <c r="Q30" i="81"/>
  <c r="Z30" i="81" s="1"/>
  <c r="J30" i="81"/>
  <c r="AC30" i="81" s="1"/>
  <c r="H30" i="81"/>
  <c r="AB30" i="81" s="1"/>
  <c r="F30" i="81"/>
  <c r="S30" i="81" s="1"/>
  <c r="Q29" i="81"/>
  <c r="Z29" i="81" s="1"/>
  <c r="J29" i="81"/>
  <c r="W29" i="81" s="1"/>
  <c r="H29" i="81"/>
  <c r="AB29" i="81" s="1"/>
  <c r="F29" i="81"/>
  <c r="AA29" i="81" s="1"/>
  <c r="AB28" i="81"/>
  <c r="U28" i="81"/>
  <c r="Q28" i="81"/>
  <c r="Z28" i="81" s="1"/>
  <c r="J28" i="81"/>
  <c r="AC28" i="81" s="1"/>
  <c r="H28" i="81"/>
  <c r="F28" i="81"/>
  <c r="AA28" i="81" s="1"/>
  <c r="AA27" i="81"/>
  <c r="Q27" i="81"/>
  <c r="Z27" i="81" s="1"/>
  <c r="J27" i="81"/>
  <c r="AC27" i="81" s="1"/>
  <c r="H27" i="81"/>
  <c r="AB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AB8" i="81" s="1"/>
  <c r="F8" i="81"/>
  <c r="S8" i="81" s="1"/>
  <c r="I7" i="81"/>
  <c r="J7" i="81" s="1"/>
  <c r="G7" i="81"/>
  <c r="H7" i="81" s="1"/>
  <c r="E7" i="81"/>
  <c r="F7" i="81" s="1"/>
  <c r="C7" i="81"/>
  <c r="C59" i="81" s="1"/>
  <c r="D59" i="81" s="1"/>
  <c r="E59" i="81" s="1"/>
  <c r="F59" i="81" s="1"/>
  <c r="G59" i="81" s="1"/>
  <c r="H59" i="81" s="1"/>
  <c r="I59" i="81" s="1"/>
  <c r="J59" i="81" s="1"/>
  <c r="K59" i="81" s="1"/>
  <c r="L59" i="81" s="1"/>
  <c r="M59" i="81" s="1"/>
  <c r="N59" i="81" s="1"/>
  <c r="O59" i="81" s="1"/>
  <c r="I5" i="81"/>
  <c r="G5" i="81"/>
  <c r="E5" i="81"/>
  <c r="C5" i="81"/>
  <c r="D3" i="81"/>
  <c r="Y10" i="1"/>
  <c r="Y9" i="1"/>
  <c r="Y8" i="1"/>
  <c r="Y7" i="1"/>
  <c r="Q10" i="1"/>
  <c r="Q9" i="1"/>
  <c r="Q8" i="1"/>
  <c r="Q7" i="1"/>
  <c r="N10" i="1"/>
  <c r="N9" i="1"/>
  <c r="N8" i="1"/>
  <c r="N7" i="1"/>
  <c r="F23" i="6"/>
  <c r="F22" i="6"/>
  <c r="F21" i="6"/>
  <c r="F20" i="6"/>
  <c r="F19" i="6"/>
  <c r="U20" i="1"/>
  <c r="V20" i="1"/>
  <c r="U22" i="1"/>
  <c r="U23" i="1" s="1"/>
  <c r="W23" i="1"/>
  <c r="W22" i="1"/>
  <c r="W21" i="1"/>
  <c r="W20" i="1"/>
  <c r="W19" i="1"/>
  <c r="S23" i="1"/>
  <c r="S22" i="1"/>
  <c r="S21" i="1"/>
  <c r="S20" i="1"/>
  <c r="S19" i="1"/>
  <c r="T23" i="1"/>
  <c r="T22" i="1"/>
  <c r="T21" i="1"/>
  <c r="T20" i="1"/>
  <c r="T19" i="1"/>
  <c r="I48" i="34"/>
  <c r="I34" i="34"/>
  <c r="I5" i="34"/>
  <c r="A14" i="3"/>
  <c r="D34" i="91"/>
  <c r="D34" i="89"/>
  <c r="C76" i="86"/>
  <c r="D2" i="82"/>
  <c r="D35" i="91"/>
  <c r="D35" i="89"/>
  <c r="C76" i="85"/>
  <c r="D2" i="81"/>
  <c r="D34" i="92"/>
  <c r="D34" i="90"/>
  <c r="C76" i="88"/>
  <c r="D2" i="84"/>
  <c r="D35" i="92"/>
  <c r="D35" i="90"/>
  <c r="C76" i="87"/>
  <c r="D2" i="83"/>
  <c r="U27" i="82" l="1"/>
  <c r="D121" i="92"/>
  <c r="K120" i="92"/>
  <c r="H111" i="92"/>
  <c r="D126" i="92" s="1"/>
  <c r="D127" i="92" s="1"/>
  <c r="A126" i="92"/>
  <c r="C94" i="92"/>
  <c r="H109" i="92"/>
  <c r="C92" i="91"/>
  <c r="C94" i="91"/>
  <c r="D121" i="91"/>
  <c r="K120" i="91"/>
  <c r="H111" i="91"/>
  <c r="D126" i="91" s="1"/>
  <c r="D127" i="91" s="1"/>
  <c r="A126" i="91"/>
  <c r="H109" i="91"/>
  <c r="C92" i="90"/>
  <c r="C94" i="90"/>
  <c r="D121" i="90"/>
  <c r="K120" i="90"/>
  <c r="H111" i="90"/>
  <c r="D126" i="90" s="1"/>
  <c r="D127" i="90" s="1"/>
  <c r="A126" i="90"/>
  <c r="H109" i="90"/>
  <c r="C92" i="89"/>
  <c r="C94" i="89"/>
  <c r="D121" i="89"/>
  <c r="K120" i="89"/>
  <c r="H111" i="89"/>
  <c r="D126" i="89" s="1"/>
  <c r="D127" i="89" s="1"/>
  <c r="A126" i="89"/>
  <c r="H109" i="89"/>
  <c r="Q71" i="88"/>
  <c r="P61" i="88"/>
  <c r="Q71" i="87"/>
  <c r="P61" i="87"/>
  <c r="Q71" i="86"/>
  <c r="P61" i="86"/>
  <c r="Q71" i="85"/>
  <c r="P61" i="85"/>
  <c r="AA7" i="84"/>
  <c r="S7" i="84"/>
  <c r="U7" i="84"/>
  <c r="AB7" i="84"/>
  <c r="AC7" i="84"/>
  <c r="W7" i="84"/>
  <c r="S10" i="84"/>
  <c r="U11" i="84"/>
  <c r="W12" i="84"/>
  <c r="S14" i="84"/>
  <c r="S15" i="84"/>
  <c r="S17" i="84"/>
  <c r="S19" i="84"/>
  <c r="S21" i="84"/>
  <c r="S23" i="84"/>
  <c r="U25" i="84"/>
  <c r="AB27" i="84"/>
  <c r="U10" i="84"/>
  <c r="W11" i="84"/>
  <c r="S13" i="84"/>
  <c r="U14" i="84"/>
  <c r="U15" i="84"/>
  <c r="U17" i="84"/>
  <c r="U19" i="84"/>
  <c r="U21" i="84"/>
  <c r="U23" i="84"/>
  <c r="W25" i="84"/>
  <c r="S27" i="84"/>
  <c r="U28" i="84"/>
  <c r="AA34" i="84"/>
  <c r="S34" i="84"/>
  <c r="S9" i="84"/>
  <c r="AA8" i="84"/>
  <c r="U9" i="84"/>
  <c r="S12" i="84"/>
  <c r="W15" i="84"/>
  <c r="W17" i="84"/>
  <c r="W19" i="84"/>
  <c r="W21" i="84"/>
  <c r="W23" i="84"/>
  <c r="S31" i="84"/>
  <c r="W33" i="84"/>
  <c r="AB34" i="84"/>
  <c r="U34" i="84"/>
  <c r="AC37" i="84"/>
  <c r="W37" i="84"/>
  <c r="W10" i="84"/>
  <c r="U13" i="84"/>
  <c r="W14" i="84"/>
  <c r="W9" i="84"/>
  <c r="S11" i="84"/>
  <c r="U12" i="84"/>
  <c r="W13" i="84"/>
  <c r="S25" i="84"/>
  <c r="AC34" i="84"/>
  <c r="W34" i="84"/>
  <c r="AB37" i="84"/>
  <c r="U37" i="84"/>
  <c r="V49" i="84"/>
  <c r="I49" i="84" s="1"/>
  <c r="I53" i="84" s="1"/>
  <c r="J53" i="84" s="1"/>
  <c r="W28" i="84"/>
  <c r="S30" i="84"/>
  <c r="U31" i="84"/>
  <c r="W32" i="84"/>
  <c r="U35" i="84"/>
  <c r="W36" i="84"/>
  <c r="U38" i="84"/>
  <c r="W39" i="84"/>
  <c r="S41" i="84"/>
  <c r="U42" i="84"/>
  <c r="W43" i="84"/>
  <c r="S45" i="84"/>
  <c r="U46" i="84"/>
  <c r="W47" i="84"/>
  <c r="E55" i="84"/>
  <c r="F55" i="84" s="1"/>
  <c r="I55" i="84"/>
  <c r="J55" i="84" s="1"/>
  <c r="W27" i="84"/>
  <c r="S29" i="84"/>
  <c r="U30" i="84"/>
  <c r="W31" i="84"/>
  <c r="S33" i="84"/>
  <c r="W35" i="84"/>
  <c r="W38" i="84"/>
  <c r="S40" i="84"/>
  <c r="U41" i="84"/>
  <c r="W42" i="84"/>
  <c r="S44" i="84"/>
  <c r="U45" i="84"/>
  <c r="W46" i="84"/>
  <c r="S28" i="84"/>
  <c r="U29" i="84"/>
  <c r="W30" i="84"/>
  <c r="S32" i="84"/>
  <c r="U33" i="84"/>
  <c r="S36" i="84"/>
  <c r="E37" i="84"/>
  <c r="F37" i="84" s="1"/>
  <c r="S39" i="84"/>
  <c r="U40" i="84"/>
  <c r="W41" i="84"/>
  <c r="S43" i="84"/>
  <c r="U44" i="84"/>
  <c r="W45" i="84"/>
  <c r="S47" i="84"/>
  <c r="T48" i="84"/>
  <c r="T49" i="84" s="1"/>
  <c r="G49" i="84" s="1"/>
  <c r="S35" i="84"/>
  <c r="U36" i="84"/>
  <c r="S38" i="84"/>
  <c r="U39" i="84"/>
  <c r="W40" i="84"/>
  <c r="S42" i="84"/>
  <c r="U43" i="84"/>
  <c r="W44" i="84"/>
  <c r="S46" i="84"/>
  <c r="U47" i="84"/>
  <c r="AC7" i="83"/>
  <c r="W7" i="83"/>
  <c r="S7" i="83"/>
  <c r="AA7" i="83"/>
  <c r="U7" i="83"/>
  <c r="AB7" i="83"/>
  <c r="W10" i="83"/>
  <c r="S12" i="83"/>
  <c r="U13" i="83"/>
  <c r="W14" i="83"/>
  <c r="W17" i="83"/>
  <c r="W19" i="83"/>
  <c r="W21" i="83"/>
  <c r="W23" i="83"/>
  <c r="U27" i="83"/>
  <c r="AB28" i="83"/>
  <c r="S31" i="83"/>
  <c r="W33" i="83"/>
  <c r="AB34" i="83"/>
  <c r="U34" i="83"/>
  <c r="AC37" i="83"/>
  <c r="W37" i="83"/>
  <c r="S9" i="83"/>
  <c r="AA8" i="83"/>
  <c r="U9" i="83"/>
  <c r="W15" i="83"/>
  <c r="AB8" i="83"/>
  <c r="W9" i="83"/>
  <c r="S11" i="83"/>
  <c r="U12" i="83"/>
  <c r="W13" i="83"/>
  <c r="S25" i="83"/>
  <c r="AA27" i="83"/>
  <c r="AC34" i="83"/>
  <c r="W34" i="83"/>
  <c r="AB37" i="83"/>
  <c r="U37" i="83"/>
  <c r="V49" i="83"/>
  <c r="I49" i="83" s="1"/>
  <c r="S10" i="83"/>
  <c r="U11" i="83"/>
  <c r="W12" i="83"/>
  <c r="S14" i="83"/>
  <c r="S15" i="83"/>
  <c r="S17" i="83"/>
  <c r="S19" i="83"/>
  <c r="S21" i="83"/>
  <c r="S23" i="83"/>
  <c r="U25" i="83"/>
  <c r="U10" i="83"/>
  <c r="W11" i="83"/>
  <c r="S13" i="83"/>
  <c r="U14" i="83"/>
  <c r="U15" i="83"/>
  <c r="U17" i="83"/>
  <c r="U19" i="83"/>
  <c r="U21" i="83"/>
  <c r="U23" i="83"/>
  <c r="W25" i="83"/>
  <c r="AA34" i="83"/>
  <c r="S34" i="83"/>
  <c r="W28" i="83"/>
  <c r="S30" i="83"/>
  <c r="U31" i="83"/>
  <c r="W32" i="83"/>
  <c r="U35" i="83"/>
  <c r="W36" i="83"/>
  <c r="U38" i="83"/>
  <c r="W39" i="83"/>
  <c r="S41" i="83"/>
  <c r="U42" i="83"/>
  <c r="W43" i="83"/>
  <c r="S45" i="83"/>
  <c r="U46" i="83"/>
  <c r="W47" i="83"/>
  <c r="E55" i="83"/>
  <c r="F55" i="83" s="1"/>
  <c r="I55" i="83"/>
  <c r="J55" i="83" s="1"/>
  <c r="W27" i="83"/>
  <c r="S29" i="83"/>
  <c r="U30" i="83"/>
  <c r="W31" i="83"/>
  <c r="S33" i="83"/>
  <c r="W35" i="83"/>
  <c r="W38" i="83"/>
  <c r="S40" i="83"/>
  <c r="U41" i="83"/>
  <c r="W42" i="83"/>
  <c r="S44" i="83"/>
  <c r="U45" i="83"/>
  <c r="W46" i="83"/>
  <c r="S28" i="83"/>
  <c r="U29" i="83"/>
  <c r="W30" i="83"/>
  <c r="S32" i="83"/>
  <c r="U33" i="83"/>
  <c r="S36" i="83"/>
  <c r="E37" i="83"/>
  <c r="F37" i="83" s="1"/>
  <c r="S39" i="83"/>
  <c r="U40" i="83"/>
  <c r="W41" i="83"/>
  <c r="S43" i="83"/>
  <c r="U44" i="83"/>
  <c r="W45" i="83"/>
  <c r="S47" i="83"/>
  <c r="T48" i="83"/>
  <c r="T49" i="83" s="1"/>
  <c r="G49" i="83" s="1"/>
  <c r="S35" i="83"/>
  <c r="U36" i="83"/>
  <c r="S38" i="83"/>
  <c r="U39" i="83"/>
  <c r="W40" i="83"/>
  <c r="S42" i="83"/>
  <c r="U43" i="83"/>
  <c r="W44" i="83"/>
  <c r="S46" i="83"/>
  <c r="U47" i="83"/>
  <c r="AC7" i="82"/>
  <c r="W7" i="82"/>
  <c r="AA7" i="82"/>
  <c r="S7" i="82"/>
  <c r="U7" i="82"/>
  <c r="AB7" i="82"/>
  <c r="U10" i="82"/>
  <c r="W11" i="82"/>
  <c r="S13" i="82"/>
  <c r="U14" i="82"/>
  <c r="U15" i="82"/>
  <c r="U17" i="82"/>
  <c r="U19" i="82"/>
  <c r="U21" i="82"/>
  <c r="U23" i="82"/>
  <c r="W25" i="82"/>
  <c r="AB28" i="82"/>
  <c r="S31" i="82"/>
  <c r="W33" i="82"/>
  <c r="AB34" i="82"/>
  <c r="U34" i="82"/>
  <c r="AC37" i="82"/>
  <c r="W37" i="82"/>
  <c r="S9" i="82"/>
  <c r="AA8" i="82"/>
  <c r="U9" i="82"/>
  <c r="AC10" i="82"/>
  <c r="W15" i="82"/>
  <c r="W17" i="82"/>
  <c r="W19" i="82"/>
  <c r="W21" i="82"/>
  <c r="W23" i="82"/>
  <c r="AA27" i="82"/>
  <c r="AC34" i="82"/>
  <c r="W34" i="82"/>
  <c r="AB37" i="82"/>
  <c r="U37" i="82"/>
  <c r="F90" i="82"/>
  <c r="G90" i="82" s="1"/>
  <c r="H90" i="82" s="1"/>
  <c r="I90" i="82" s="1"/>
  <c r="J90" i="82" s="1"/>
  <c r="K90" i="82" s="1"/>
  <c r="L90" i="82" s="1"/>
  <c r="M90" i="82" s="1"/>
  <c r="J27" i="82"/>
  <c r="S12" i="82"/>
  <c r="U13" i="82"/>
  <c r="W14" i="82"/>
  <c r="AB8" i="82"/>
  <c r="W9" i="82"/>
  <c r="S11" i="82"/>
  <c r="U12" i="82"/>
  <c r="W13" i="82"/>
  <c r="S25" i="82"/>
  <c r="S10" i="82"/>
  <c r="U11" i="82"/>
  <c r="W12" i="82"/>
  <c r="S14" i="82"/>
  <c r="S15" i="82"/>
  <c r="S17" i="82"/>
  <c r="S19" i="82"/>
  <c r="S21" i="82"/>
  <c r="S23" i="82"/>
  <c r="U25" i="82"/>
  <c r="AA34" i="82"/>
  <c r="S34" i="82"/>
  <c r="W28" i="82"/>
  <c r="S30" i="82"/>
  <c r="U31" i="82"/>
  <c r="W32" i="82"/>
  <c r="U35" i="82"/>
  <c r="W36" i="82"/>
  <c r="U38" i="82"/>
  <c r="W39" i="82"/>
  <c r="S41" i="82"/>
  <c r="U42" i="82"/>
  <c r="W43" i="82"/>
  <c r="S45" i="82"/>
  <c r="U46" i="82"/>
  <c r="W47" i="82"/>
  <c r="E55" i="82"/>
  <c r="F55" i="82" s="1"/>
  <c r="I55" i="82"/>
  <c r="J55" i="82" s="1"/>
  <c r="S29" i="82"/>
  <c r="U30" i="82"/>
  <c r="W31" i="82"/>
  <c r="S33" i="82"/>
  <c r="W35" i="82"/>
  <c r="W38" i="82"/>
  <c r="S40" i="82"/>
  <c r="U41" i="82"/>
  <c r="W42" i="82"/>
  <c r="S44" i="82"/>
  <c r="U45" i="82"/>
  <c r="W46" i="82"/>
  <c r="S28" i="82"/>
  <c r="U29" i="82"/>
  <c r="W30" i="82"/>
  <c r="S32" i="82"/>
  <c r="U33" i="82"/>
  <c r="S36" i="82"/>
  <c r="E37" i="82"/>
  <c r="F37" i="82" s="1"/>
  <c r="S39" i="82"/>
  <c r="U40" i="82"/>
  <c r="W41" i="82"/>
  <c r="S43" i="82"/>
  <c r="U44" i="82"/>
  <c r="W45" i="82"/>
  <c r="S47" i="82"/>
  <c r="T48" i="82"/>
  <c r="S35" i="82"/>
  <c r="U36" i="82"/>
  <c r="S38" i="82"/>
  <c r="U39" i="82"/>
  <c r="W40" i="82"/>
  <c r="S42" i="82"/>
  <c r="U43" i="82"/>
  <c r="W44" i="82"/>
  <c r="S46" i="82"/>
  <c r="U47" i="82"/>
  <c r="S7" i="81"/>
  <c r="AA7" i="81"/>
  <c r="U7" i="81"/>
  <c r="AB7" i="81"/>
  <c r="AC7" i="81"/>
  <c r="W7" i="81"/>
  <c r="AB34" i="81"/>
  <c r="U34" i="81"/>
  <c r="U8" i="81"/>
  <c r="W10" i="81"/>
  <c r="S12" i="81"/>
  <c r="U13" i="81"/>
  <c r="W14" i="81"/>
  <c r="W15" i="81"/>
  <c r="W17" i="81"/>
  <c r="W19" i="81"/>
  <c r="W21" i="81"/>
  <c r="W23" i="81"/>
  <c r="U27" i="81"/>
  <c r="W28" i="81"/>
  <c r="AA30" i="81"/>
  <c r="AB31" i="81"/>
  <c r="J34" i="81"/>
  <c r="AA34" i="81"/>
  <c r="AC36" i="81"/>
  <c r="S9" i="81"/>
  <c r="AA8" i="81"/>
  <c r="U9" i="81"/>
  <c r="W9" i="81"/>
  <c r="S11" i="81"/>
  <c r="U12" i="81"/>
  <c r="W13" i="81"/>
  <c r="S25" i="81"/>
  <c r="AC29" i="81"/>
  <c r="S31" i="81"/>
  <c r="AC37" i="81"/>
  <c r="W37" i="81"/>
  <c r="S10" i="81"/>
  <c r="U11" i="81"/>
  <c r="W12" i="81"/>
  <c r="S14" i="81"/>
  <c r="S15" i="81"/>
  <c r="S17" i="81"/>
  <c r="S19" i="81"/>
  <c r="S21" i="81"/>
  <c r="S23" i="81"/>
  <c r="U25" i="81"/>
  <c r="AB37" i="81"/>
  <c r="U37" i="81"/>
  <c r="U10" i="81"/>
  <c r="W11" i="81"/>
  <c r="S13" i="81"/>
  <c r="U14" i="81"/>
  <c r="U15" i="81"/>
  <c r="U17" i="81"/>
  <c r="U19" i="81"/>
  <c r="U21" i="81"/>
  <c r="U23" i="81"/>
  <c r="W25" i="81"/>
  <c r="U38" i="81"/>
  <c r="W39" i="81"/>
  <c r="S41" i="81"/>
  <c r="U42" i="81"/>
  <c r="W43" i="81"/>
  <c r="S45" i="81"/>
  <c r="U46" i="81"/>
  <c r="W47" i="81"/>
  <c r="W27" i="81"/>
  <c r="S29" i="81"/>
  <c r="U30" i="81"/>
  <c r="W31" i="81"/>
  <c r="S33" i="81"/>
  <c r="W35" i="81"/>
  <c r="W38" i="81"/>
  <c r="S40" i="81"/>
  <c r="U41" i="81"/>
  <c r="W42" i="81"/>
  <c r="S44" i="81"/>
  <c r="U45" i="81"/>
  <c r="W46" i="81"/>
  <c r="S28" i="81"/>
  <c r="U29" i="81"/>
  <c r="W30" i="81"/>
  <c r="S32" i="81"/>
  <c r="U33" i="81"/>
  <c r="S36" i="81"/>
  <c r="E37" i="81"/>
  <c r="F37" i="81" s="1"/>
  <c r="S39" i="81"/>
  <c r="U40" i="81"/>
  <c r="W41" i="81"/>
  <c r="S43" i="81"/>
  <c r="U44" i="81"/>
  <c r="W45" i="81"/>
  <c r="S47" i="81"/>
  <c r="T48" i="81"/>
  <c r="T49" i="81" s="1"/>
  <c r="G49" i="81" s="1"/>
  <c r="G53" i="81" s="1"/>
  <c r="H53" i="81" s="1"/>
  <c r="S35" i="81"/>
  <c r="U36" i="81"/>
  <c r="S38" i="81"/>
  <c r="U39" i="81"/>
  <c r="W40" i="81"/>
  <c r="S42" i="81"/>
  <c r="U43" i="81"/>
  <c r="W44" i="81"/>
  <c r="S46" i="81"/>
  <c r="U47" i="81"/>
  <c r="W24" i="1"/>
  <c r="V24" i="1" s="1"/>
  <c r="D14" i="9"/>
  <c r="J52" i="67"/>
  <c r="J49" i="67"/>
  <c r="G48" i="34"/>
  <c r="E48" i="34"/>
  <c r="G37" i="34"/>
  <c r="E37" i="34"/>
  <c r="C37" i="34"/>
  <c r="G34" i="34"/>
  <c r="E34" i="34"/>
  <c r="F27" i="80"/>
  <c r="F26" i="80"/>
  <c r="F123" i="34"/>
  <c r="E123" i="34"/>
  <c r="D123" i="34"/>
  <c r="C123" i="34"/>
  <c r="G117" i="34"/>
  <c r="F117" i="34"/>
  <c r="E117" i="34"/>
  <c r="D117" i="34"/>
  <c r="C117" i="34"/>
  <c r="G105" i="34"/>
  <c r="F105" i="34"/>
  <c r="C105" i="34"/>
  <c r="E105" i="34"/>
  <c r="G67" i="34"/>
  <c r="F67" i="34"/>
  <c r="C67" i="34"/>
  <c r="D67" i="34"/>
  <c r="I7" i="34"/>
  <c r="G7" i="34"/>
  <c r="E7" i="34"/>
  <c r="G5" i="34"/>
  <c r="E5" i="34"/>
  <c r="C5" i="34"/>
  <c r="A3" i="80"/>
  <c r="M8" i="88"/>
  <c r="F6" i="88"/>
  <c r="F9" i="88"/>
  <c r="F37" i="88"/>
  <c r="L48" i="88"/>
  <c r="M6" i="88"/>
  <c r="J15" i="87"/>
  <c r="F43" i="87"/>
  <c r="F13" i="87"/>
  <c r="M22" i="87"/>
  <c r="F16" i="87"/>
  <c r="F42" i="87"/>
  <c r="F40" i="87"/>
  <c r="M8" i="86"/>
  <c r="F6" i="86"/>
  <c r="F9" i="86"/>
  <c r="F37" i="86"/>
  <c r="L48" i="86"/>
  <c r="M6" i="86"/>
  <c r="J15" i="85"/>
  <c r="F43" i="85"/>
  <c r="M24" i="85"/>
  <c r="F16" i="85"/>
  <c r="M9" i="85"/>
  <c r="M28" i="85"/>
  <c r="M29" i="88"/>
  <c r="M24" i="88"/>
  <c r="L47" i="88"/>
  <c r="F16" i="88"/>
  <c r="F26" i="88"/>
  <c r="M26" i="88"/>
  <c r="M27" i="87"/>
  <c r="F7" i="87"/>
  <c r="F36" i="87"/>
  <c r="M9" i="87"/>
  <c r="F38" i="87"/>
  <c r="F8" i="87"/>
  <c r="M28" i="87"/>
  <c r="M29" i="86"/>
  <c r="M24" i="86"/>
  <c r="L47" i="86"/>
  <c r="F16" i="86"/>
  <c r="F26" i="86"/>
  <c r="M26" i="86"/>
  <c r="M27" i="85"/>
  <c r="F7" i="85"/>
  <c r="F38" i="85"/>
  <c r="J15" i="88"/>
  <c r="F43" i="88"/>
  <c r="F13" i="88"/>
  <c r="M9" i="88"/>
  <c r="F38" i="88"/>
  <c r="F42" i="88"/>
  <c r="F40" i="88"/>
  <c r="M8" i="87"/>
  <c r="F6" i="87"/>
  <c r="F9" i="87"/>
  <c r="M23" i="87"/>
  <c r="L48" i="87"/>
  <c r="M6" i="87"/>
  <c r="J15" i="86"/>
  <c r="F43" i="86"/>
  <c r="F13" i="86"/>
  <c r="M9" i="86"/>
  <c r="F38" i="86"/>
  <c r="F42" i="86"/>
  <c r="F40" i="86"/>
  <c r="M8" i="85"/>
  <c r="M22" i="85"/>
  <c r="F36" i="85"/>
  <c r="M23" i="85"/>
  <c r="L48" i="85"/>
  <c r="M27" i="88"/>
  <c r="F7" i="88"/>
  <c r="F36" i="88"/>
  <c r="M23" i="88"/>
  <c r="M22" i="88"/>
  <c r="F8" i="88"/>
  <c r="M28" i="88"/>
  <c r="M29" i="87"/>
  <c r="M24" i="87"/>
  <c r="L47" i="87"/>
  <c r="F37" i="87"/>
  <c r="F26" i="87"/>
  <c r="M26" i="87"/>
  <c r="M27" i="86"/>
  <c r="F7" i="86"/>
  <c r="F36" i="86"/>
  <c r="M23" i="86"/>
  <c r="M22" i="86"/>
  <c r="F8" i="86"/>
  <c r="M28" i="86"/>
  <c r="M29" i="85"/>
  <c r="F6" i="85"/>
  <c r="F9" i="85"/>
  <c r="F37" i="85"/>
  <c r="F26" i="85"/>
  <c r="M26" i="85"/>
  <c r="L47" i="85"/>
  <c r="F42" i="85"/>
  <c r="F40" i="85"/>
  <c r="F13" i="85"/>
  <c r="F8" i="85"/>
  <c r="M6" i="85"/>
  <c r="G54" i="84" l="1"/>
  <c r="H54" i="84" s="1"/>
  <c r="G54" i="83"/>
  <c r="H54" i="83" s="1"/>
  <c r="D124" i="92"/>
  <c r="D125" i="92" s="1"/>
  <c r="H110" i="92"/>
  <c r="D124" i="91"/>
  <c r="D125" i="91" s="1"/>
  <c r="H110" i="91"/>
  <c r="D124" i="90"/>
  <c r="D125" i="90" s="1"/>
  <c r="H110" i="90"/>
  <c r="D124" i="89"/>
  <c r="D125" i="89" s="1"/>
  <c r="H110" i="89"/>
  <c r="F68" i="88"/>
  <c r="F51" i="88"/>
  <c r="C27" i="88"/>
  <c r="L57" i="88"/>
  <c r="L56" i="88"/>
  <c r="I54" i="88"/>
  <c r="L60" i="88"/>
  <c r="J53" i="88"/>
  <c r="J57" i="88"/>
  <c r="J55" i="88" s="1"/>
  <c r="J58" i="88" s="1"/>
  <c r="Q50" i="88" s="1"/>
  <c r="F66" i="88"/>
  <c r="F65" i="88"/>
  <c r="N59" i="88"/>
  <c r="L58" i="88"/>
  <c r="M59" i="88"/>
  <c r="L59" i="88"/>
  <c r="F64" i="88"/>
  <c r="C6" i="88"/>
  <c r="F50" i="88"/>
  <c r="M7" i="88"/>
  <c r="J6" i="88" s="1"/>
  <c r="F71" i="88"/>
  <c r="F68" i="87"/>
  <c r="F51" i="87"/>
  <c r="C27" i="87"/>
  <c r="L57" i="87"/>
  <c r="L56" i="87"/>
  <c r="I54" i="87"/>
  <c r="L60" i="87"/>
  <c r="J53" i="87"/>
  <c r="J57" i="87"/>
  <c r="J55" i="87" s="1"/>
  <c r="J58" i="87" s="1"/>
  <c r="Q50" i="87" s="1"/>
  <c r="F66" i="87"/>
  <c r="F65" i="87"/>
  <c r="N59" i="87"/>
  <c r="L58" i="87"/>
  <c r="M59" i="87"/>
  <c r="L59" i="87"/>
  <c r="F64" i="87"/>
  <c r="C6" i="87"/>
  <c r="F50" i="87"/>
  <c r="M7" i="87"/>
  <c r="J6" i="87" s="1"/>
  <c r="F71" i="87"/>
  <c r="F68" i="86"/>
  <c r="F51" i="86"/>
  <c r="C27" i="86"/>
  <c r="L57" i="86"/>
  <c r="L56" i="86"/>
  <c r="I54" i="86"/>
  <c r="L60" i="86"/>
  <c r="J53" i="86"/>
  <c r="J57" i="86"/>
  <c r="J55" i="86" s="1"/>
  <c r="J58" i="86" s="1"/>
  <c r="Q50" i="86" s="1"/>
  <c r="F66" i="86"/>
  <c r="F65" i="86"/>
  <c r="N59" i="86"/>
  <c r="L58" i="86"/>
  <c r="M59" i="86"/>
  <c r="L59" i="86"/>
  <c r="F64" i="86"/>
  <c r="C6" i="86"/>
  <c r="F50" i="86"/>
  <c r="M7" i="86"/>
  <c r="J6" i="86" s="1"/>
  <c r="F71" i="86"/>
  <c r="F68" i="85"/>
  <c r="F51" i="85"/>
  <c r="C27" i="85"/>
  <c r="L57" i="85"/>
  <c r="L56" i="85"/>
  <c r="I54" i="85"/>
  <c r="L60" i="85"/>
  <c r="J53" i="85"/>
  <c r="J57" i="85"/>
  <c r="J55" i="85" s="1"/>
  <c r="J58" i="85" s="1"/>
  <c r="Q50" i="85" s="1"/>
  <c r="F66" i="85"/>
  <c r="F65" i="85"/>
  <c r="N59" i="85"/>
  <c r="L58" i="85"/>
  <c r="M59" i="85"/>
  <c r="L59" i="85"/>
  <c r="F64" i="85"/>
  <c r="C6" i="85"/>
  <c r="F50" i="85"/>
  <c r="M7" i="85"/>
  <c r="J6" i="85" s="1"/>
  <c r="F71" i="85"/>
  <c r="G53" i="84"/>
  <c r="H53" i="84" s="1"/>
  <c r="AA37" i="84"/>
  <c r="R49" i="84" s="1"/>
  <c r="S37" i="84"/>
  <c r="G53" i="83"/>
  <c r="H53" i="83" s="1"/>
  <c r="AA37" i="83"/>
  <c r="R49" i="83" s="1"/>
  <c r="S37" i="83"/>
  <c r="I53" i="83"/>
  <c r="J53" i="83" s="1"/>
  <c r="AC27" i="82"/>
  <c r="V49" i="82" s="1"/>
  <c r="I49" i="82" s="1"/>
  <c r="W27" i="82"/>
  <c r="AA37" i="82"/>
  <c r="R49" i="82" s="1"/>
  <c r="S37" i="82"/>
  <c r="T49" i="82"/>
  <c r="G49" i="82" s="1"/>
  <c r="V49" i="81"/>
  <c r="I49" i="81" s="1"/>
  <c r="G54" i="81" s="1"/>
  <c r="H54" i="81" s="1"/>
  <c r="AC34" i="81"/>
  <c r="W34" i="81"/>
  <c r="AA37" i="81"/>
  <c r="R49" i="81" s="1"/>
  <c r="S37" i="81"/>
  <c r="B59" i="1"/>
  <c r="B35" i="1"/>
  <c r="B21" i="1"/>
  <c r="Y6" i="1"/>
  <c r="N6" i="1"/>
  <c r="N22" i="1"/>
  <c r="N19" i="1"/>
  <c r="J14" i="4"/>
  <c r="J13" i="4"/>
  <c r="D3" i="4"/>
  <c r="C16" i="87"/>
  <c r="C17" i="86"/>
  <c r="C17" i="85"/>
  <c r="C16" i="88"/>
  <c r="C17" i="87"/>
  <c r="C14" i="86"/>
  <c r="C17" i="88"/>
  <c r="C14" i="87"/>
  <c r="C16" i="85"/>
  <c r="C14" i="88"/>
  <c r="C16" i="86"/>
  <c r="C14" i="85"/>
  <c r="C15" i="88" l="1"/>
  <c r="C18" i="88"/>
  <c r="J18" i="88"/>
  <c r="J19" i="88"/>
  <c r="C32" i="88"/>
  <c r="C33" i="88"/>
  <c r="Q61" i="88"/>
  <c r="Q74" i="88"/>
  <c r="Q52" i="88"/>
  <c r="F1" i="88"/>
  <c r="C49" i="88"/>
  <c r="Q73" i="88"/>
  <c r="Q60" i="88"/>
  <c r="Q66" i="88"/>
  <c r="Q57" i="88"/>
  <c r="C15" i="87"/>
  <c r="C18" i="87"/>
  <c r="J18" i="87"/>
  <c r="J19" i="87"/>
  <c r="C32" i="87"/>
  <c r="C33" i="87"/>
  <c r="Q61" i="87"/>
  <c r="Q74" i="87"/>
  <c r="Q52" i="87"/>
  <c r="F1" i="87"/>
  <c r="C49" i="87"/>
  <c r="Q73" i="87"/>
  <c r="Q60" i="87"/>
  <c r="Q66" i="87"/>
  <c r="Q57" i="87"/>
  <c r="C15" i="86"/>
  <c r="C18" i="86"/>
  <c r="J18" i="86"/>
  <c r="J19" i="86"/>
  <c r="C32" i="86"/>
  <c r="C33" i="86"/>
  <c r="Q61" i="86"/>
  <c r="Q74" i="86"/>
  <c r="Q52" i="86"/>
  <c r="F1" i="86"/>
  <c r="C49" i="86"/>
  <c r="Q73" i="86"/>
  <c r="Q60" i="86"/>
  <c r="Q66" i="86"/>
  <c r="Q57" i="86"/>
  <c r="C15" i="85"/>
  <c r="C18" i="85"/>
  <c r="J18" i="85"/>
  <c r="J19" i="85"/>
  <c r="Q61" i="85"/>
  <c r="Q74" i="85"/>
  <c r="Q52" i="85"/>
  <c r="F1" i="85"/>
  <c r="C49" i="85"/>
  <c r="C32" i="85"/>
  <c r="C33" i="85"/>
  <c r="Q73" i="85"/>
  <c r="Q60" i="85"/>
  <c r="Q66" i="85"/>
  <c r="Q57" i="85"/>
  <c r="R50" i="84"/>
  <c r="E49" i="84"/>
  <c r="R50" i="83"/>
  <c r="E49" i="83"/>
  <c r="R50" i="82"/>
  <c r="E49" i="82"/>
  <c r="I54" i="82" s="1"/>
  <c r="J54" i="82" s="1"/>
  <c r="I53" i="82"/>
  <c r="J53" i="82" s="1"/>
  <c r="G54" i="82"/>
  <c r="H54" i="82" s="1"/>
  <c r="G53" i="82"/>
  <c r="H53" i="82" s="1"/>
  <c r="R50" i="81"/>
  <c r="E49" i="81"/>
  <c r="I54" i="81"/>
  <c r="J54" i="81" s="1"/>
  <c r="I53" i="81"/>
  <c r="J53" i="81"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C19" i="88" l="1"/>
  <c r="C20" i="88" s="1"/>
  <c r="C26" i="88" s="1"/>
  <c r="C19" i="87"/>
  <c r="C20" i="87" s="1"/>
  <c r="C26" i="87" s="1"/>
  <c r="C19" i="86"/>
  <c r="C20" i="86" s="1"/>
  <c r="C26" i="86" s="1"/>
  <c r="C19" i="85"/>
  <c r="C20" i="85" s="1"/>
  <c r="C26" i="85" s="1"/>
  <c r="C61" i="88"/>
  <c r="C61" i="87"/>
  <c r="C61" i="86"/>
  <c r="C61" i="85"/>
  <c r="E54" i="84"/>
  <c r="F54" i="84" s="1"/>
  <c r="E53" i="84"/>
  <c r="F53" i="84" s="1"/>
  <c r="I54" i="84"/>
  <c r="J54" i="84" s="1"/>
  <c r="C50" i="84"/>
  <c r="C49" i="84"/>
  <c r="E54" i="83"/>
  <c r="F54" i="83" s="1"/>
  <c r="E53" i="83"/>
  <c r="F53" i="83" s="1"/>
  <c r="I54" i="83"/>
  <c r="J54" i="83" s="1"/>
  <c r="C50" i="83"/>
  <c r="C49" i="83"/>
  <c r="E54" i="82"/>
  <c r="F54" i="82" s="1"/>
  <c r="E53" i="82"/>
  <c r="F53" i="82" s="1"/>
  <c r="C50" i="82"/>
  <c r="C49" i="82"/>
  <c r="E54" i="81"/>
  <c r="F54" i="81" s="1"/>
  <c r="E53" i="81"/>
  <c r="F53" i="81" s="1"/>
  <c r="C50" i="81"/>
  <c r="C49" i="81"/>
  <c r="T28" i="79"/>
  <c r="W28" i="79" s="1"/>
  <c r="I8" i="79"/>
  <c r="B2" i="84" l="1"/>
  <c r="B3" i="84"/>
  <c r="B3" i="83"/>
  <c r="B2" i="83"/>
  <c r="B2" i="82"/>
  <c r="B3" i="82"/>
  <c r="B2" i="81"/>
  <c r="B3" i="81"/>
  <c r="I31" i="79"/>
  <c r="I30" i="79"/>
  <c r="N30" i="79"/>
  <c r="M30" i="79"/>
  <c r="P30" i="79" s="1"/>
  <c r="L30" i="79"/>
  <c r="N31" i="79"/>
  <c r="M31" i="79"/>
  <c r="L31" i="79"/>
  <c r="O7" i="79"/>
  <c r="N7" i="79"/>
  <c r="M7" i="79"/>
  <c r="P7" i="79" s="1"/>
  <c r="L7" i="79"/>
  <c r="K7" i="79"/>
  <c r="O8" i="79"/>
  <c r="N8" i="79"/>
  <c r="M8" i="79"/>
  <c r="P8" i="79" s="1"/>
  <c r="L8" i="79"/>
  <c r="K8" i="79"/>
  <c r="C20" i="91"/>
  <c r="C20" i="89"/>
  <c r="C20" i="92"/>
  <c r="C19" i="90"/>
  <c r="C20" i="90"/>
  <c r="C19" i="91"/>
  <c r="C19" i="89"/>
  <c r="C19" i="92"/>
  <c r="C103" i="89" l="1"/>
  <c r="C102" i="89"/>
  <c r="C21" i="89"/>
  <c r="C103" i="90"/>
  <c r="C102" i="90"/>
  <c r="C21" i="90"/>
  <c r="C103" i="92"/>
  <c r="C102" i="92"/>
  <c r="C21" i="92"/>
  <c r="C21" i="91"/>
  <c r="C102" i="91"/>
  <c r="C103" i="91"/>
  <c r="P31" i="79"/>
  <c r="G14" i="73" l="1"/>
  <c r="F14" i="73"/>
  <c r="E14" i="73"/>
  <c r="E11" i="1" l="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100" i="43" s="1"/>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B10" i="1" s="1"/>
  <c r="E10" i="1" s="1"/>
  <c r="A11" i="1"/>
  <c r="B11" i="1" s="1"/>
  <c r="A12" i="1"/>
  <c r="A13" i="1"/>
  <c r="A6" i="1"/>
  <c r="G1" i="67"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C18" i="20"/>
  <c r="B94" i="43" s="1"/>
  <c r="B73" i="43"/>
  <c r="C17" i="20"/>
  <c r="B61" i="43"/>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c r="H23" i="34"/>
  <c r="U23" i="34" s="1"/>
  <c r="J23" i="34"/>
  <c r="AC23" i="34" s="1"/>
  <c r="F19" i="34"/>
  <c r="S19" i="34" s="1"/>
  <c r="H17" i="34"/>
  <c r="U17" i="34" s="1"/>
  <c r="F15" i="34"/>
  <c r="S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c r="J25" i="34"/>
  <c r="AC25" i="34"/>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W41" i="34"/>
  <c r="AC42" i="34"/>
  <c r="U39" i="34"/>
  <c r="AA45" i="34"/>
  <c r="AA2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U38" i="34"/>
  <c r="AA8" i="34"/>
  <c r="S46" i="34"/>
  <c r="AA46"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7" i="76"/>
  <c r="E13" i="76"/>
  <c r="F9" i="67"/>
  <c r="D5" i="73"/>
  <c r="F40" i="67"/>
  <c r="B8" i="76"/>
  <c r="M26" i="67"/>
  <c r="M28" i="67"/>
  <c r="E11" i="76"/>
  <c r="M24" i="67"/>
  <c r="M23" i="67"/>
  <c r="F5" i="73"/>
  <c r="E10" i="76"/>
  <c r="M22" i="67"/>
  <c r="L48" i="67"/>
  <c r="E8" i="76"/>
  <c r="B12" i="76"/>
  <c r="D3" i="73"/>
  <c r="F16" i="67"/>
  <c r="F3" i="73"/>
  <c r="B10" i="76"/>
  <c r="E2" i="69"/>
  <c r="E12" i="76"/>
  <c r="F7" i="73"/>
  <c r="M6" i="67"/>
  <c r="E9" i="76"/>
  <c r="L47" i="67"/>
  <c r="B9" i="76"/>
  <c r="D35" i="9"/>
  <c r="F42" i="67"/>
  <c r="B11" i="76"/>
  <c r="D4" i="73"/>
  <c r="E2" i="68"/>
  <c r="M8" i="67"/>
  <c r="E7" i="76"/>
  <c r="M9" i="67"/>
  <c r="F36" i="67"/>
  <c r="C76" i="67"/>
  <c r="F4" i="73"/>
  <c r="F6" i="67"/>
  <c r="D34" i="9"/>
  <c r="F37" i="67"/>
  <c r="J15" i="67"/>
  <c r="B13" i="76"/>
  <c r="D6" i="73"/>
  <c r="F38" i="67"/>
  <c r="F20" i="31"/>
  <c r="F26" i="67"/>
  <c r="F8" i="67"/>
  <c r="AO13" i="1"/>
  <c r="F6" i="73"/>
  <c r="F13" i="67"/>
  <c r="D7" i="73"/>
  <c r="C40" i="69" l="1"/>
  <c r="A24" i="51"/>
  <c r="B18" i="72" s="1"/>
  <c r="K10" i="1"/>
  <c r="M10" i="1" s="1"/>
  <c r="O10" i="1" s="1"/>
  <c r="P10" i="1" s="1"/>
  <c r="G1" i="69"/>
  <c r="K1" i="12"/>
  <c r="G1" i="68"/>
  <c r="G1" i="15"/>
  <c r="B6" i="1"/>
  <c r="E6" i="1" s="1"/>
  <c r="F3" i="35"/>
  <c r="BA16" i="3"/>
  <c r="AZ16" i="3" s="1"/>
  <c r="BL15" i="3"/>
  <c r="AZ15" i="3" s="1"/>
  <c r="F28" i="6"/>
  <c r="BA14" i="3"/>
  <c r="AZ14" i="3" s="1"/>
  <c r="F27" i="34"/>
  <c r="AA27" i="34" s="1"/>
  <c r="H27" i="34"/>
  <c r="AB27" i="34" s="1"/>
  <c r="F90" i="34"/>
  <c r="G90" i="34" s="1"/>
  <c r="H90" i="34" s="1"/>
  <c r="I90" i="34" s="1"/>
  <c r="J90" i="34" s="1"/>
  <c r="K90" i="34" s="1"/>
  <c r="L90" i="34" s="1"/>
  <c r="M90" i="34" s="1"/>
  <c r="J27" i="34"/>
  <c r="S27" i="34"/>
  <c r="H37" i="34"/>
  <c r="U37" i="34" s="1"/>
  <c r="G112" i="34"/>
  <c r="H112" i="34" s="1"/>
  <c r="I112" i="34" s="1"/>
  <c r="J112" i="34" s="1"/>
  <c r="K112" i="34" s="1"/>
  <c r="L112" i="34" s="1"/>
  <c r="M112" i="34" s="1"/>
  <c r="F37" i="34"/>
  <c r="AA37" i="34" s="1"/>
  <c r="J37" i="34"/>
  <c r="AC37" i="34" s="1"/>
  <c r="U21" i="34"/>
  <c r="AA19" i="34"/>
  <c r="W19" i="34"/>
  <c r="AB17" i="34"/>
  <c r="AB41" i="34"/>
  <c r="AA33" i="34"/>
  <c r="AB44" i="34"/>
  <c r="S44" i="34"/>
  <c r="U43" i="34"/>
  <c r="S35" i="34"/>
  <c r="AB33" i="34"/>
  <c r="AC15" i="34"/>
  <c r="S23" i="34"/>
  <c r="AB23" i="34"/>
  <c r="AA21" i="34"/>
  <c r="AB19" i="34"/>
  <c r="S17" i="34"/>
  <c r="AC9" i="34"/>
  <c r="W9" i="34"/>
  <c r="H9" i="34"/>
  <c r="W8" i="34"/>
  <c r="AB8" i="34"/>
  <c r="S43" i="34"/>
  <c r="W43" i="34"/>
  <c r="S40" i="34"/>
  <c r="W40" i="34"/>
  <c r="AB40" i="34"/>
  <c r="AA39" i="34"/>
  <c r="AC39" i="34"/>
  <c r="AA38" i="34"/>
  <c r="AC38" i="34"/>
  <c r="S36" i="34"/>
  <c r="AC36" i="34"/>
  <c r="AB36" i="34"/>
  <c r="AB35" i="34"/>
  <c r="W33" i="34"/>
  <c r="B79" i="43"/>
  <c r="B41" i="1"/>
  <c r="C21" i="68"/>
  <c r="D22" i="15"/>
  <c r="D23" i="15"/>
  <c r="AZ17" i="3"/>
  <c r="BB5" i="3"/>
  <c r="G5" i="3"/>
  <c r="B3" i="3" s="1"/>
  <c r="E13" i="3" s="1"/>
  <c r="G29" i="6"/>
  <c r="G28" i="6"/>
  <c r="BA5" i="3"/>
  <c r="F29" i="6"/>
  <c r="A15" i="62"/>
  <c r="B61" i="72" s="1"/>
  <c r="D21" i="53"/>
  <c r="B39" i="72"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28" i="3"/>
  <c r="E560" i="3"/>
  <c r="W6" i="3"/>
  <c r="E450" i="3"/>
  <c r="E203" i="3"/>
  <c r="E279" i="3"/>
  <c r="E580" i="3"/>
  <c r="E567" i="3"/>
  <c r="E269" i="3"/>
  <c r="E271" i="3"/>
  <c r="E379" i="3"/>
  <c r="Z6" i="3"/>
  <c r="E411" i="3"/>
  <c r="E485" i="3"/>
  <c r="E432" i="3"/>
  <c r="E345" i="3"/>
  <c r="E547" i="3"/>
  <c r="E581" i="3"/>
  <c r="E444" i="3"/>
  <c r="E489" i="3"/>
  <c r="E28" i="3"/>
  <c r="E71" i="3"/>
  <c r="E92" i="3"/>
  <c r="E121" i="3"/>
  <c r="E166" i="3"/>
  <c r="E211" i="3"/>
  <c r="E210" i="3"/>
  <c r="E273" i="3"/>
  <c r="E331" i="3"/>
  <c r="E377" i="3"/>
  <c r="E384" i="3"/>
  <c r="E572" i="3"/>
  <c r="E44" i="3"/>
  <c r="E109" i="3"/>
  <c r="E441" i="3"/>
  <c r="I4" i="6"/>
  <c r="G3" i="43" s="1"/>
  <c r="J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3" i="6"/>
  <c r="P11" i="1"/>
  <c r="D9" i="11"/>
  <c r="C9" i="11" s="1"/>
  <c r="D19" i="12"/>
  <c r="C19" i="12" s="1"/>
  <c r="AZ13" i="3"/>
  <c r="O9" i="1"/>
  <c r="P9" i="1" s="1"/>
  <c r="O12" i="1"/>
  <c r="P12" i="1" s="1"/>
  <c r="O8" i="1"/>
  <c r="P8" i="1" s="1"/>
  <c r="H73" i="43"/>
  <c r="H90" i="43"/>
  <c r="O23" i="43"/>
  <c r="I18" i="43"/>
  <c r="E17" i="43" s="1"/>
  <c r="C17" i="43" s="1"/>
  <c r="F26" i="43"/>
  <c r="A1" i="79"/>
  <c r="H55" i="43"/>
  <c r="H86" i="43"/>
  <c r="H87" i="43"/>
  <c r="N94" i="46"/>
  <c r="H89" i="43"/>
  <c r="H88" i="43"/>
  <c r="H84" i="43"/>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8"/>
  <c r="F13" i="15"/>
  <c r="F36" i="15"/>
  <c r="M29" i="15"/>
  <c r="F7" i="15"/>
  <c r="F26" i="15"/>
  <c r="F40" i="15"/>
  <c r="L48" i="15"/>
  <c r="F37" i="15"/>
  <c r="F8" i="15"/>
  <c r="F6" i="15"/>
  <c r="L47" i="15"/>
  <c r="G1" i="73"/>
  <c r="M28" i="15"/>
  <c r="M9" i="15"/>
  <c r="F38" i="15"/>
  <c r="M8" i="15"/>
  <c r="M24" i="15"/>
  <c r="M6" i="15"/>
  <c r="D9" i="69"/>
  <c r="F16" i="15"/>
  <c r="F9" i="15"/>
  <c r="M22" i="15"/>
  <c r="M26" i="15"/>
  <c r="C76" i="15"/>
  <c r="J15" i="15"/>
  <c r="F43" i="15"/>
  <c r="M23" i="15"/>
  <c r="F42" i="15"/>
  <c r="F11" i="88" l="1"/>
  <c r="M11" i="88"/>
  <c r="J10" i="88" s="1"/>
  <c r="J5" i="88" s="1"/>
  <c r="F11" i="87"/>
  <c r="M11" i="87"/>
  <c r="J10" i="87" s="1"/>
  <c r="J5" i="87" s="1"/>
  <c r="F11" i="86"/>
  <c r="M11" i="86"/>
  <c r="J10" i="86" s="1"/>
  <c r="J5" i="86" s="1"/>
  <c r="F11" i="85"/>
  <c r="M11" i="85"/>
  <c r="J10" i="85" s="1"/>
  <c r="J5" i="85" s="1"/>
  <c r="N370" i="46"/>
  <c r="H26" i="43"/>
  <c r="E26" i="43"/>
  <c r="G26" i="43"/>
  <c r="F71" i="15"/>
  <c r="N59" i="15"/>
  <c r="L58" i="15"/>
  <c r="Q60" i="15" s="1"/>
  <c r="L59" i="15"/>
  <c r="Q74" i="15" s="1"/>
  <c r="M59" i="15"/>
  <c r="M7" i="15"/>
  <c r="J6" i="15" s="1"/>
  <c r="J18" i="15" s="1"/>
  <c r="F50" i="15"/>
  <c r="Q71" i="15"/>
  <c r="C6" i="15"/>
  <c r="F51" i="15"/>
  <c r="C27" i="15"/>
  <c r="F65" i="15"/>
  <c r="J53" i="15"/>
  <c r="L56" i="15" s="1"/>
  <c r="J57" i="15"/>
  <c r="J55" i="15" s="1"/>
  <c r="J58" i="15" s="1"/>
  <c r="Q50" i="15" s="1"/>
  <c r="I54" i="15"/>
  <c r="F64" i="15"/>
  <c r="F68" i="15"/>
  <c r="F66" i="15"/>
  <c r="E10" i="6"/>
  <c r="E11" i="6"/>
  <c r="E60" i="39" s="1"/>
  <c r="E15" i="6"/>
  <c r="E64" i="39" s="1"/>
  <c r="E12" i="6"/>
  <c r="E57" i="40" s="1"/>
  <c r="F30" i="6"/>
  <c r="AZ5" i="3"/>
  <c r="E14" i="6"/>
  <c r="E63" i="39" s="1"/>
  <c r="BL5" i="3"/>
  <c r="C34" i="34"/>
  <c r="D33" i="43"/>
  <c r="D1" i="43" s="1"/>
  <c r="E19" i="6"/>
  <c r="K6" i="1" s="1"/>
  <c r="K16" i="1" s="1"/>
  <c r="AC27" i="34"/>
  <c r="W27" i="34"/>
  <c r="U27" i="34"/>
  <c r="S37" i="34"/>
  <c r="U9" i="34"/>
  <c r="AB9" i="34"/>
  <c r="F48" i="9"/>
  <c r="O52" i="9" s="1"/>
  <c r="F31" i="12"/>
  <c r="C31" i="12" s="1"/>
  <c r="F30" i="69"/>
  <c r="D68" i="9"/>
  <c r="F30" i="68"/>
  <c r="F52" i="9"/>
  <c r="F32" i="15"/>
  <c r="F60" i="15" s="1"/>
  <c r="F54" i="9"/>
  <c r="F28" i="67"/>
  <c r="C28" i="67" s="1"/>
  <c r="F28" i="15"/>
  <c r="C28" i="15" s="1"/>
  <c r="F32" i="67"/>
  <c r="F60" i="67" s="1"/>
  <c r="F30" i="11"/>
  <c r="M18" i="67"/>
  <c r="M18" i="15"/>
  <c r="P6" i="1"/>
  <c r="C13" i="12" s="1"/>
  <c r="E29" i="3"/>
  <c r="AM6" i="3"/>
  <c r="E317" i="3"/>
  <c r="E291" i="3"/>
  <c r="E272" i="3"/>
  <c r="E182" i="3"/>
  <c r="E88" i="3"/>
  <c r="E546" i="3"/>
  <c r="E531" i="3"/>
  <c r="E367" i="3"/>
  <c r="E548" i="3"/>
  <c r="U6" i="3"/>
  <c r="E204" i="3"/>
  <c r="I6" i="3"/>
  <c r="E274" i="3"/>
  <c r="E433" i="3"/>
  <c r="E474" i="3"/>
  <c r="E480" i="3"/>
  <c r="E30" i="3"/>
  <c r="E334" i="3"/>
  <c r="E316" i="3"/>
  <c r="E295" i="3"/>
  <c r="E126" i="3"/>
  <c r="E70" i="3"/>
  <c r="E404" i="3"/>
  <c r="E403" i="3"/>
  <c r="E557" i="3"/>
  <c r="E400" i="3"/>
  <c r="AO6" i="3"/>
  <c r="E327" i="3"/>
  <c r="E236" i="3"/>
  <c r="E318" i="3"/>
  <c r="E73" i="3"/>
  <c r="E288" i="3"/>
  <c r="E434" i="3"/>
  <c r="E186" i="3"/>
  <c r="E162" i="3"/>
  <c r="E27" i="3"/>
  <c r="E447" i="3"/>
  <c r="E476" i="3"/>
  <c r="AS6" i="3"/>
  <c r="E505" i="3"/>
  <c r="E477" i="3"/>
  <c r="E414" i="3"/>
  <c r="E478" i="3"/>
  <c r="E515" i="3"/>
  <c r="E585" i="3"/>
  <c r="E107" i="3"/>
  <c r="E252" i="3"/>
  <c r="E368" i="3"/>
  <c r="E32" i="3"/>
  <c r="E394" i="3"/>
  <c r="E256" i="3"/>
  <c r="E54" i="3"/>
  <c r="E429" i="3"/>
  <c r="E457" i="3"/>
  <c r="Q6" i="3"/>
  <c r="E568" i="3"/>
  <c r="E558" i="3"/>
  <c r="E443" i="3"/>
  <c r="P6" i="3"/>
  <c r="E448" i="3"/>
  <c r="AG6" i="3"/>
  <c r="E576" i="3"/>
  <c r="E164" i="3"/>
  <c r="E89" i="3"/>
  <c r="E549" i="3"/>
  <c r="E31" i="3"/>
  <c r="E351" i="3"/>
  <c r="E150" i="3"/>
  <c r="E475" i="3"/>
  <c r="AE6" i="3"/>
  <c r="E481" i="3"/>
  <c r="E177" i="3"/>
  <c r="E145" i="3"/>
  <c r="E207" i="3"/>
  <c r="E196" i="3"/>
  <c r="E397" i="3"/>
  <c r="E93" i="3"/>
  <c r="E14" i="3"/>
  <c r="E357" i="3"/>
  <c r="E257" i="3"/>
  <c r="E208" i="3"/>
  <c r="E168" i="3"/>
  <c r="E72" i="3"/>
  <c r="E496" i="3"/>
  <c r="E537" i="3"/>
  <c r="E562" i="3"/>
  <c r="E424" i="3"/>
  <c r="E472" i="3"/>
  <c r="E330" i="3"/>
  <c r="E262" i="3"/>
  <c r="E156" i="3"/>
  <c r="E227" i="3"/>
  <c r="E74" i="3"/>
  <c r="E362" i="3"/>
  <c r="E315" i="3"/>
  <c r="E214" i="3"/>
  <c r="E171" i="3"/>
  <c r="E111" i="3"/>
  <c r="E55" i="3"/>
  <c r="E471" i="3"/>
  <c r="E571" i="3"/>
  <c r="E344" i="3"/>
  <c r="E438" i="3"/>
  <c r="E529" i="3"/>
  <c r="E133" i="3"/>
  <c r="E545" i="3"/>
  <c r="E146" i="3"/>
  <c r="E106" i="3"/>
  <c r="E454" i="3"/>
  <c r="E468" i="3"/>
  <c r="E577" i="3"/>
  <c r="E587" i="3"/>
  <c r="E465" i="3"/>
  <c r="E406" i="3"/>
  <c r="E437" i="3"/>
  <c r="K6" i="3"/>
  <c r="E277" i="3"/>
  <c r="AK6" i="3"/>
  <c r="E181" i="3"/>
  <c r="E77" i="3"/>
  <c r="E120" i="3"/>
  <c r="E128" i="3"/>
  <c r="E238" i="3"/>
  <c r="E527" i="3"/>
  <c r="E458" i="3"/>
  <c r="E573" i="3"/>
  <c r="E519" i="3"/>
  <c r="E193" i="3"/>
  <c r="E45" i="3"/>
  <c r="E99" i="3"/>
  <c r="E511" i="3"/>
  <c r="E314" i="3"/>
  <c r="E85" i="3"/>
  <c r="E453" i="3"/>
  <c r="E253" i="3"/>
  <c r="E532" i="3"/>
  <c r="E313" i="3"/>
  <c r="E224" i="3"/>
  <c r="E157" i="3"/>
  <c r="E306" i="3"/>
  <c r="E352" i="3"/>
  <c r="E136" i="3"/>
  <c r="E461" i="3"/>
  <c r="E122"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5" i="3"/>
  <c r="E244" i="3"/>
  <c r="E149" i="3"/>
  <c r="E167" i="3"/>
  <c r="E141" i="3"/>
  <c r="E312" i="3"/>
  <c r="AD6" i="3"/>
  <c r="E542" i="3"/>
  <c r="E552" i="3"/>
  <c r="E421" i="3"/>
  <c r="E464" i="3"/>
  <c r="E48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88" i="3"/>
  <c r="E393" i="3"/>
  <c r="E427"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E105" i="3"/>
  <c r="E398" i="3"/>
  <c r="E566" i="3"/>
  <c r="E436" i="3"/>
  <c r="E131" i="3"/>
  <c r="E297" i="3"/>
  <c r="E375" i="3"/>
  <c r="E488" i="3"/>
  <c r="E47" i="3"/>
  <c r="E195" i="3"/>
  <c r="E248" i="3"/>
  <c r="E386" i="3"/>
  <c r="E24" i="3"/>
  <c r="E250" i="3"/>
  <c r="E51" i="3"/>
  <c r="E222" i="3"/>
  <c r="E223" i="3"/>
  <c r="E493" i="3"/>
  <c r="E486"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18" i="3"/>
  <c r="E101" i="3"/>
  <c r="E329" i="3"/>
  <c r="E116" i="3"/>
  <c r="E564"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365" i="3"/>
  <c r="E16" i="3"/>
  <c r="E543" i="3"/>
  <c r="E459" i="3"/>
  <c r="E582" i="3"/>
  <c r="E460" i="3"/>
  <c r="E90" i="3"/>
  <c r="E155" i="3"/>
  <c r="E348" i="3"/>
  <c r="E58" i="3"/>
  <c r="E521" i="3"/>
  <c r="E65" i="3"/>
  <c r="E266" i="3"/>
  <c r="E584" i="3"/>
  <c r="E87" i="3"/>
  <c r="E341" i="3"/>
  <c r="E154" i="3"/>
  <c r="E373" i="3"/>
  <c r="E59" i="40"/>
  <c r="D18" i="53"/>
  <c r="B35" i="72" s="1"/>
  <c r="C7" i="74"/>
  <c r="J7" i="37"/>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F24" i="88"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67"/>
  <c r="Q52" i="67"/>
  <c r="Q61" i="67"/>
  <c r="Q74" i="67"/>
  <c r="AE11" i="1"/>
  <c r="AE12" i="1"/>
  <c r="C16" i="15"/>
  <c r="AE7" i="1"/>
  <c r="AE6" i="1"/>
  <c r="M29" i="67"/>
  <c r="F7" i="67"/>
  <c r="AE10" i="1"/>
  <c r="AE8" i="1"/>
  <c r="F43" i="67"/>
  <c r="AE9" i="1"/>
  <c r="C24" i="88" l="1"/>
  <c r="C23" i="88"/>
  <c r="J26" i="88"/>
  <c r="J24" i="88"/>
  <c r="C53" i="88"/>
  <c r="C48" i="88" s="1"/>
  <c r="C10" i="88"/>
  <c r="C5" i="88" s="1"/>
  <c r="J26" i="87"/>
  <c r="J24" i="87"/>
  <c r="F24" i="86"/>
  <c r="C23" i="86" s="1"/>
  <c r="F24" i="87"/>
  <c r="C53" i="87"/>
  <c r="C48" i="87" s="1"/>
  <c r="C10" i="87"/>
  <c r="C5" i="87" s="1"/>
  <c r="J26" i="86"/>
  <c r="J24" i="86"/>
  <c r="C53" i="86"/>
  <c r="C48" i="86" s="1"/>
  <c r="C10" i="86"/>
  <c r="C5" i="86" s="1"/>
  <c r="J26" i="85"/>
  <c r="J24" i="85"/>
  <c r="L36" i="43"/>
  <c r="Q36" i="43" s="1"/>
  <c r="F24" i="85"/>
  <c r="C53" i="85"/>
  <c r="C48" i="85" s="1"/>
  <c r="C10" i="85"/>
  <c r="C5" i="85" s="1"/>
  <c r="J5" i="15"/>
  <c r="J24" i="15" s="1"/>
  <c r="Q52" i="15"/>
  <c r="F1" i="15"/>
  <c r="D26" i="43"/>
  <c r="C25" i="43" s="1"/>
  <c r="C49" i="15"/>
  <c r="Q73" i="15"/>
  <c r="Q61" i="15"/>
  <c r="F71" i="67"/>
  <c r="C6" i="67"/>
  <c r="C32" i="67" s="1"/>
  <c r="M7" i="67"/>
  <c r="J6" i="67" s="1"/>
  <c r="J18" i="67" s="1"/>
  <c r="F50" i="67"/>
  <c r="C49" i="67" s="1"/>
  <c r="AP6" i="1"/>
  <c r="M6" i="1"/>
  <c r="O6" i="1" s="1"/>
  <c r="Q16" i="1"/>
  <c r="H16" i="1"/>
  <c r="G16" i="1"/>
  <c r="J34" i="34"/>
  <c r="H34" i="34"/>
  <c r="F34" i="34"/>
  <c r="C32" i="15"/>
  <c r="C48" i="11"/>
  <c r="C30" i="11"/>
  <c r="F48" i="69"/>
  <c r="C30" i="69"/>
  <c r="C48" i="69"/>
  <c r="F48" i="68"/>
  <c r="C48" i="68"/>
  <c r="C30" i="68"/>
  <c r="E65" i="39"/>
  <c r="E69"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C10" i="15"/>
  <c r="C5" i="15" s="1"/>
  <c r="C38" i="15" s="1"/>
  <c r="F25" i="12"/>
  <c r="F22" i="69"/>
  <c r="F41" i="69" s="1"/>
  <c r="F24" i="67"/>
  <c r="C24" i="67" s="1"/>
  <c r="F22" i="11"/>
  <c r="F22" i="68"/>
  <c r="F24" i="15"/>
  <c r="C24" i="15" s="1"/>
  <c r="F41" i="87"/>
  <c r="F41" i="67"/>
  <c r="F41" i="15"/>
  <c r="C16" i="67"/>
  <c r="F41" i="85"/>
  <c r="F41" i="86"/>
  <c r="M27" i="67"/>
  <c r="M27" i="15"/>
  <c r="F41" i="88"/>
  <c r="C36" i="69"/>
  <c r="C24" i="86" l="1"/>
  <c r="F69" i="88"/>
  <c r="F69" i="86"/>
  <c r="F69" i="85"/>
  <c r="F69" i="67"/>
  <c r="F69" i="87"/>
  <c r="J29" i="85"/>
  <c r="J29" i="86"/>
  <c r="J29" i="87"/>
  <c r="J29" i="88"/>
  <c r="C29" i="88"/>
  <c r="J59" i="88" s="1"/>
  <c r="J60" i="88" s="1"/>
  <c r="N36" i="43"/>
  <c r="P36" i="43"/>
  <c r="C10" i="67"/>
  <c r="C5" i="67" s="1"/>
  <c r="C38" i="67" s="1"/>
  <c r="L37" i="43"/>
  <c r="O37" i="43" s="1"/>
  <c r="C48" i="15"/>
  <c r="C66" i="15" s="1"/>
  <c r="M36" i="43"/>
  <c r="C38" i="88"/>
  <c r="C66" i="88"/>
  <c r="C60" i="88"/>
  <c r="C29" i="86"/>
  <c r="C38" i="87"/>
  <c r="C66" i="87"/>
  <c r="C60" i="87"/>
  <c r="O36" i="43"/>
  <c r="C24" i="87"/>
  <c r="C23" i="87"/>
  <c r="C38" i="86"/>
  <c r="C66" i="86"/>
  <c r="C60" i="86"/>
  <c r="C38" i="85"/>
  <c r="C66" i="85"/>
  <c r="C60" i="85"/>
  <c r="C24" i="85"/>
  <c r="C23" i="85"/>
  <c r="C48" i="67"/>
  <c r="C60" i="67" s="1"/>
  <c r="O16" i="1"/>
  <c r="AC34" i="34"/>
  <c r="V49" i="34" s="1"/>
  <c r="I49" i="34" s="1"/>
  <c r="I53" i="34" s="1"/>
  <c r="J53" i="34" s="1"/>
  <c r="W34" i="34"/>
  <c r="F27" i="11"/>
  <c r="F28" i="12"/>
  <c r="C29" i="12" s="1"/>
  <c r="D28" i="12" s="1"/>
  <c r="F27" i="68"/>
  <c r="F10" i="39"/>
  <c r="J10" i="39"/>
  <c r="J10" i="40"/>
  <c r="H10" i="40"/>
  <c r="H10" i="39"/>
  <c r="F10" i="40"/>
  <c r="B1" i="74"/>
  <c r="AA34" i="34"/>
  <c r="R49" i="34" s="1"/>
  <c r="S34" i="34"/>
  <c r="AB34" i="34"/>
  <c r="T49" i="34" s="1"/>
  <c r="G49" i="34" s="1"/>
  <c r="G53" i="34" s="1"/>
  <c r="H53" i="34" s="1"/>
  <c r="U34" i="34"/>
  <c r="J5" i="67"/>
  <c r="J24" i="67"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D10" i="68"/>
  <c r="C34" i="69"/>
  <c r="D10" i="69"/>
  <c r="C17" i="67"/>
  <c r="F27" i="69"/>
  <c r="C17" i="15"/>
  <c r="C14" i="67"/>
  <c r="C66" i="67" l="1"/>
  <c r="J14" i="88"/>
  <c r="J22" i="88" s="1"/>
  <c r="C57" i="88"/>
  <c r="C64" i="88" s="1"/>
  <c r="C13" i="88"/>
  <c r="Q70" i="88" s="1"/>
  <c r="Q49" i="88"/>
  <c r="C36" i="88"/>
  <c r="Q48" i="88"/>
  <c r="L46" i="88"/>
  <c r="C57" i="86"/>
  <c r="C64" i="86" s="1"/>
  <c r="J59" i="86"/>
  <c r="J60" i="86" s="1"/>
  <c r="Q37" i="43"/>
  <c r="M37" i="43"/>
  <c r="N37" i="43"/>
  <c r="P37" i="43"/>
  <c r="Q49" i="86"/>
  <c r="C13" i="86"/>
  <c r="C75" i="86" s="1"/>
  <c r="J14" i="86"/>
  <c r="J13" i="86" s="1"/>
  <c r="J23" i="86" s="1"/>
  <c r="C36" i="86"/>
  <c r="C60" i="15"/>
  <c r="C37" i="88"/>
  <c r="C29" i="87"/>
  <c r="J13" i="88"/>
  <c r="J23" i="88" s="1"/>
  <c r="C29" i="85"/>
  <c r="H22" i="6"/>
  <c r="H24" i="6"/>
  <c r="C28" i="11"/>
  <c r="C27" i="11" s="1"/>
  <c r="R50" i="34"/>
  <c r="E49" i="34"/>
  <c r="U10" i="39"/>
  <c r="AB10" i="39"/>
  <c r="S10" i="39"/>
  <c r="AA10" i="39"/>
  <c r="C29" i="11"/>
  <c r="D27" i="11" s="1"/>
  <c r="C47" i="11"/>
  <c r="D45" i="11" s="1"/>
  <c r="AB10" i="40"/>
  <c r="U10" i="40"/>
  <c r="C47" i="69"/>
  <c r="D45" i="69" s="1"/>
  <c r="C29" i="69"/>
  <c r="D27" i="69" s="1"/>
  <c r="F45" i="69"/>
  <c r="AC10" i="40"/>
  <c r="W10" i="40"/>
  <c r="F45" i="68"/>
  <c r="C47" i="68"/>
  <c r="D45" i="68" s="1"/>
  <c r="C29" i="68"/>
  <c r="D27" i="68" s="1"/>
  <c r="G54" i="34"/>
  <c r="H54" i="34" s="1"/>
  <c r="S10" i="40"/>
  <c r="AA10" i="40"/>
  <c r="W10" i="39"/>
  <c r="AC10" i="39"/>
  <c r="C25" i="11"/>
  <c r="C22" i="11" s="1"/>
  <c r="H21" i="6"/>
  <c r="R21" i="6" s="1"/>
  <c r="R8" i="1" s="1"/>
  <c r="D30" i="6"/>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M21" i="88"/>
  <c r="C14" i="15"/>
  <c r="F35" i="88"/>
  <c r="F35" i="86"/>
  <c r="E6" i="76"/>
  <c r="M21" i="86"/>
  <c r="F35" i="87"/>
  <c r="F35" i="85"/>
  <c r="B6" i="76"/>
  <c r="M21" i="87"/>
  <c r="M21" i="85"/>
  <c r="C56" i="88" l="1"/>
  <c r="C65" i="88" s="1"/>
  <c r="C75" i="88"/>
  <c r="C56" i="86"/>
  <c r="C65" i="86" s="1"/>
  <c r="J20" i="88"/>
  <c r="J17" i="88" s="1"/>
  <c r="J16" i="88" s="1"/>
  <c r="J25" i="88" s="1"/>
  <c r="F63" i="88"/>
  <c r="C62" i="88" s="1"/>
  <c r="C59" i="88" s="1"/>
  <c r="C34" i="88"/>
  <c r="C31" i="88" s="1"/>
  <c r="C30" i="88" s="1"/>
  <c r="C39" i="88" s="1"/>
  <c r="C37" i="86"/>
  <c r="J20" i="87"/>
  <c r="J17" i="87" s="1"/>
  <c r="C34" i="87"/>
  <c r="C31" i="87" s="1"/>
  <c r="F63" i="87"/>
  <c r="C62" i="87" s="1"/>
  <c r="C59" i="87" s="1"/>
  <c r="C36" i="87"/>
  <c r="J59" i="87"/>
  <c r="J60" i="87" s="1"/>
  <c r="Q70" i="86"/>
  <c r="J20" i="86"/>
  <c r="J17" i="86" s="1"/>
  <c r="F63" i="86"/>
  <c r="C62" i="86" s="1"/>
  <c r="C59" i="86" s="1"/>
  <c r="C58" i="86" s="1"/>
  <c r="C67" i="86" s="1"/>
  <c r="C68" i="86" s="1"/>
  <c r="C71" i="86" s="1"/>
  <c r="C34" i="86"/>
  <c r="C31" i="86" s="1"/>
  <c r="Q48" i="86"/>
  <c r="L46" i="86"/>
  <c r="J20" i="85"/>
  <c r="J17" i="85" s="1"/>
  <c r="C34" i="85"/>
  <c r="C31" i="85" s="1"/>
  <c r="F63" i="85"/>
  <c r="C62" i="85" s="1"/>
  <c r="C59" i="85" s="1"/>
  <c r="C36" i="85"/>
  <c r="J59" i="85"/>
  <c r="J60" i="85" s="1"/>
  <c r="J22" i="86"/>
  <c r="C13" i="87"/>
  <c r="C56" i="87" s="1"/>
  <c r="C65" i="87" s="1"/>
  <c r="C57" i="87"/>
  <c r="C64" i="87" s="1"/>
  <c r="C13" i="85"/>
  <c r="Q70" i="85" s="1"/>
  <c r="Q49" i="87"/>
  <c r="J14" i="87"/>
  <c r="J13" i="87" s="1"/>
  <c r="J23" i="87" s="1"/>
  <c r="J14" i="85"/>
  <c r="J13" i="85" s="1"/>
  <c r="J23" i="85" s="1"/>
  <c r="Q49" i="85"/>
  <c r="C57" i="85"/>
  <c r="C64" i="85" s="1"/>
  <c r="C31" i="11"/>
  <c r="E53" i="34"/>
  <c r="F53" i="34" s="1"/>
  <c r="I54" i="34"/>
  <c r="J54" i="34" s="1"/>
  <c r="E54" i="34"/>
  <c r="F54" i="34" s="1"/>
  <c r="C50" i="34"/>
  <c r="C49" i="3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51" i="88"/>
  <c r="C58" i="88" l="1"/>
  <c r="C67" i="88" s="1"/>
  <c r="C68" i="88" s="1"/>
  <c r="C71" i="88" s="1"/>
  <c r="C30" i="86"/>
  <c r="C39" i="86" s="1"/>
  <c r="Q69" i="86" s="1"/>
  <c r="Q68" i="86" s="1"/>
  <c r="J16" i="86"/>
  <c r="J25" i="86" s="1"/>
  <c r="C40" i="88"/>
  <c r="Q65" i="88" s="1"/>
  <c r="Q75" i="88" s="1"/>
  <c r="Q69" i="88"/>
  <c r="Q68" i="88" s="1"/>
  <c r="H39" i="88"/>
  <c r="C80" i="88"/>
  <c r="C79" i="88" s="1"/>
  <c r="Q48" i="87"/>
  <c r="L46" i="87"/>
  <c r="Q48" i="85"/>
  <c r="L46" i="85"/>
  <c r="C37" i="87"/>
  <c r="C30" i="87" s="1"/>
  <c r="C39" i="87" s="1"/>
  <c r="H39" i="87" s="1"/>
  <c r="Q70" i="87"/>
  <c r="C75" i="87"/>
  <c r="C75" i="85"/>
  <c r="C56" i="85"/>
  <c r="C65" i="85" s="1"/>
  <c r="C58" i="85" s="1"/>
  <c r="C67" i="85" s="1"/>
  <c r="C68" i="85" s="1"/>
  <c r="C71" i="85" s="1"/>
  <c r="J22" i="85"/>
  <c r="J16" i="85" s="1"/>
  <c r="J25" i="85" s="1"/>
  <c r="C58" i="87"/>
  <c r="C67" i="87" s="1"/>
  <c r="C68" i="87" s="1"/>
  <c r="C71" i="87" s="1"/>
  <c r="C37" i="85"/>
  <c r="C30" i="85" s="1"/>
  <c r="C39" i="85" s="1"/>
  <c r="H39" i="85" s="1"/>
  <c r="J22" i="87"/>
  <c r="J16" i="87" s="1"/>
  <c r="J25" i="87" s="1"/>
  <c r="Q67" i="88"/>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7"/>
  <c r="L51" i="86"/>
  <c r="D2" i="88" l="1"/>
  <c r="B2" i="88" s="1"/>
  <c r="C45" i="88"/>
  <c r="C46" i="88" s="1"/>
  <c r="H39" i="86"/>
  <c r="Q56" i="88"/>
  <c r="Q62" i="88" s="1"/>
  <c r="C80" i="86"/>
  <c r="C79" i="86" s="1"/>
  <c r="C40" i="86"/>
  <c r="C43" i="86" s="1"/>
  <c r="Q67" i="86"/>
  <c r="C43" i="88"/>
  <c r="Q47" i="88"/>
  <c r="Q53" i="88" s="1"/>
  <c r="C40" i="87"/>
  <c r="C45" i="87" s="1"/>
  <c r="C46" i="87" s="1"/>
  <c r="Q69" i="87"/>
  <c r="Q68" i="87" s="1"/>
  <c r="C83" i="88"/>
  <c r="C82" i="88" s="1"/>
  <c r="C80" i="87"/>
  <c r="C79" i="87" s="1"/>
  <c r="Q69" i="85"/>
  <c r="Q68" i="85" s="1"/>
  <c r="C80" i="85"/>
  <c r="C79" i="85" s="1"/>
  <c r="C40" i="85"/>
  <c r="Q65" i="85" s="1"/>
  <c r="Q75" i="85" s="1"/>
  <c r="B3" i="88"/>
  <c r="Q67" i="87"/>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L51" i="85"/>
  <c r="F35" i="67"/>
  <c r="D20" i="92"/>
  <c r="M21" i="15"/>
  <c r="D19" i="92"/>
  <c r="F35" i="15"/>
  <c r="M21" i="67"/>
  <c r="D2" i="86" l="1"/>
  <c r="B2" i="86" s="1"/>
  <c r="Q56" i="86"/>
  <c r="Q62" i="86" s="1"/>
  <c r="Q65" i="86"/>
  <c r="Q75" i="86" s="1"/>
  <c r="Q47" i="87"/>
  <c r="Q53" i="87" s="1"/>
  <c r="C83" i="86"/>
  <c r="C82" i="86" s="1"/>
  <c r="C45" i="86"/>
  <c r="C46" i="86" s="1"/>
  <c r="Q47" i="86"/>
  <c r="Q53" i="86" s="1"/>
  <c r="C43" i="87"/>
  <c r="Q67" i="85"/>
  <c r="C83" i="87"/>
  <c r="C82" i="87" s="1"/>
  <c r="Q65" i="87"/>
  <c r="Q75" i="87" s="1"/>
  <c r="Q56" i="87"/>
  <c r="Q62" i="87" s="1"/>
  <c r="D2" i="87"/>
  <c r="B3" i="87" s="1"/>
  <c r="D21" i="92"/>
  <c r="D22" i="92"/>
  <c r="D102" i="92"/>
  <c r="G19" i="92"/>
  <c r="G21" i="92" s="1"/>
  <c r="D103" i="92"/>
  <c r="G20" i="92"/>
  <c r="C32" i="92" s="1"/>
  <c r="D2" i="85"/>
  <c r="B2" i="85" s="1"/>
  <c r="C45" i="85"/>
  <c r="C46" i="85" s="1"/>
  <c r="C83" i="85"/>
  <c r="C82" i="85" s="1"/>
  <c r="Q56" i="85"/>
  <c r="Q62" i="85" s="1"/>
  <c r="C43" i="85"/>
  <c r="Q47" i="85"/>
  <c r="Q53" i="85"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19" i="90"/>
  <c r="D20" i="91"/>
  <c r="D19" i="89"/>
  <c r="B3" i="69"/>
  <c r="B3" i="86" l="1"/>
  <c r="D21" i="90"/>
  <c r="D22" i="90"/>
  <c r="D102" i="90"/>
  <c r="G19" i="90"/>
  <c r="G21" i="90" s="1"/>
  <c r="B2" i="87"/>
  <c r="B3" i="85"/>
  <c r="I118" i="92"/>
  <c r="C35" i="92"/>
  <c r="G118" i="92" s="1"/>
  <c r="F118" i="92" s="1"/>
  <c r="F119" i="92" s="1"/>
  <c r="G20" i="91"/>
  <c r="C32" i="91" s="1"/>
  <c r="D103" i="91"/>
  <c r="D22" i="89"/>
  <c r="D102" i="89"/>
  <c r="G19" i="89"/>
  <c r="G21" i="89" s="1"/>
  <c r="D21" i="8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0"/>
  <c r="D19" i="91"/>
  <c r="D20" i="89"/>
  <c r="D2" i="21"/>
  <c r="G20" i="90" l="1"/>
  <c r="C32" i="90" s="1"/>
  <c r="I118" i="90" s="1"/>
  <c r="H102" i="90" s="1"/>
  <c r="E32" i="74" s="1"/>
  <c r="D103" i="90"/>
  <c r="D21" i="91"/>
  <c r="D22" i="91"/>
  <c r="D102" i="91"/>
  <c r="G19" i="91"/>
  <c r="G21" i="91" s="1"/>
  <c r="C35" i="90"/>
  <c r="G118" i="90" s="1"/>
  <c r="F118" i="90" s="1"/>
  <c r="F119" i="90" s="1"/>
  <c r="C34" i="92"/>
  <c r="G20" i="89"/>
  <c r="C32" i="89" s="1"/>
  <c r="C35" i="89" s="1"/>
  <c r="G118" i="89" s="1"/>
  <c r="F118" i="89" s="1"/>
  <c r="F119" i="89" s="1"/>
  <c r="D103" i="89"/>
  <c r="H102" i="92"/>
  <c r="E34" i="74" s="1"/>
  <c r="E118" i="92"/>
  <c r="D118" i="92" s="1"/>
  <c r="D119" i="92" s="1"/>
  <c r="C105" i="92"/>
  <c r="H118" i="92"/>
  <c r="C34" i="90"/>
  <c r="I118" i="91"/>
  <c r="C35" i="91"/>
  <c r="G118" i="91" s="1"/>
  <c r="F118" i="91" s="1"/>
  <c r="F119" i="91" s="1"/>
  <c r="C105" i="90"/>
  <c r="H118" i="90"/>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I118" i="89" l="1"/>
  <c r="C105" i="89" s="1"/>
  <c r="E118" i="90"/>
  <c r="D118" i="90" s="1"/>
  <c r="D119" i="90" s="1"/>
  <c r="C34" i="91"/>
  <c r="H101" i="92"/>
  <c r="D34" i="74" s="1"/>
  <c r="C104" i="92"/>
  <c r="H119" i="92"/>
  <c r="H118" i="91"/>
  <c r="H102" i="91"/>
  <c r="E33" i="74" s="1"/>
  <c r="E118" i="91"/>
  <c r="D118" i="91" s="1"/>
  <c r="D119" i="91" s="1"/>
  <c r="C105" i="91"/>
  <c r="C34" i="89"/>
  <c r="H101" i="90"/>
  <c r="D32" i="74" s="1"/>
  <c r="C104" i="90"/>
  <c r="H119" i="90"/>
  <c r="E118" i="89"/>
  <c r="D118" i="89" s="1"/>
  <c r="D119" i="89"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19" i="9"/>
  <c r="D2" i="37"/>
  <c r="L51" i="15"/>
  <c r="D2" i="34"/>
  <c r="H102" i="89" l="1"/>
  <c r="E31" i="74" s="1"/>
  <c r="H118" i="89"/>
  <c r="C104" i="89" s="1"/>
  <c r="H107" i="92"/>
  <c r="G34" i="74" s="1"/>
  <c r="M48" i="92"/>
  <c r="D45" i="92"/>
  <c r="H119" i="91"/>
  <c r="H101" i="91"/>
  <c r="D33" i="74" s="1"/>
  <c r="C104" i="91"/>
  <c r="D45" i="90"/>
  <c r="M48" i="90"/>
  <c r="H107" i="90"/>
  <c r="G32" i="74"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6" i="1"/>
  <c r="AO10" i="1"/>
  <c r="C19" i="9"/>
  <c r="AO12" i="1"/>
  <c r="D20" i="9"/>
  <c r="AO8" i="1"/>
  <c r="AO7" i="1"/>
  <c r="AO11" i="1"/>
  <c r="H119" i="89" l="1"/>
  <c r="H101" i="89"/>
  <c r="D31" i="74" s="1"/>
  <c r="C64" i="92"/>
  <c r="C63" i="92" s="1"/>
  <c r="C67" i="92" s="1"/>
  <c r="C93" i="92"/>
  <c r="C86" i="92" s="1"/>
  <c r="D53" i="92"/>
  <c r="C85" i="92"/>
  <c r="D52" i="92"/>
  <c r="C72" i="92"/>
  <c r="C78" i="92"/>
  <c r="C73" i="92" s="1"/>
  <c r="D55" i="92"/>
  <c r="M53" i="92" s="1"/>
  <c r="H108" i="92"/>
  <c r="M49" i="92"/>
  <c r="D122" i="92"/>
  <c r="D123" i="92" s="1"/>
  <c r="M48" i="91"/>
  <c r="D45" i="91"/>
  <c r="H107" i="91"/>
  <c r="G33" i="74" s="1"/>
  <c r="M49" i="90"/>
  <c r="D122" i="90"/>
  <c r="D123" i="90" s="1"/>
  <c r="H108" i="90"/>
  <c r="D53" i="90"/>
  <c r="C85" i="90"/>
  <c r="C78" i="90"/>
  <c r="C73" i="90" s="1"/>
  <c r="D55" i="90"/>
  <c r="M53" i="90" s="1"/>
  <c r="C64" i="90"/>
  <c r="C63" i="90" s="1"/>
  <c r="C67" i="90" s="1"/>
  <c r="C72" i="90"/>
  <c r="D52" i="90"/>
  <c r="C93" i="90"/>
  <c r="C86" i="90" s="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H107" i="89" l="1"/>
  <c r="G31" i="74" s="1"/>
  <c r="D45" i="89"/>
  <c r="C72" i="89" s="1"/>
  <c r="M48" i="89"/>
  <c r="C95" i="92"/>
  <c r="C96" i="92" s="1"/>
  <c r="E96" i="92" s="1"/>
  <c r="E97" i="92" s="1"/>
  <c r="L67" i="92"/>
  <c r="M67" i="92" s="1"/>
  <c r="L66" i="92"/>
  <c r="M66" i="92" s="1"/>
  <c r="L65" i="92"/>
  <c r="M65" i="92" s="1"/>
  <c r="L64" i="92"/>
  <c r="M64" i="92" s="1"/>
  <c r="L63" i="92"/>
  <c r="M63" i="92" s="1"/>
  <c r="L68" i="92"/>
  <c r="M68" i="92" s="1"/>
  <c r="C79" i="92"/>
  <c r="C68" i="92"/>
  <c r="D54" i="92" s="1"/>
  <c r="D59" i="92"/>
  <c r="M55" i="92" s="1"/>
  <c r="H108" i="91"/>
  <c r="M49" i="91"/>
  <c r="D122" i="91"/>
  <c r="D123" i="91" s="1"/>
  <c r="C64" i="91"/>
  <c r="C63" i="91" s="1"/>
  <c r="C67" i="91" s="1"/>
  <c r="C93" i="91"/>
  <c r="C86" i="91" s="1"/>
  <c r="D53" i="91"/>
  <c r="C85" i="91"/>
  <c r="C78" i="91"/>
  <c r="C73" i="91" s="1"/>
  <c r="D55" i="91"/>
  <c r="M53" i="91" s="1"/>
  <c r="C72" i="91"/>
  <c r="D52" i="91"/>
  <c r="D59" i="90"/>
  <c r="M55" i="90" s="1"/>
  <c r="C68" i="90"/>
  <c r="D54" i="90" s="1"/>
  <c r="C79" i="90"/>
  <c r="C95" i="90"/>
  <c r="L68" i="90"/>
  <c r="M68" i="90" s="1"/>
  <c r="L67" i="90"/>
  <c r="M67" i="90" s="1"/>
  <c r="L66" i="90"/>
  <c r="M66" i="90" s="1"/>
  <c r="L65" i="90"/>
  <c r="M65" i="90" s="1"/>
  <c r="L64" i="90"/>
  <c r="M64" i="90" s="1"/>
  <c r="L63" i="90"/>
  <c r="M63" i="90" s="1"/>
  <c r="D122" i="89"/>
  <c r="D123" i="89" s="1"/>
  <c r="C78" i="89"/>
  <c r="C73" i="89" s="1"/>
  <c r="D55" i="89"/>
  <c r="M53" i="89" s="1"/>
  <c r="D53" i="89"/>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5" i="89" l="1"/>
  <c r="M49" i="89"/>
  <c r="L64" i="89" s="1"/>
  <c r="M64" i="89" s="1"/>
  <c r="C64" i="89"/>
  <c r="C63" i="89" s="1"/>
  <c r="C67" i="89" s="1"/>
  <c r="D59" i="89" s="1"/>
  <c r="M55" i="89" s="1"/>
  <c r="D52" i="89"/>
  <c r="H108" i="89"/>
  <c r="C93" i="89"/>
  <c r="C86" i="89" s="1"/>
  <c r="C95" i="89" s="1"/>
  <c r="C96" i="89" s="1"/>
  <c r="E96" i="89" s="1"/>
  <c r="E97" i="89" s="1"/>
  <c r="C95" i="91"/>
  <c r="C96" i="91" s="1"/>
  <c r="E96" i="91" s="1"/>
  <c r="E97" i="91" s="1"/>
  <c r="M69" i="92"/>
  <c r="N69" i="92" s="1"/>
  <c r="C80" i="92"/>
  <c r="E80" i="92" s="1"/>
  <c r="E81" i="92" s="1"/>
  <c r="C97" i="92"/>
  <c r="D58" i="92" s="1"/>
  <c r="D56" i="92" s="1"/>
  <c r="M54" i="92" s="1"/>
  <c r="N57" i="92" s="1"/>
  <c r="C68" i="91"/>
  <c r="D54" i="91" s="1"/>
  <c r="D59" i="91"/>
  <c r="M55" i="91" s="1"/>
  <c r="C79" i="91"/>
  <c r="L64" i="91"/>
  <c r="M64" i="91" s="1"/>
  <c r="L63" i="91"/>
  <c r="M63" i="91" s="1"/>
  <c r="L68" i="91"/>
  <c r="M68" i="91" s="1"/>
  <c r="L67" i="91"/>
  <c r="M67" i="91" s="1"/>
  <c r="L65" i="91"/>
  <c r="M65" i="91" s="1"/>
  <c r="L66" i="91"/>
  <c r="M66" i="91" s="1"/>
  <c r="C96" i="90"/>
  <c r="E96" i="90" s="1"/>
  <c r="E97" i="90" s="1"/>
  <c r="C80" i="90"/>
  <c r="E80" i="90" s="1"/>
  <c r="E81" i="90" s="1"/>
  <c r="M69" i="90"/>
  <c r="N69" i="90" s="1"/>
  <c r="C68" i="89"/>
  <c r="D54" i="89" s="1"/>
  <c r="L67" i="89"/>
  <c r="M67" i="89" s="1"/>
  <c r="L66" i="89"/>
  <c r="M66" i="89" s="1"/>
  <c r="L65" i="89"/>
  <c r="M65" i="89" s="1"/>
  <c r="L63" i="89"/>
  <c r="M63" i="89" s="1"/>
  <c r="L68" i="89"/>
  <c r="M68" i="89" s="1"/>
  <c r="C79" i="89"/>
  <c r="C42" i="40"/>
  <c r="C43" i="40"/>
  <c r="E47" i="40"/>
  <c r="F47" i="40" s="1"/>
  <c r="E46" i="40"/>
  <c r="F46" i="40" s="1"/>
  <c r="I47" i="40"/>
  <c r="J47" i="40" s="1"/>
  <c r="N58" i="92" l="1"/>
  <c r="P57" i="92"/>
  <c r="N59" i="92"/>
  <c r="C81" i="92"/>
  <c r="C97" i="90"/>
  <c r="D58" i="90" s="1"/>
  <c r="D56" i="90" s="1"/>
  <c r="M54" i="90" s="1"/>
  <c r="N57" i="90" s="1"/>
  <c r="N58" i="90" s="1"/>
  <c r="M69" i="91"/>
  <c r="N69" i="91" s="1"/>
  <c r="C97" i="91"/>
  <c r="D58" i="91" s="1"/>
  <c r="D56" i="91" s="1"/>
  <c r="M54" i="91" s="1"/>
  <c r="N57" i="91" s="1"/>
  <c r="C80" i="91"/>
  <c r="E80" i="91" s="1"/>
  <c r="E81" i="91" s="1"/>
  <c r="C81" i="90"/>
  <c r="C97" i="89"/>
  <c r="D58" i="89" s="1"/>
  <c r="D56" i="89" s="1"/>
  <c r="M54" i="89" s="1"/>
  <c r="N57" i="89" s="1"/>
  <c r="N58" i="89" s="1"/>
  <c r="M69" i="89"/>
  <c r="N69" i="89" s="1"/>
  <c r="C80" i="89"/>
  <c r="E80" i="89" s="1"/>
  <c r="E81" i="89" s="1"/>
  <c r="B58" i="40"/>
  <c r="F58" i="40" s="1"/>
  <c r="B54" i="40"/>
  <c r="F54" i="40" s="1"/>
  <c r="B53" i="40"/>
  <c r="F53" i="40" s="1"/>
  <c r="B59" i="40"/>
  <c r="F59" i="40" s="1"/>
  <c r="B52" i="40"/>
  <c r="F52" i="40" s="1"/>
  <c r="B56" i="40"/>
  <c r="F56" i="40" s="1"/>
  <c r="B60" i="40"/>
  <c r="F60" i="40" s="1"/>
  <c r="B57" i="40"/>
  <c r="F57" i="40" s="1"/>
  <c r="B51" i="40"/>
  <c r="F51" i="40" s="1"/>
  <c r="F61" i="40"/>
  <c r="B2" i="40" s="1"/>
  <c r="B3" i="40" s="1"/>
  <c r="N61" i="92" l="1"/>
  <c r="N60" i="92"/>
  <c r="N59" i="90"/>
  <c r="N61" i="90" s="1"/>
  <c r="P57" i="90"/>
  <c r="C81" i="91"/>
  <c r="N58" i="91"/>
  <c r="P57" i="91"/>
  <c r="N59" i="91"/>
  <c r="N59" i="89"/>
  <c r="N61" i="89" s="1"/>
  <c r="P57" i="89"/>
  <c r="C81" i="89"/>
  <c r="G118" i="9"/>
  <c r="F118" i="9" s="1"/>
  <c r="I118" i="9"/>
  <c r="C105" i="9" s="1"/>
  <c r="N60" i="89" l="1"/>
  <c r="N60" i="90"/>
  <c r="N61" i="91"/>
  <c r="N60" i="91"/>
  <c r="H118" i="9"/>
  <c r="C104" i="9" s="1"/>
  <c r="I4" i="52"/>
  <c r="H102" i="9"/>
  <c r="E30" i="74" s="1"/>
  <c r="F4" i="52"/>
  <c r="B51" i="72" s="1"/>
  <c r="F119" i="9"/>
  <c r="F5" i="52" s="1"/>
  <c r="B53" i="72" s="1"/>
  <c r="G4" i="52"/>
  <c r="B52" i="72" s="1"/>
  <c r="E118" i="9"/>
  <c r="H101" i="9" l="1"/>
  <c r="M48" i="9" s="1"/>
  <c r="H4" i="52"/>
  <c r="H119" i="9"/>
  <c r="H5" i="52" s="1"/>
  <c r="D7" i="53"/>
  <c r="B21" i="72" s="1"/>
  <c r="D45" i="9"/>
  <c r="D118" i="9"/>
  <c r="E4" i="52"/>
  <c r="B48" i="72" s="1"/>
  <c r="H107" i="9" l="1"/>
  <c r="H108" i="9" s="1"/>
  <c r="D5" i="53"/>
  <c r="B20" i="72" s="1"/>
  <c r="D30" i="74"/>
  <c r="D14" i="74" s="1"/>
  <c r="E14" i="74" s="1"/>
  <c r="D4" i="52"/>
  <c r="B47" i="72" s="1"/>
  <c r="D119" i="9"/>
  <c r="D5" i="52" s="1"/>
  <c r="B49" i="72" s="1"/>
  <c r="D52" i="9"/>
  <c r="C78" i="9"/>
  <c r="C73" i="9" s="1"/>
  <c r="C93" i="9"/>
  <c r="C86" i="9" s="1"/>
  <c r="D53" i="9"/>
  <c r="D55" i="9"/>
  <c r="M53" i="9" s="1"/>
  <c r="C72" i="9"/>
  <c r="C85" i="9"/>
  <c r="C64" i="9"/>
  <c r="C63" i="9" s="1"/>
  <c r="C67" i="9" s="1"/>
  <c r="M49" i="9" l="1"/>
  <c r="L66" i="9" s="1"/>
  <c r="M66" i="9" s="1"/>
  <c r="D6" i="53"/>
  <c r="B22" i="72" s="1"/>
  <c r="D13" i="53"/>
  <c r="D14" i="53" s="1"/>
  <c r="B32" i="72" s="1"/>
  <c r="G30" i="74"/>
  <c r="G14" i="74" s="1"/>
  <c r="B6" i="74" s="1"/>
  <c r="D6" i="74" s="1"/>
  <c r="D122" i="9"/>
  <c r="D123" i="9" s="1"/>
  <c r="D9" i="52" s="1"/>
  <c r="B5" i="74"/>
  <c r="D5" i="74" s="1"/>
  <c r="F14" i="74"/>
  <c r="C79" i="9"/>
  <c r="C80" i="9" s="1"/>
  <c r="E80" i="9" s="1"/>
  <c r="E81" i="9" s="1"/>
  <c r="C95" i="9"/>
  <c r="C96" i="9" s="1"/>
  <c r="E96" i="9" s="1"/>
  <c r="E97" i="9" s="1"/>
  <c r="D59" i="9"/>
  <c r="M55" i="9" s="1"/>
  <c r="C68" i="9"/>
  <c r="D54" i="9" s="1"/>
  <c r="D15" i="53"/>
  <c r="B31" i="72" s="1"/>
  <c r="L68" i="9" l="1"/>
  <c r="M68" i="9" s="1"/>
  <c r="L64" i="9"/>
  <c r="M64" i="9" s="1"/>
  <c r="D8" i="52"/>
  <c r="L65" i="9"/>
  <c r="M65" i="9" s="1"/>
  <c r="L63" i="9"/>
  <c r="M63" i="9" s="1"/>
  <c r="L67" i="9"/>
  <c r="M67" i="9" s="1"/>
  <c r="C5" i="74"/>
  <c r="G35" i="74"/>
  <c r="E35" i="74" s="1"/>
  <c r="B30" i="72"/>
  <c r="C6" i="74"/>
  <c r="C81" i="9"/>
  <c r="C97" i="9"/>
  <c r="D58" i="9" s="1"/>
  <c r="D56" i="9" s="1"/>
  <c r="M54" i="9" s="1"/>
  <c r="N57" i="9" s="1"/>
  <c r="P57" i="9" s="1"/>
  <c r="M69" i="9" l="1"/>
  <c r="N69" i="9" s="1"/>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<sst xmlns="http://schemas.openxmlformats.org/spreadsheetml/2006/main" count="12222" uniqueCount="3501">
  <si>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</si>
  <si>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</si>
  <si>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</si>
  <si>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</si>
  <si>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</si>
  <si>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</si>
  <si>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</si>
  <si>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</si>
  <si>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</si>
  <si>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</si>
  <si>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</si>
  <si>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</si>
  <si>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</si>
  <si>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</si>
  <si>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</si>
  <si>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</si>
  <si>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</si>
  <si>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</si>
  <si>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</si>
  <si>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</si>
  <si>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</si>
  <si>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</si>
  <si>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</si>
  <si>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</si>
  <si>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</si>
  <si>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</si>
  <si>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</si>
  <si>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</si>
  <si>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</si>
  <si>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</si>
  <si>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</si>
  <si>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</si>
  <si>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</si>
  <si>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</si>
  <si>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</si>
  <si>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</si>
  <si>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</si>
  <si>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</si>
  <si>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</si>
  <si>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</si>
  <si>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</si>
  <si>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</si>
  <si>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</si>
  <si>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</si>
  <si>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</si>
  <si>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</si>
  <si>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</si>
  <si>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</si>
  <si>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</si>
  <si>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</si>
  <si>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</si>
  <si>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</si>
  <si>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</si>
  <si>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</si>
  <si>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</si>
  <si>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</si>
  <si>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</si>
  <si>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</si>
  <si>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</si>
  <si>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</si>
  <si>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</si>
  <si>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</si>
  <si>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</si>
  <si>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</si>
  <si>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</si>
  <si>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</si>
  <si>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</si>
  <si>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</si>
  <si>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</si>
  <si>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</si>
  <si>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</si>
  <si>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</si>
  <si>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</si>
  <si>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</si>
  <si>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</si>
  <si>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</si>
  <si>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</si>
  <si>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</si>
  <si>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</si>
  <si>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</si>
  <si>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</si>
  <si>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</si>
  <si>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</si>
  <si>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</si>
  <si>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</si>
  <si>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</si>
  <si>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</si>
  <si>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</si>
  <si>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</si>
  <si>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</si>
  <si>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</si>
  <si>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</si>
  <si>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</si>
  <si>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</si>
  <si>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</si>
  <si>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</si>
  <si>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</si>
  <si>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</si>
  <si>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</si>
  <si>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</si>
  <si>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</si>
  <si>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</si>
  <si>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</si>
  <si>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</si>
  <si>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</si>
  <si>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</si>
  <si>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</si>
  <si>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</si>
  <si>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</si>
  <si>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</si>
  <si>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</si>
  <si>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</si>
  <si>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</si>
  <si>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</si>
  <si>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</si>
  <si>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</si>
  <si>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</si>
  <si>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</si>
  <si>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</si>
  <si>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</si>
  <si>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</si>
  <si>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</si>
  <si>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</si>
  <si>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</si>
  <si>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</si>
  <si>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</si>
  <si>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</si>
  <si>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</si>
  <si>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</si>
  <si>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</si>
  <si>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</si>
  <si>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</si>
  <si>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</si>
  <si>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</si>
  <si>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</si>
  <si>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</si>
  <si>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</si>
  <si>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</si>
  <si>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</si>
  <si>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</si>
  <si>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</si>
  <si>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</si>
  <si>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</si>
  <si>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</si>
  <si>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</si>
  <si>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</si>
  <si>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</si>
  <si>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</si>
  <si>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</si>
  <si>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</si>
  <si>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</si>
  <si>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</si>
  <si>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</si>
  <si>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</si>
  <si>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</si>
  <si>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</si>
  <si>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</si>
  <si>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</si>
  <si>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</si>
  <si>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</si>
  <si>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</si>
  <si>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</si>
  <si>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</si>
  <si>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</si>
  <si>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</si>
  <si>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</si>
  <si>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</si>
  <si>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</si>
  <si>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</si>
  <si>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</si>
  <si>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</si>
  <si>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</si>
  <si>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</si>
  <si>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</si>
  <si>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</si>
  <si>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</si>
  <si>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</si>
  <si>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</si>
  <si>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</si>
  <si>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</si>
  <si>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</si>
  <si>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</si>
  <si>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</si>
  <si>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</si>
  <si>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</si>
  <si>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</si>
  <si>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</si>
  <si>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</si>
  <si>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</si>
  <si>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</si>
  <si>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</si>
  <si>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</si>
  <si>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</si>
  <si>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</si>
  <si>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</si>
  <si>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</si>
  <si>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</si>
  <si>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</si>
  <si>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</si>
  <si>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</si>
  <si>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</si>
  <si>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</si>
  <si>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</si>
  <si>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</si>
  <si>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</si>
  <si>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</si>
  <si>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</si>
  <si>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</si>
  <si>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</si>
  <si>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</si>
  <si>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</si>
  <si>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</si>
  <si>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</si>
  <si>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</si>
  <si>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</si>
  <si>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</si>
  <si>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</si>
  <si>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</si>
  <si>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</si>
  <si>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</si>
  <si>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</si>
  <si>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</si>
  <si>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</si>
  <si>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</si>
  <si>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</si>
  <si>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</si>
  <si>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</si>
  <si>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</si>
  <si>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</si>
  <si>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</si>
  <si>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</si>
  <si>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</si>
  <si>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</si>
  <si>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</si>
  <si>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</si>
  <si>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</si>
  <si>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</si>
  <si>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</si>
  <si>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</si>
  <si>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</si>
  <si>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</si>
  <si>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</si>
  <si>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</si>
  <si>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</si>
  <si>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</si>
  <si>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</si>
  <si>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</si>
  <si>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</si>
  <si>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</si>
  <si>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</si>
  <si>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</si>
  <si>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</si>
  <si>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</si>
  <si>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</si>
  <si>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</si>
  <si>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</si>
  <si>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</si>
  <si>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</si>
  <si>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</si>
  <si>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</si>
  <si>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</si>
  <si>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</si>
  <si>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</si>
  <si>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</si>
  <si>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</si>
  <si>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</si>
  <si>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</si>
  <si>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</si>
  <si>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</si>
  <si>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</si>
  <si>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</si>
  <si>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</si>
  <si>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</si>
  <si>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</si>
  <si>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</si>
  <si>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</si>
  <si>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</si>
  <si>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</si>
  <si>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</si>
  <si>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</si>
  <si>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</si>
  <si>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</si>
  <si>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</si>
  <si>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</si>
  <si>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</si>
  <si>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</si>
  <si>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</si>
  <si>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</si>
  <si>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</si>
  <si>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</si>
  <si>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</si>
  <si>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</si>
  <si>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</si>
  <si>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</si>
  <si>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</si>
  <si>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</si>
  <si>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</si>
  <si>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</si>
  <si>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</si>
  <si>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</si>
  <si>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</si>
  <si>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</si>
  <si>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</si>
  <si>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</si>
  <si>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</si>
  <si>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</si>
  <si>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</si>
  <si>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</si>
  <si>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</si>
  <si>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</si>
  <si>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</si>
  <si>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</si>
  <si>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</si>
  <si>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</si>
  <si>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</si>
  <si>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</si>
  <si>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</si>
  <si>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</si>
  <si>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</si>
  <si>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</si>
  <si>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</si>
  <si>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</si>
  <si>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</si>
  <si>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</si>
  <si>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</si>
  <si>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</si>
  <si>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</si>
  <si>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</si>
  <si>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</si>
  <si>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</si>
  <si>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</si>
  <si>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</si>
  <si>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</si>
  <si>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</si>
  <si>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</si>
  <si>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</si>
  <si>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</si>
  <si>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</si>
  <si>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</si>
  <si>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</si>
  <si>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</si>
  <si>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</si>
  <si>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</si>
  <si>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</si>
  <si>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</si>
  <si>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</si>
  <si>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</si>
  <si>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</si>
  <si>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</si>
  <si>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</si>
  <si>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</si>
  <si>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</si>
  <si>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</si>
  <si>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</si>
  <si>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</si>
  <si>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</si>
  <si>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</si>
  <si>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</si>
  <si>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</si>
  <si>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</si>
  <si>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</si>
  <si>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</si>
  <si>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</si>
  <si>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</si>
  <si>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</si>
  <si>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</si>
  <si>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</si>
  <si>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</si>
  <si>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</si>
  <si>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</si>
  <si>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</si>
  <si>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</si>
  <si>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</si>
  <si>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</si>
  <si>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</si>
  <si>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</si>
  <si>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</si>
  <si>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</si>
  <si>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</si>
  <si>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</si>
  <si>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</si>
  <si>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</si>
  <si>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</si>
  <si>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</si>
  <si>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</si>
  <si>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</si>
  <si>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</si>
  <si>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</si>
  <si>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</si>
  <si>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</si>
  <si>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</si>
  <si>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</si>
  <si>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</si>
  <si>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</si>
  <si>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</si>
  <si>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</si>
  <si>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</si>
  <si>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</si>
  <si>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</si>
  <si>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</si>
  <si>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</si>
  <si>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</si>
  <si>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</si>
  <si>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</si>
  <si>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</si>
  <si>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</si>
  <si>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</si>
  <si>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</si>
  <si>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</si>
  <si>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</si>
  <si>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</si>
  <si>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</si>
  <si>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</si>
  <si>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</si>
  <si>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</si>
  <si>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</si>
  <si>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</si>
  <si>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</si>
  <si>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</si>
  <si>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</si>
  <si>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</si>
  <si>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</si>
  <si>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</si>
  <si>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</si>
  <si>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</si>
  <si>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</si>
  <si>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</si>
  <si>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</si>
  <si>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</si>
  <si>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</si>
  <si>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</si>
  <si>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</si>
  <si>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</si>
  <si>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</si>
  <si>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</si>
  <si>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</si>
  <si>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</si>
  <si>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</si>
  <si>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</si>
  <si>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</si>
  <si>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</si>
  <si>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</si>
  <si>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</si>
  <si>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</si>
  <si>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</si>
  <si>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</si>
  <si>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</si>
  <si>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</si>
  <si>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</si>
  <si>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</si>
  <si>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</si>
  <si>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</si>
  <si>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</si>
  <si>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</si>
  <si>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</si>
  <si>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</si>
  <si>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</si>
  <si>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</si>
  <si>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</si>
  <si>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</si>
  <si>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</si>
  <si>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</si>
  <si>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</si>
  <si>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</si>
  <si>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</si>
  <si>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</si>
  <si>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</si>
  <si>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</si>
  <si>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</si>
  <si>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</si>
  <si>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</si>
  <si>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</si>
  <si>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</si>
  <si>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</si>
  <si>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</si>
  <si>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</si>
  <si>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</si>
  <si>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</si>
  <si>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</si>
  <si>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</si>
  <si>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</si>
  <si>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</si>
  <si>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</si>
  <si>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</si>
  <si>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</si>
  <si>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</si>
  <si>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</si>
  <si>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</si>
  <si>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</si>
  <si>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</si>
  <si>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</si>
  <si>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</si>
  <si>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</si>
  <si>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</si>
  <si>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</si>
  <si>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</si>
  <si>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</si>
  <si>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</si>
  <si>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</si>
  <si>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</si>
  <si>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</si>
  <si>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</si>
  <si>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</si>
  <si>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</si>
  <si>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</si>
  <si>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</si>
  <si>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</si>
  <si>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</si>
  <si>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</si>
  <si>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</si>
  <si>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</si>
  <si>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</si>
  <si>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</si>
  <si>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</si>
  <si>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</si>
  <si>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</si>
  <si>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</si>
  <si>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</si>
  <si>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</si>
  <si>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</si>
  <si>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</si>
  <si>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</si>
  <si>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</si>
  <si>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</si>
  <si>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</si>
  <si>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</si>
  <si>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</si>
  <si>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</si>
  <si>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</si>
  <si>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</si>
  <si>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</si>
  <si>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</si>
  <si>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</si>
  <si>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</si>
  <si>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</si>
  <si>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</si>
  <si>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</si>
  <si>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</si>
  <si>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</si>
  <si>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</si>
  <si>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</si>
  <si>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</si>
  <si>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</si>
  <si>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</si>
  <si>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</si>
  <si>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</si>
  <si>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</si>
  <si>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</si>
  <si>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</si>
  <si>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</si>
  <si>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</si>
  <si>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</si>
  <si>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</si>
  <si>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</si>
  <si>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</si>
  <si>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</si>
  <si>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</si>
  <si>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</si>
  <si>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</si>
  <si>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</si>
  <si>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</si>
  <si>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</si>
  <si>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</si>
  <si>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</si>
  <si>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</si>
  <si>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</si>
  <si>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</si>
  <si>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</si>
  <si>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</si>
  <si>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</si>
  <si>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</si>
  <si>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</si>
  <si>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</si>
  <si>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</si>
  <si>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</si>
  <si>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</si>
  <si>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</si>
  <si>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</si>
  <si>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</si>
  <si>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</si>
  <si>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</si>
  <si>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</si>
  <si>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</si>
  <si>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</si>
  <si>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</si>
  <si>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</si>
  <si>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</si>
  <si>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</si>
  <si>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</si>
  <si>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</si>
  <si>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</si>
  <si>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</si>
  <si>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</si>
  <si>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</si>
  <si>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</si>
  <si>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</si>
  <si>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</si>
  <si>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</si>
  <si>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</si>
  <si>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</si>
  <si>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</si>
  <si>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</si>
  <si>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</si>
  <si>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</si>
  <si>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</si>
  <si>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</si>
  <si>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</si>
  <si>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</si>
  <si>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</si>
  <si>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</si>
  <si>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</si>
  <si>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</si>
  <si>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</si>
  <si>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</si>
  <si>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</si>
  <si>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</si>
  <si>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</si>
  <si>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</si>
  <si>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</si>
  <si>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</si>
  <si>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</si>
  <si>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</si>
  <si>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</si>
  <si>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</si>
  <si>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</si>
  <si>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</si>
  <si>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</si>
  <si>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</si>
  <si>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</si>
  <si>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</si>
  <si>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</si>
  <si>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</si>
  <si>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</si>
  <si>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</si>
  <si>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</si>
  <si>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</si>
  <si>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</si>
  <si>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</si>
  <si>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</si>
  <si>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</si>
  <si>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</si>
  <si>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</si>
  <si>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</si>
  <si>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</si>
  <si>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</si>
  <si>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</si>
  <si>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</si>
  <si>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</si>
  <si>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</si>
  <si>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</si>
  <si>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</si>
  <si>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</si>
  <si>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</si>
  <si>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</si>
  <si>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</si>
  <si>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</si>
  <si>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</si>
  <si>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</si>
  <si>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</si>
  <si>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</si>
  <si>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</si>
  <si>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</si>
  <si>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</si>
  <si>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</si>
  <si>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</si>
  <si>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</si>
  <si>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</si>
  <si>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</si>
  <si>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</si>
  <si>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</si>
  <si>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</si>
  <si>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</si>
  <si>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</si>
  <si>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</si>
  <si>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</si>
  <si>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</si>
  <si>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</si>
  <si>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</si>
  <si>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</si>
  <si>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</si>
  <si>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</si>
  <si>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</si>
  <si>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</si>
  <si>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</si>
  <si>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</si>
  <si>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</si>
  <si>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</si>
  <si>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</si>
  <si>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</si>
  <si>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</si>
  <si>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</si>
  <si>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</si>
  <si>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</si>
  <si>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</si>
  <si>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</si>
  <si>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</si>
  <si>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</si>
  <si>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</si>
  <si>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</si>
  <si>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</si>
  <si>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</si>
  <si>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</si>
  <si>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</si>
  <si>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</si>
  <si>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</si>
  <si>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</si>
  <si>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</si>
  <si>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</si>
  <si>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</si>
  <si>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</si>
  <si>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</si>
  <si>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</si>
  <si>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</si>
  <si>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</si>
  <si>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</si>
  <si>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</si>
  <si>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</si>
  <si>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</si>
  <si>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</si>
  <si>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</si>
  <si>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</si>
  <si>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</si>
  <si>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</si>
  <si>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</si>
  <si>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</si>
  <si>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</si>
  <si>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</si>
  <si>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</si>
  <si>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</si>
  <si>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</si>
  <si>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</si>
  <si>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</si>
  <si>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</si>
  <si>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</si>
  <si>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</si>
  <si>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</si>
  <si>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</si>
  <si>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</si>
  <si>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</si>
  <si>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</si>
  <si>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</si>
  <si>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</si>
  <si>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</si>
  <si>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</si>
  <si>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</si>
  <si>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</si>
  <si>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</si>
  <si>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</si>
  <si>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</si>
  <si>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</si>
  <si>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</si>
  <si>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</si>
  <si>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</si>
  <si>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</si>
  <si>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</si>
  <si>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</si>
  <si>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</si>
  <si>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</si>
  <si>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</si>
  <si>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</si>
  <si>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</si>
  <si>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</si>
  <si>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</si>
  <si>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</si>
  <si>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</si>
  <si>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</si>
  <si>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</si>
  <si>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</si>
  <si>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</si>
  <si>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</si>
  <si>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</si>
  <si>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</si>
  <si>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</si>
  <si>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</si>
  <si>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</si>
  <si>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</si>
  <si>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</si>
  <si>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</si>
  <si>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</si>
  <si>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</si>
  <si>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</si>
  <si>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</si>
  <si>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</si>
  <si>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</si>
  <si>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</si>
  <si>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</si>
  <si>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</si>
  <si>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</si>
  <si>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</si>
  <si>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</si>
  <si>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</si>
  <si>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</si>
  <si>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</si>
  <si>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</si>
  <si>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</si>
  <si>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</si>
  <si>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</si>
  <si>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</si>
  <si>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</si>
  <si>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</si>
  <si>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</si>
  <si>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</si>
  <si>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</si>
  <si>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</si>
  <si>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</si>
  <si>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</si>
  <si>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</si>
  <si>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</si>
  <si>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</si>
  <si>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</si>
  <si>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</si>
  <si>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</si>
  <si>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</si>
  <si>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</si>
  <si>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</si>
  <si>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</si>
  <si>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</si>
  <si>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</si>
  <si>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</si>
  <si>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</si>
  <si>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</si>
  <si>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</si>
  <si>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</si>
  <si>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</si>
  <si>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</si>
  <si>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</si>
  <si>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</si>
  <si>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</si>
  <si>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</si>
  <si>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</si>
  <si>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</si>
  <si>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</si>
  <si>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</si>
  <si>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</si>
  <si>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</si>
  <si>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</si>
  <si>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</si>
  <si>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</si>
  <si>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</si>
  <si>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</si>
  <si>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</si>
  <si>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</si>
  <si>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</si>
  <si>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</si>
  <si>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</si>
  <si>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</si>
  <si>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</si>
  <si>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</si>
  <si>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</si>
  <si>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</si>
  <si>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</si>
  <si>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</si>
  <si>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</si>
  <si>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</si>
  <si>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</si>
  <si>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</si>
  <si>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</si>
  <si>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</si>
  <si>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</si>
  <si>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</si>
  <si>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</si>
  <si>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</si>
  <si>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</si>
  <si>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</si>
  <si>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</si>
  <si>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</si>
  <si>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</si>
  <si>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</si>
  <si>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</si>
  <si>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</si>
  <si>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</si>
  <si>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</si>
  <si>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</si>
  <si>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</si>
  <si>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</si>
  <si>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</si>
  <si>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</si>
  <si>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</si>
  <si>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</si>
  <si>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</si>
  <si>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</si>
  <si>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</si>
  <si>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</si>
  <si>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</si>
  <si>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</si>
  <si>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</si>
  <si>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</si>
  <si>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</si>
  <si>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</si>
  <si>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</si>
  <si>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</si>
  <si>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</si>
  <si>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</si>
  <si>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</si>
  <si>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</si>
  <si>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</si>
  <si>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</si>
  <si>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</si>
  <si>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</si>
  <si>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</si>
  <si>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</si>
  <si>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</si>
  <si>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</si>
  <si>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</si>
  <si>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</si>
  <si>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</si>
  <si>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</si>
  <si>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</si>
  <si>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</si>
  <si>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</si>
  <si>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</si>
  <si>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</si>
  <si>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</si>
  <si>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</si>
  <si>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</si>
  <si>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</si>
  <si>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</si>
  <si>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</si>
  <si>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</si>
  <si>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</si>
  <si>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</si>
  <si>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</si>
  <si>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</si>
  <si>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</si>
  <si>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</si>
  <si>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</si>
  <si>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</si>
  <si>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</si>
  <si>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</si>
  <si>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</si>
  <si>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</si>
  <si>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</si>
  <si>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</si>
  <si>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</si>
  <si>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</si>
  <si>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</si>
  <si>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</si>
  <si>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</si>
  <si>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</si>
  <si>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</si>
  <si>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</si>
  <si>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</si>
  <si>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</si>
  <si>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</si>
  <si>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</si>
  <si>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</si>
  <si>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</si>
  <si>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</si>
  <si>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</si>
  <si>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</si>
  <si>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</si>
  <si>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</si>
  <si>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</si>
  <si>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</si>
  <si>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</si>
  <si>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</si>
  <si>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</si>
  <si>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</si>
  <si>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</si>
  <si>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</si>
  <si>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</si>
  <si>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</si>
  <si>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</si>
  <si>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</si>
  <si>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</si>
  <si>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</si>
  <si>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</si>
  <si>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</si>
  <si>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</si>
  <si>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</si>
  <si>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</si>
  <si>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</si>
  <si>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</si>
  <si>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</si>
  <si>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</si>
  <si>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</si>
  <si>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</si>
  <si>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</si>
  <si>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</si>
  <si>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</si>
  <si>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</si>
  <si>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</si>
  <si>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</si>
  <si>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</si>
  <si>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</si>
  <si>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</si>
  <si>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</si>
  <si>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</si>
  <si>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</si>
  <si>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</si>
  <si>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</si>
  <si>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</si>
  <si>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</si>
  <si>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</si>
  <si>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</si>
  <si>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</si>
  <si>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</si>
  <si>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</si>
  <si>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</si>
  <si>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</si>
  <si>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</si>
  <si>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</si>
  <si>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</si>
  <si>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</si>
  <si>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</si>
  <si>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</si>
  <si>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</si>
  <si>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</si>
  <si>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</si>
  <si>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</si>
  <si>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</si>
  <si>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</si>
  <si>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</si>
  <si>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</si>
  <si>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</si>
  <si>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</si>
  <si>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</si>
  <si>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</si>
  <si>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</si>
  <si>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</si>
  <si>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</si>
  <si>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</si>
  <si>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</si>
  <si>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</si>
  <si>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</si>
  <si>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</si>
  <si>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</si>
  <si>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</si>
  <si>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</si>
  <si>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</si>
  <si>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</si>
  <si>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</si>
  <si>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</si>
  <si>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</si>
  <si>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</si>
  <si>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</si>
  <si>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</si>
  <si>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</si>
  <si>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</si>
  <si>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</si>
  <si>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</si>
  <si>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</si>
  <si>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</si>
  <si>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</si>
  <si>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</si>
  <si>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</si>
  <si>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</si>
  <si>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</si>
  <si>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</si>
  <si>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</si>
  <si>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</si>
  <si>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</si>
  <si>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</si>
  <si>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</si>
  <si>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</si>
  <si>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</si>
  <si>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</si>
  <si>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</si>
  <si>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</si>
  <si>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</si>
  <si>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</si>
  <si>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</si>
  <si>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</si>
  <si>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</si>
  <si>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</si>
  <si>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</si>
  <si>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</si>
  <si>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</si>
  <si>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</si>
  <si>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</si>
  <si>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</si>
  <si>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</si>
  <si>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</si>
  <si>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</si>
  <si>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</si>
  <si>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</si>
  <si>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</si>
  <si>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</si>
  <si>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</si>
  <si>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</si>
  <si>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</si>
  <si>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</si>
  <si>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</si>
  <si>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</si>
  <si>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</si>
  <si>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</si>
  <si>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</si>
  <si>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</si>
  <si>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</si>
  <si>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</si>
  <si>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</si>
  <si>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</si>
  <si>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</si>
  <si>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</si>
  <si>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</si>
  <si>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</si>
  <si>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</si>
  <si>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</si>
  <si>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</si>
  <si>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</si>
  <si>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</si>
  <si>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</si>
  <si>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</si>
  <si>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</si>
  <si>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</si>
  <si>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</si>
  <si>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</si>
  <si>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</si>
  <si>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</si>
  <si>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</si>
  <si>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</si>
  <si>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</si>
  <si>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</si>
  <si>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</si>
  <si>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</si>
  <si>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</si>
  <si>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</si>
  <si>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</si>
  <si>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</si>
  <si>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</si>
  <si>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</si>
  <si>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</si>
  <si>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</si>
  <si>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</si>
  <si>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</si>
  <si>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</si>
  <si>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</si>
  <si>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</si>
  <si>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</si>
  <si>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</si>
  <si>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</si>
  <si>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</si>
  <si>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</si>
  <si>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</si>
  <si>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</si>
  <si>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</si>
  <si>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</si>
  <si>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</si>
  <si>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</si>
  <si>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</si>
  <si>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</si>
  <si>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</si>
  <si>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</si>
  <si>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</si>
  <si>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</si>
  <si>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</si>
  <si>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</si>
  <si>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</si>
  <si>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</si>
  <si>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</si>
  <si>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</si>
  <si>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</si>
  <si>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</si>
  <si>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</si>
  <si>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</si>
  <si>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</si>
  <si>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</si>
  <si>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</si>
  <si>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</si>
  <si>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</si>
  <si>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</si>
  <si>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</si>
  <si>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</si>
  <si>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</si>
  <si>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</si>
  <si>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</si>
  <si>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</si>
  <si>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</si>
  <si>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</si>
  <si>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</si>
  <si>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</si>
  <si>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</si>
  <si>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</si>
  <si>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</si>
  <si>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</si>
  <si>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</si>
  <si>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</si>
  <si>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</si>
  <si>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</si>
  <si>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</si>
  <si>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</si>
  <si>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</si>
  <si>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</si>
  <si>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</si>
  <si>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</si>
  <si>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</si>
  <si>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</si>
  <si>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</si>
  <si>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</si>
  <si>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</si>
  <si>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</si>
  <si>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</si>
  <si>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</si>
  <si>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</si>
  <si>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</si>
  <si>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</si>
  <si>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</si>
  <si>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</si>
  <si>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</si>
  <si>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</si>
  <si>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</si>
  <si>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</si>
  <si>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</si>
  <si>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</si>
  <si>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</si>
  <si>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</si>
  <si>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</si>
  <si>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</si>
  <si>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</si>
  <si>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</si>
  <si>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</si>
  <si>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</si>
  <si>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</si>
  <si>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</si>
  <si>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</si>
  <si>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</si>
  <si>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</si>
  <si>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</si>
  <si>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</si>
  <si>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</si>
  <si>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</si>
  <si>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</si>
  <si>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</si>
  <si>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</si>
  <si>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</si>
  <si>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</si>
  <si>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</si>
  <si>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</si>
  <si>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</si>
  <si>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</si>
  <si>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</si>
  <si>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</si>
  <si>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</si>
  <si>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</si>
  <si>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</si>
  <si>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</si>
  <si>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</si>
  <si>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</si>
  <si>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</si>
  <si>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</si>
  <si>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</si>
  <si>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</si>
  <si>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</si>
  <si>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</si>
  <si>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</si>
  <si>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</si>
  <si>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</si>
  <si>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</si>
  <si>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</si>
  <si>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</si>
  <si>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</si>
  <si>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</si>
  <si>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</si>
  <si>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</si>
  <si>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</si>
  <si>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</si>
  <si>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</si>
  <si>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</si>
  <si>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</si>
  <si>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</si>
  <si>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</si>
  <si>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</si>
  <si>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</si>
  <si>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</si>
  <si>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</si>
  <si>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</si>
  <si>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</si>
  <si>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</si>
  <si>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</si>
  <si>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</si>
  <si>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</si>
  <si>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</si>
  <si>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</si>
  <si>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</si>
  <si>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</si>
  <si>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</si>
  <si>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</si>
  <si>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</si>
  <si>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</si>
  <si>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</si>
  <si>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</si>
  <si>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</si>
  <si>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</si>
  <si>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</si>
  <si>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</si>
  <si>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</si>
  <si>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</si>
  <si>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</si>
  <si>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</si>
  <si>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</si>
  <si>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</si>
  <si>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</si>
  <si>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</si>
  <si>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</si>
  <si>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</si>
  <si>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</si>
  <si>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</si>
  <si>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</si>
  <si>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</si>
  <si>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</si>
  <si>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</si>
  <si>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</si>
  <si>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</si>
  <si>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</si>
  <si>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</si>
  <si>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</si>
  <si>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</si>
  <si>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</si>
  <si>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</si>
  <si>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</si>
  <si>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</si>
  <si>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</si>
  <si>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</si>
  <si>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</si>
  <si>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</si>
  <si>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</si>
  <si>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</si>
  <si>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</si>
  <si>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</si>
  <si>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</si>
  <si>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</si>
  <si>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</si>
  <si>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</si>
  <si>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</si>
  <si>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</si>
  <si>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</si>
  <si>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</si>
  <si>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</si>
  <si>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</si>
  <si>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</si>
  <si>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</si>
  <si>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</si>
  <si>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</si>
  <si>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</si>
  <si>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</si>
  <si>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</si>
  <si>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</si>
  <si>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</si>
  <si>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</si>
  <si>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</si>
  <si>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</si>
  <si>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</si>
  <si>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</si>
  <si>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</si>
  <si>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</si>
  <si>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</si>
  <si>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</si>
  <si>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</si>
  <si>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</si>
  <si>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</si>
  <si>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</si>
  <si>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</si>
  <si>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</si>
  <si>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</si>
  <si>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</si>
  <si>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</si>
  <si>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</si>
  <si>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</si>
  <si>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</si>
  <si>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</si>
  <si>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</si>
  <si>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</si>
  <si>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</si>
  <si>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</si>
  <si>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</si>
  <si>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</si>
  <si>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</si>
  <si>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</si>
  <si>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</si>
  <si>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</si>
  <si>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</si>
  <si>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</si>
  <si>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</si>
  <si>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</si>
  <si>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</si>
  <si>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</si>
  <si>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</si>
  <si>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</si>
  <si>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</si>
  <si>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</si>
  <si>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</si>
  <si>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</si>
  <si>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</si>
  <si>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</si>
  <si>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</si>
  <si>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</si>
  <si>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</si>
  <si>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</si>
  <si>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</si>
  <si>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</si>
  <si>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</si>
  <si>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</si>
  <si>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</si>
  <si>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</si>
  <si>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</si>
  <si>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</si>
  <si>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</si>
  <si>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</si>
  <si>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</si>
  <si>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</si>
  <si>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</si>
  <si>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</si>
  <si>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</si>
  <si>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</si>
  <si>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</si>
  <si>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</si>
  <si>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</si>
  <si>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</si>
  <si>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</si>
  <si>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</si>
  <si>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</si>
  <si>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</si>
  <si>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</si>
  <si>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</si>
  <si>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</si>
  <si>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</si>
  <si>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</si>
  <si>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</si>
  <si>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</si>
  <si>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</si>
  <si>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</si>
  <si>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</si>
  <si>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</si>
  <si>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</si>
  <si>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</si>
  <si>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</si>
  <si>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</si>
  <si>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</si>
  <si>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</si>
  <si>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</si>
  <si>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</si>
  <si>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</si>
  <si>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</si>
  <si>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</si>
  <si>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</si>
  <si>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</si>
  <si>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</si>
  <si>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</si>
  <si>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</si>
  <si>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</si>
  <si>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</si>
  <si>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</si>
  <si>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</si>
  <si>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</si>
  <si>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</si>
  <si>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</si>
  <si>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</si>
  <si>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</si>
  <si>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</si>
  <si>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</si>
  <si>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</si>
  <si>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</si>
  <si>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</si>
  <si>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</si>
  <si>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</si>
  <si>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</si>
  <si>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</si>
  <si>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</si>
  <si>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</si>
  <si>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</si>
  <si>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</si>
  <si>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</si>
  <si>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</si>
  <si>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</si>
  <si>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</si>
  <si>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</si>
  <si>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</si>
  <si>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</si>
  <si>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</si>
  <si>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</si>
  <si>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</si>
  <si>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</si>
  <si>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</si>
  <si>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</si>
  <si>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</si>
  <si>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</si>
  <si>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</si>
  <si>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</si>
  <si>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</si>
  <si>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</si>
  <si>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</si>
  <si>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</si>
  <si>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</si>
  <si>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</si>
  <si>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</si>
  <si>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</si>
  <si>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</si>
  <si>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</si>
  <si>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</si>
  <si>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</si>
  <si>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</si>
  <si>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</si>
  <si>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</si>
  <si>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</si>
  <si>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</si>
  <si>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</si>
  <si>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</si>
  <si>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</si>
  <si>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</si>
  <si>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</si>
  <si>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</si>
  <si>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</si>
  <si>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</si>
  <si>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</si>
  <si>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</si>
  <si>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</si>
  <si>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</si>
  <si>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</si>
  <si>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</si>
  <si>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</si>
  <si>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</si>
  <si>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</si>
  <si>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</si>
  <si>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</si>
  <si>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</si>
  <si>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</si>
  <si>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</si>
  <si>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</si>
  <si>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</si>
  <si>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</si>
  <si>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</si>
  <si>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</si>
  <si>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</si>
  <si>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</si>
  <si>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</si>
  <si>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</si>
  <si>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</si>
  <si>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</si>
  <si>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</si>
  <si>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</si>
  <si>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</si>
  <si>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</si>
  <si>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</si>
  <si>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</si>
  <si>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</si>
  <si>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</si>
  <si>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</si>
  <si>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</si>
  <si>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</si>
  <si>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</si>
  <si>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</si>
  <si>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</si>
  <si>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</si>
  <si>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</si>
  <si>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</si>
  <si>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</si>
  <si>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</si>
  <si>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</si>
  <si>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</si>
  <si>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</si>
  <si>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</si>
  <si>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</si>
  <si>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</si>
  <si>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</si>
  <si>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</si>
  <si>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</si>
  <si>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</si>
  <si>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</si>
  <si>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</si>
  <si>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</si>
  <si>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</si>
  <si>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</si>
  <si>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</si>
  <si>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</si>
  <si>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</si>
  <si>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</si>
  <si>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</si>
  <si>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</si>
  <si>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</si>
  <si>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</si>
  <si>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</si>
  <si>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</si>
  <si>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</si>
  <si>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</si>
  <si>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</si>
  <si>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</si>
  <si>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</si>
  <si>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</si>
  <si>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</si>
  <si>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</si>
  <si>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</si>
  <si>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</si>
  <si>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</si>
  <si>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</si>
  <si>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</si>
  <si>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</si>
  <si>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</si>
  <si>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</si>
  <si>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</si>
  <si>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</si>
  <si>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</si>
  <si>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</si>
  <si>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</si>
  <si>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</si>
  <si>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</si>
  <si>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</si>
  <si>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</si>
  <si>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</si>
  <si>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</si>
  <si>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</si>
  <si>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</si>
  <si>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</si>
  <si>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</si>
  <si>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</si>
  <si>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</si>
  <si>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</si>
  <si>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</si>
  <si>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</si>
  <si>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</si>
  <si>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</si>
  <si>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</si>
  <si>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</si>
  <si>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</si>
  <si>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</si>
  <si>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</si>
  <si>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</si>
  <si>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</si>
  <si>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</si>
  <si>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</si>
  <si>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</si>
  <si>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</si>
  <si>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</si>
  <si>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</si>
  <si>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</si>
  <si>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</si>
  <si>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</si>
  <si>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</si>
  <si>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</si>
  <si>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</si>
  <si>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</si>
  <si>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</si>
  <si>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</si>
  <si>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</si>
  <si>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</si>
  <si>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</si>
  <si>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</si>
  <si>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</si>
  <si>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</si>
  <si>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</si>
  <si>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</si>
  <si>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</si>
  <si>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</si>
  <si>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</si>
  <si>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</si>
  <si>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</si>
  <si>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</si>
  <si>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</si>
  <si>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</si>
  <si>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</si>
  <si>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</si>
  <si>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</si>
  <si>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</si>
  <si>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</si>
  <si>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</si>
  <si>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</si>
  <si>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</si>
  <si>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</si>
  <si>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</si>
  <si>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</si>
  <si>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</si>
  <si>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</si>
  <si>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</si>
  <si>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</si>
  <si>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</si>
  <si>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</si>
  <si>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</si>
  <si>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</si>
  <si>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</si>
  <si>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</si>
  <si>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</si>
  <si>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</si>
  <si>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</si>
  <si>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</si>
  <si>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</si>
  <si>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</si>
  <si>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</si>
  <si>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</si>
  <si>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</si>
  <si>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</si>
  <si>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</si>
  <si>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</si>
  <si>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</si>
  <si>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</si>
  <si>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</si>
  <si>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</si>
  <si>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</si>
  <si>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</si>
  <si>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</si>
  <si>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</si>
  <si>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</si>
  <si>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</si>
  <si>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</si>
  <si>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</si>
  <si>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</si>
  <si>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</si>
  <si>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</si>
  <si>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</si>
  <si>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</si>
  <si>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</si>
  <si>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</si>
  <si>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</si>
  <si>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</si>
  <si>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</si>
  <si>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</si>
  <si>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</si>
  <si>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</si>
  <si>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</si>
  <si>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</si>
  <si>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</si>
  <si>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</si>
  <si>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</si>
  <si>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</si>
  <si>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</si>
  <si>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</si>
  <si>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</si>
  <si>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</si>
  <si>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</si>
  <si>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</si>
  <si>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</si>
  <si>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</si>
  <si>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</si>
  <si>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</si>
  <si>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</si>
  <si>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</si>
  <si>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</si>
  <si>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</si>
  <si>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</si>
  <si>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</si>
  <si>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</si>
  <si>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</si>
  <si>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</si>
  <si>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</si>
  <si>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</si>
  <si>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</si>
  <si>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</si>
  <si>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</si>
  <si>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</si>
  <si>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</si>
  <si>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</si>
  <si>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</si>
  <si>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</si>
  <si>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</si>
  <si>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</si>
  <si>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</si>
  <si>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</si>
  <si>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</si>
  <si>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</si>
  <si>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</si>
  <si>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</si>
  <si>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</si>
  <si>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</si>
  <si>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</si>
  <si>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</si>
  <si>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</si>
  <si>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</si>
  <si>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</si>
  <si>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</si>
  <si>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</si>
  <si>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</si>
  <si>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</si>
  <si>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</si>
  <si>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</si>
  <si>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</si>
  <si>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</si>
  <si>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</si>
  <si>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</si>
  <si>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</si>
  <si>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</si>
  <si>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</si>
  <si>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</si>
  <si>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</si>
  <si>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</si>
  <si>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</si>
  <si>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</si>
  <si>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</si>
  <si>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</si>
  <si>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</si>
  <si>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</si>
  <si>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</si>
  <si>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</si>
  <si>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</si>
  <si>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</si>
  <si>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</si>
  <si>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</si>
  <si>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</si>
  <si>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</si>
  <si>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</si>
  <si>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</si>
  <si>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</si>
  <si>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</si>
  <si>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</si>
  <si>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</si>
  <si>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</si>
  <si>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</si>
  <si>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</si>
  <si>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</si>
  <si>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</si>
  <si>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</si>
  <si>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</si>
  <si>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</si>
  <si>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</si>
  <si>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</si>
  <si>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</si>
  <si>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</si>
  <si>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</si>
  <si>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</si>
  <si>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</si>
  <si>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</si>
  <si>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</si>
  <si>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</si>
  <si>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</si>
  <si>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</si>
  <si>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</si>
  <si>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</si>
  <si>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</si>
  <si>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</si>
  <si>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</si>
  <si>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</si>
  <si>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</si>
  <si>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</si>
  <si>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</si>
  <si>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</si>
  <si>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</si>
  <si>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</si>
  <si>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</si>
  <si>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</si>
  <si>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</si>
  <si>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</si>
  <si>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</si>
  <si>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</si>
  <si>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</si>
  <si>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</si>
  <si>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</si>
  <si>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</si>
  <si>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</si>
  <si>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</si>
  <si>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</si>
  <si>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</si>
  <si>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</si>
  <si>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</si>
  <si>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</si>
  <si>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</si>
  <si>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</si>
  <si>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</si>
  <si>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</si>
  <si>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</si>
  <si>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</si>
  <si>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</si>
  <si>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</si>
  <si>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</si>
  <si>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</si>
  <si>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</si>
  <si>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</si>
  <si>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</si>
  <si>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</si>
  <si>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</si>
  <si>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</si>
  <si>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</si>
  <si>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</si>
  <si>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</si>
  <si>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</si>
  <si>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</si>
  <si>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</si>
  <si>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</si>
  <si>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</si>
  <si>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</si>
  <si>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</si>
  <si>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</si>
  <si>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</si>
  <si>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</si>
  <si>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</si>
  <si>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</si>
  <si>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</si>
  <si>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</si>
  <si>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</si>
  <si>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</si>
  <si>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</si>
  <si>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</si>
  <si>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</si>
  <si>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</si>
  <si>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</si>
  <si>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</si>
  <si>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</si>
  <si>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</si>
  <si>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</si>
  <si>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</si>
  <si>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</si>
  <si>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</si>
  <si>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</si>
  <si>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</si>
  <si>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</si>
  <si>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</si>
  <si>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</si>
  <si>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</si>
  <si>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</si>
  <si>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</si>
  <si>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</si>
  <si>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</si>
  <si>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</si>
  <si>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</si>
  <si>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</si>
  <si>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</si>
  <si>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</si>
  <si>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</si>
  <si>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</si>
  <si>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</si>
  <si>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</si>
  <si>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</si>
  <si>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</si>
  <si>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</si>
  <si>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</si>
  <si>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</si>
  <si>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</si>
  <si>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</si>
  <si>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</si>
  <si>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</si>
  <si>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</si>
  <si>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</si>
  <si>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</si>
  <si>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</si>
  <si>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</si>
  <si>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</si>
  <si>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</si>
  <si>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</si>
  <si>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</si>
  <si>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</si>
  <si>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</si>
  <si>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</si>
  <si>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</si>
  <si>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</si>
  <si>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</si>
  <si>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</si>
  <si>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</si>
  <si>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</si>
  <si>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</si>
  <si>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</si>
  <si>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</si>
  <si>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</si>
  <si>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</si>
  <si>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</si>
  <si>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</si>
  <si>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</si>
  <si>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</si>
  <si>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</si>
  <si>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</si>
  <si>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</si>
  <si>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</si>
  <si>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</si>
  <si>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</si>
  <si>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</si>
  <si>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</si>
  <si>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</si>
  <si>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</si>
  <si>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</si>
  <si>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</si>
  <si>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</si>
  <si>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</si>
  <si>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</si>
  <si>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</si>
  <si>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</si>
  <si>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</si>
  <si>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</si>
  <si>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</si>
  <si>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</si>
  <si>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</si>
  <si>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</si>
  <si>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</si>
  <si>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</si>
  <si>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</si>
  <si>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</si>
  <si>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</si>
  <si>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</si>
  <si>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</si>
  <si>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</si>
  <si>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</si>
  <si>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</si>
  <si>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</si>
  <si>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</si>
  <si>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</si>
  <si>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</si>
  <si>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</si>
  <si>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</si>
  <si>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</si>
  <si>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</si>
  <si>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</si>
  <si>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</si>
  <si>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</si>
  <si>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</si>
  <si>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</si>
  <si>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</si>
  <si>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</si>
  <si>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</si>
  <si>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</si>
  <si>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</si>
  <si>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</si>
  <si>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</si>
  <si>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</si>
  <si>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</si>
  <si>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</si>
  <si>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</si>
  <si>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</si>
  <si>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</si>
  <si>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</si>
  <si>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</si>
  <si>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</si>
  <si>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</si>
  <si>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</si>
  <si>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</si>
  <si>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</si>
  <si>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</si>
  <si>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</si>
  <si>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</si>
  <si>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</si>
  <si>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</si>
  <si>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</si>
  <si>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</si>
  <si>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</si>
  <si>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</si>
  <si>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</si>
  <si>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</si>
  <si>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</si>
  <si>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</si>
  <si>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</si>
  <si>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</si>
  <si>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</si>
  <si>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</si>
  <si>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</si>
  <si>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</si>
  <si>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</si>
  <si>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</si>
  <si>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</si>
  <si>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</si>
  <si>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</si>
  <si>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</si>
  <si>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</si>
  <si>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</si>
  <si>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</si>
  <si>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</si>
  <si>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</si>
  <si>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</si>
  <si>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</si>
  <si>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</si>
  <si>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</si>
  <si>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</si>
  <si>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</si>
  <si>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</si>
  <si>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</si>
  <si>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</si>
  <si>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</si>
  <si>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</si>
  <si>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</si>
  <si>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</si>
  <si>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</si>
  <si>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</si>
  <si>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</si>
  <si>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</si>
  <si>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</si>
  <si>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</si>
  <si>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</si>
  <si>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</si>
  <si>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</si>
  <si>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</si>
  <si>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</si>
  <si>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</si>
  <si>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</si>
  <si>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</si>
  <si>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</si>
  <si>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</si>
  <si>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</si>
  <si>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</si>
  <si>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</si>
  <si>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</si>
  <si>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</si>
  <si>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</si>
  <si>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</si>
  <si>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</si>
  <si>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</si>
  <si>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</si>
  <si>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</si>
  <si>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</si>
  <si>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</si>
  <si>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</si>
  <si>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</si>
  <si>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</si>
  <si>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</si>
  <si>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</si>
  <si>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</si>
  <si>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</si>
  <si>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</si>
  <si>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</si>
  <si>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</si>
  <si>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</si>
  <si>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</si>
  <si>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</si>
  <si>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</si>
  <si>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</si>
  <si>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</si>
  <si>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</si>
  <si>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</si>
  <si>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</si>
  <si>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</si>
  <si>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</si>
  <si>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</si>
  <si>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</si>
  <si>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</si>
  <si>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</si>
  <si>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</si>
  <si>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</si>
  <si>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</si>
  <si>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</si>
  <si>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</si>
  <si>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</si>
  <si>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</si>
  <si>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</si>
  <si>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</si>
  <si>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</si>
  <si>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</si>
  <si>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</si>
  <si>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</si>
  <si>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</si>
  <si>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</si>
  <si>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</si>
  <si>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</si>
  <si>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</si>
  <si>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</si>
  <si>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</si>
  <si>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</si>
  <si>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</si>
  <si>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</si>
  <si>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</si>
  <si>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</si>
  <si>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</si>
  <si>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</si>
  <si>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</si>
  <si>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</si>
  <si>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</si>
  <si>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</si>
  <si>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</si>
  <si>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</si>
  <si>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</si>
  <si>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</si>
  <si>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</si>
  <si>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</si>
  <si>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</si>
  <si>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</si>
  <si>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</si>
  <si>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</si>
  <si>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</si>
  <si>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</si>
  <si>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</si>
  <si>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</si>
  <si>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</si>
  <si>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</si>
  <si>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</si>
  <si>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</si>
  <si>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</si>
  <si>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</si>
  <si>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</si>
  <si>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</si>
  <si>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</si>
  <si>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</si>
  <si>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</si>
  <si>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</si>
  <si>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</si>
  <si>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</si>
  <si>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</si>
  <si>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</si>
  <si>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</si>
  <si>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</si>
  <si>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</si>
  <si>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</si>
  <si>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</si>
  <si>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</si>
  <si>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</si>
  <si>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</si>
  <si>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</si>
  <si>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</si>
  <si>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</si>
  <si>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</si>
  <si>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</si>
  <si>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</si>
  <si>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</si>
  <si>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</si>
  <si>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</si>
  <si>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</si>
  <si>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</si>
  <si>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</si>
  <si>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</si>
  <si>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</si>
  <si>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</si>
  <si>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</si>
  <si>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</si>
  <si>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</si>
  <si>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</si>
  <si>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</si>
  <si>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</si>
  <si>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</si>
  <si>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</si>
  <si>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</si>
  <si>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</si>
  <si>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</si>
  <si>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</si>
  <si>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</si>
  <si>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</si>
  <si>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</si>
  <si>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</si>
  <si>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</si>
  <si>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</si>
  <si>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</si>
  <si>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</si>
  <si>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</si>
  <si>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</si>
  <si>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</si>
  <si>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</si>
  <si>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</si>
  <si>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</si>
  <si>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</si>
  <si>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</si>
  <si>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</si>
  <si>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</si>
  <si>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</si>
  <si>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</si>
  <si>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</si>
  <si>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</si>
  <si>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</si>
  <si>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</si>
  <si>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</si>
  <si>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</si>
  <si>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</si>
  <si>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</si>
  <si>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</si>
  <si>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</si>
  <si>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</si>
  <si>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</si>
  <si>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</si>
  <si>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</si>
  <si>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</si>
  <si>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</si>
  <si>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</si>
  <si>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</si>
  <si>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</si>
  <si>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</si>
  <si>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</si>
  <si>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</si>
  <si>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</si>
  <si>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</si>
  <si>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</si>
  <si>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</si>
  <si>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</si>
  <si>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</si>
  <si>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</si>
  <si>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</si>
  <si>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</si>
  <si>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</si>
  <si>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</si>
  <si>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</si>
  <si>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</si>
  <si>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</si>
  <si>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</si>
  <si>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</si>
  <si>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</si>
  <si>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</si>
  <si>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</si>
  <si>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</si>
  <si>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</si>
  <si>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</si>
  <si>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</si>
  <si>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</si>
  <si>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</si>
  <si>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</si>
  <si>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</si>
  <si>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</si>
  <si>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</si>
  <si>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</si>
  <si>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</si>
  <si>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</si>
  <si>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</si>
  <si>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</si>
  <si>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</si>
  <si>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</si>
  <si>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</si>
  <si>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</si>
  <si>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</si>
  <si>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</si>
  <si>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</si>
  <si>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</si>
  <si>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</si>
  <si>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</si>
  <si>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</si>
  <si>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</si>
  <si>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</si>
  <si>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</si>
  <si>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</si>
  <si>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</si>
  <si>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</si>
  <si>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</si>
  <si>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</si>
  <si>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</si>
  <si>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</si>
  <si>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</si>
  <si>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</si>
  <si>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</si>
  <si>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</si>
  <si>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</si>
  <si>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</si>
  <si>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</si>
  <si>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</si>
  <si>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</si>
  <si>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</si>
  <si>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</si>
  <si>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</si>
  <si>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</si>
  <si>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</si>
  <si>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</si>
  <si>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</si>
  <si>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</si>
  <si>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</si>
  <si>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</si>
  <si>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</si>
  <si>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</si>
  <si>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</si>
  <si>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</si>
  <si>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</si>
  <si>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</si>
  <si>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</si>
  <si>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</si>
  <si>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</si>
  <si>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</si>
  <si>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</si>
  <si>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</si>
  <si>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</si>
  <si>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</si>
  <si>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</si>
  <si>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</si>
  <si>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</si>
  <si>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</si>
  <si>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</si>
  <si>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</si>
  <si>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</si>
  <si>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</si>
  <si>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</si>
  <si>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</si>
  <si>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</si>
  <si>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</si>
  <si>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</si>
  <si>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</si>
  <si>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</si>
  <si>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</si>
  <si>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</si>
  <si>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</si>
  <si>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</si>
  <si>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</si>
  <si>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</si>
  <si>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</si>
  <si>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</si>
  <si>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</si>
  <si>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</si>
  <si>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</si>
  <si>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</si>
  <si>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</si>
  <si>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</si>
  <si>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</si>
  <si>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</si>
  <si>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</si>
  <si>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</si>
  <si>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</si>
  <si>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</si>
  <si>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</si>
  <si>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</si>
  <si>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</si>
  <si>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</si>
  <si>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</si>
  <si>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</si>
  <si>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</si>
  <si>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</si>
  <si>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</si>
  <si>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</si>
  <si>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</si>
  <si>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</si>
  <si>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</si>
  <si>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</si>
  <si>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</si>
  <si>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</si>
  <si>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</si>
  <si>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</si>
  <si>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</si>
  <si>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</si>
  <si>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</si>
  <si>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</si>
  <si>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</si>
  <si>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</si>
  <si>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</si>
  <si>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</si>
  <si>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</si>
  <si>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</si>
  <si>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</si>
  <si>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</si>
  <si>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</si>
  <si>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</si>
  <si>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</si>
  <si>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</si>
  <si>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</si>
  <si>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</si>
  <si>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</si>
  <si>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</si>
  <si>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</si>
  <si>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</si>
  <si>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</si>
  <si>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</si>
  <si>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</si>
  <si>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</si>
  <si>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</si>
  <si>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</si>
  <si>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</si>
  <si>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</si>
  <si>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</si>
  <si>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</si>
  <si>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</si>
  <si>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</si>
  <si>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</si>
  <si>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</si>
  <si>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</si>
  <si>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</si>
  <si>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</si>
  <si>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</si>
  <si>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</si>
  <si>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</si>
  <si>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</si>
  <si>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</si>
  <si>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</si>
  <si>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</si>
  <si>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</si>
  <si>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</si>
  <si>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</si>
  <si>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</si>
  <si>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</si>
  <si>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</si>
  <si>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</si>
  <si>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</si>
  <si>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</si>
  <si>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</si>
  <si>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</si>
  <si>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</si>
  <si>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</si>
  <si>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</si>
  <si>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</si>
  <si>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</si>
  <si>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</si>
  <si>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</si>
  <si>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</si>
  <si>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</si>
  <si>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</si>
  <si>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</si>
  <si>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</si>
  <si>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</si>
  <si>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</si>
  <si>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</si>
  <si>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</si>
  <si>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</si>
  <si>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</si>
  <si>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</si>
  <si>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</si>
  <si>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</si>
  <si>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</si>
  <si>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</si>
  <si>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</si>
  <si>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</si>
  <si>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</si>
  <si>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</si>
  <si>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</si>
  <si>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</si>
  <si>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</si>
  <si>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</si>
  <si>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</si>
  <si>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</si>
  <si>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</si>
  <si>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</si>
  <si>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</si>
  <si>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</si>
  <si>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</si>
  <si>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</si>
  <si>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</si>
  <si>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</si>
  <si>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</si>
  <si>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</si>
  <si>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</si>
  <si>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</si>
  <si>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</si>
  <si>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</si>
  <si>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</si>
  <si>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</si>
  <si>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</si>
  <si>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</si>
  <si>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</si>
  <si>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</si>
  <si>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</si>
  <si>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</si>
  <si>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</si>
  <si>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</si>
  <si>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</si>
  <si>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</si>
  <si>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</si>
  <si>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</si>
  <si>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</si>
  <si>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</si>
  <si>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</si>
  <si>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</si>
  <si>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</si>
  <si>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</si>
  <si>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</si>
  <si>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</si>
  <si>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</si>
  <si>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</si>
  <si>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</si>
  <si>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</si>
  <si>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</si>
  <si>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</si>
  <si>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</si>
  <si>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</si>
  <si>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</si>
  <si>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</si>
  <si>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</si>
  <si>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</si>
  <si>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</si>
  <si>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</si>
  <si>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</si>
  <si>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</si>
  <si>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</si>
  <si>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</si>
  <si>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</si>
  <si>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</si>
  <si>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</si>
  <si>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</si>
  <si>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</si>
  <si>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</si>
  <si>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</si>
  <si>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</si>
  <si>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</si>
  <si>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</si>
  <si>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</si>
  <si>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</si>
  <si>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</si>
  <si>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</si>
  <si>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</si>
  <si>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</si>
  <si>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</si>
  <si>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</si>
  <si>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</si>
  <si>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</si>
  <si>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</si>
  <si>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</si>
  <si>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</si>
  <si>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</si>
  <si>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</si>
  <si>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</si>
  <si>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</si>
  <si>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</si>
  <si>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</si>
  <si>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</si>
  <si>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</si>
  <si>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</si>
  <si>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</si>
  <si>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</si>
  <si>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</si>
  <si>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</si>
  <si>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</si>
  <si>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</si>
  <si>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</si>
  <si>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</si>
  <si>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</si>
  <si>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</si>
  <si>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</si>
  <si>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</si>
  <si>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</si>
  <si>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</si>
  <si>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</si>
  <si>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</si>
  <si>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</si>
  <si>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</si>
  <si>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</si>
  <si>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</si>
  <si>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</si>
  <si>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</si>
  <si>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</si>
  <si>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</si>
  <si>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</si>
  <si>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</si>
  <si>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</si>
  <si>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</si>
  <si>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</si>
  <si>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</si>
  <si>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</si>
  <si>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</si>
  <si>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</si>
  <si>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</si>
  <si>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</si>
  <si>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</si>
  <si>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</si>
  <si>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</si>
  <si>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</si>
  <si>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</si>
  <si>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</si>
  <si>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</si>
  <si>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</si>
  <si>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</si>
  <si>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</si>
  <si>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</si>
  <si>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</si>
  <si>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</si>
  <si>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</si>
  <si>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</si>
  <si>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</si>
  <si>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</si>
  <si>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</si>
  <si>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</si>
  <si>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</si>
  <si>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</si>
  <si>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</si>
  <si>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</si>
  <si>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</si>
  <si>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</si>
  <si>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</si>
  <si>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</si>
  <si>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</si>
  <si>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</si>
  <si>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</si>
  <si>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</si>
  <si>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</si>
  <si>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</si>
  <si>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</si>
  <si>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</si>
  <si>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</si>
  <si>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</si>
  <si>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</si>
  <si>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</si>
  <si>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</si>
  <si>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</si>
  <si>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</si>
  <si>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</si>
  <si>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</si>
  <si>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</si>
  <si>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</si>
  <si>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</si>
  <si>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</si>
  <si>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</si>
  <si>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</si>
  <si>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</si>
  <si>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</si>
  <si>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</si>
  <si>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</si>
  <si>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</si>
  <si>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</si>
  <si>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</si>
  <si>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</si>
  <si>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</si>
  <si>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</si>
  <si>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</si>
  <si>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</si>
  <si>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</si>
  <si>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</si>
  <si>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</si>
  <si>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</si>
  <si>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</si>
  <si>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</si>
  <si>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</si>
  <si>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</si>
  <si>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</si>
  <si>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</si>
  <si>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</si>
  <si>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</si>
  <si>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</si>
  <si>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</si>
  <si>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</si>
  <si>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</si>
  <si>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</si>
  <si>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</si>
  <si>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</si>
  <si>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</si>
  <si>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</si>
  <si>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</si>
  <si>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</si>
  <si>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</si>
  <si>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</si>
  <si>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</si>
  <si>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</si>
  <si>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</si>
  <si>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</si>
  <si>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</si>
  <si>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</si>
  <si>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</si>
  <si>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</si>
  <si>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</si>
  <si>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</si>
  <si>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</si>
  <si>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</si>
  <si>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</si>
  <si>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</si>
  <si>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</si>
  <si>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</si>
  <si>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</si>
  <si>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</si>
  <si>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</si>
  <si>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</si>
  <si>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</si>
  <si>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</si>
  <si>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</si>
  <si>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</si>
  <si>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</si>
  <si>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</si>
  <si>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</si>
  <si>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</si>
  <si>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</si>
  <si>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</si>
  <si>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</si>
  <si>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</si>
  <si>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</si>
  <si>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</si>
  <si>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</si>
  <si>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</si>
  <si>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</si>
  <si>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</si>
  <si>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</si>
  <si>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</si>
  <si>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</si>
  <si>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</si>
  <si>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</si>
  <si>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</si>
  <si>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</si>
  <si>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</si>
  <si>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</si>
  <si>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</si>
  <si>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</si>
  <si>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</si>
  <si>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</si>
  <si>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</si>
  <si>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</si>
  <si>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</si>
  <si>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</si>
  <si>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</si>
  <si>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</si>
  <si>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</si>
  <si>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</si>
  <si>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</si>
  <si>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</si>
  <si>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</si>
  <si>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</si>
  <si>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</si>
  <si>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</si>
  <si>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</si>
  <si>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</si>
  <si>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</si>
  <si>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</si>
  <si>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</si>
  <si>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</si>
  <si>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</si>
  <si>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</si>
  <si>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</si>
  <si>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</si>
  <si>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</si>
  <si>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</si>
  <si>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</si>
  <si>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</si>
  <si>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</si>
  <si>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</si>
  <si>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</si>
  <si>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</si>
  <si>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</si>
  <si>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</si>
  <si>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</si>
  <si>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</si>
  <si>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</si>
  <si>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</si>
  <si>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</si>
  <si>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</si>
  <si>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</si>
  <si>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</si>
  <si>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</si>
  <si>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</si>
  <si>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</si>
  <si>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</si>
  <si>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</si>
  <si>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</si>
  <si>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</si>
  <si>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</si>
  <si>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</si>
  <si>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</si>
  <si>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</si>
  <si>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</si>
  <si>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</si>
  <si>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</si>
  <si>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</si>
  <si>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</si>
  <si>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</si>
  <si>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</si>
  <si>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</si>
  <si>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</si>
  <si>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</si>
  <si>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</si>
  <si>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</si>
  <si>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</si>
  <si>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</si>
  <si>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</si>
  <si>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</si>
  <si>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</si>
  <si>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</si>
  <si>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</si>
  <si>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</si>
  <si>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</si>
  <si>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</si>
  <si>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</si>
  <si>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</si>
  <si>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</si>
  <si>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</si>
  <si>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</si>
  <si>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</si>
  <si>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</si>
  <si>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</si>
  <si>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</si>
  <si>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</si>
  <si>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</si>
  <si>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</si>
  <si>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</si>
  <si>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</si>
  <si>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</si>
  <si>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</si>
  <si>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</si>
  <si>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</si>
  <si>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</si>
  <si>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</si>
  <si>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</si>
  <si>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</si>
  <si>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</si>
  <si>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</si>
  <si>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</si>
  <si>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</si>
  <si>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</si>
  <si>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</si>
  <si>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</si>
  <si>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</si>
  <si>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</si>
  <si>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</si>
  <si>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</si>
  <si>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</si>
  <si>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</si>
  <si>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</si>
  <si>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</si>
  <si>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</si>
  <si>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</si>
  <si>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</si>
  <si>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</si>
  <si>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</si>
  <si>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</si>
  <si>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</si>
  <si>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</si>
  <si>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</si>
  <si>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</si>
  <si>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</si>
  <si>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</si>
  <si>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</si>
  <si>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</si>
  <si>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</si>
  <si>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</si>
  <si>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</si>
  <si>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</si>
  <si>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</si>
  <si>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</si>
  <si>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</si>
  <si>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</si>
  <si>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</si>
  <si>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</si>
  <si>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</si>
  <si>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</si>
  <si>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</si>
  <si>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</si>
  <si>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</si>
  <si>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</si>
  <si>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</si>
  <si>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</si>
  <si>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</si>
  <si>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</si>
  <si>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</si>
  <si>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</si>
  <si>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</si>
  <si>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</si>
  <si>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</si>
  <si>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</si>
  <si>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</si>
  <si>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</si>
  <si>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</si>
  <si>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</si>
  <si>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</si>
  <si>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</si>
  <si>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</si>
  <si>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</si>
  <si>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</si>
  <si>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</si>
  <si>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</si>
  <si>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</si>
  <si>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</si>
  <si>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</si>
  <si>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</si>
  <si>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</si>
  <si>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</si>
  <si>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</si>
  <si>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</si>
  <si>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</si>
  <si>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</si>
  <si>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</si>
  <si>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</si>
  <si>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</si>
  <si>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</si>
  <si>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</si>
  <si>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</si>
  <si>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</si>
  <si>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</si>
  <si>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</si>
  <si>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</si>
  <si>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</si>
  <si>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</si>
  <si>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</si>
  <si>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</si>
  <si>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</si>
  <si>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</si>
  <si>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</si>
  <si>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</si>
  <si>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</si>
  <si>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</si>
  <si>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</si>
  <si>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</si>
  <si>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</si>
  <si>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</si>
  <si>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</si>
  <si>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</si>
  <si>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</si>
  <si>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</si>
  <si>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</si>
  <si>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</si>
  <si>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</si>
  <si>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</si>
  <si>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</si>
  <si>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</si>
  <si>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</si>
  <si>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</si>
  <si>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</si>
  <si>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</si>
  <si>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</si>
  <si>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</si>
  <si>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</si>
  <si>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</si>
  <si>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</si>
  <si>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</si>
  <si>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</si>
  <si>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</si>
  <si>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</si>
  <si>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</si>
  <si>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</si>
  <si>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</si>
  <si>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</si>
  <si>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</si>
  <si>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</si>
  <si>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</si>
  <si>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</si>
  <si>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</si>
  <si>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</si>
  <si>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</si>
  <si>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</si>
  <si>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</si>
  <si>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</si>
  <si>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</si>
  <si>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</si>
  <si>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</si>
  <si>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</si>
  <si>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</si>
  <si>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</si>
  <si>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</si>
  <si>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</si>
  <si>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</si>
  <si>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</si>
  <si>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</si>
  <si>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</si>
  <si>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</si>
  <si>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</si>
  <si>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</si>
  <si>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</si>
  <si>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</si>
  <si>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</si>
  <si>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</si>
  <si>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</si>
  <si>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</si>
  <si>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</si>
  <si>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</si>
  <si>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</si>
  <si>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</si>
  <si>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</si>
  <si>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</si>
  <si>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</si>
  <si>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</si>
  <si>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</si>
  <si>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</si>
  <si>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</si>
  <si>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</si>
  <si>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</si>
  <si>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</si>
  <si>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</si>
  <si>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</si>
  <si>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</si>
  <si>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</si>
  <si>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</si>
  <si>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</si>
  <si>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</si>
  <si>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</si>
  <si>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</si>
  <si>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</si>
  <si>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</si>
  <si>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</si>
  <si>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</si>
  <si>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</si>
  <si>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</si>
  <si>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</si>
  <si>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</si>
  <si>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</si>
  <si>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</si>
  <si>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</si>
  <si>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</si>
  <si>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</si>
  <si>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</si>
  <si>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</si>
  <si>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</si>
  <si>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</si>
  <si>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</si>
  <si>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</si>
  <si>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</si>
  <si>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</si>
  <si>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</si>
  <si>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</si>
  <si>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</si>
  <si>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</si>
  <si>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</si>
  <si>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</si>
  <si>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</si>
  <si>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</si>
  <si>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</si>
  <si>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</si>
  <si>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</si>
  <si>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</si>
  <si>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</si>
  <si>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</si>
  <si>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</si>
  <si>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</si>
  <si>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</si>
  <si>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</si>
  <si>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</si>
  <si>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</si>
  <si>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</si>
  <si>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</si>
  <si>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</si>
  <si>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</si>
  <si>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</si>
  <si>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</si>
  <si>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</si>
  <si>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</si>
  <si>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</si>
  <si>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</si>
  <si>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</si>
  <si>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</si>
  <si>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</si>
  <si>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</si>
  <si>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</si>
  <si>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</si>
  <si>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</si>
  <si>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</si>
  <si>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</si>
  <si>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</si>
  <si>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</si>
  <si>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</si>
  <si>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</si>
  <si>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</si>
  <si>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</si>
  <si>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</si>
  <si>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</si>
  <si>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</si>
  <si>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</si>
  <si>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</si>
  <si>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</si>
  <si>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</si>
  <si>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</si>
  <si>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</si>
  <si>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</si>
  <si>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</si>
  <si>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</si>
  <si>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</si>
  <si>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</si>
  <si>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</si>
  <si>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</si>
  <si>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</si>
  <si>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</si>
  <si>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</si>
  <si>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</si>
  <si>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</si>
  <si>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</si>
  <si>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</si>
  <si>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</si>
  <si>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</si>
  <si>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</si>
  <si>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</si>
  <si>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</si>
  <si>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</si>
  <si>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</si>
  <si>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</si>
  <si>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</si>
  <si>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</si>
  <si>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</si>
  <si>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</si>
  <si>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</si>
  <si>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</si>
  <si>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</si>
  <si>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</si>
  <si>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</si>
  <si>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</si>
  <si>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</si>
  <si>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</si>
  <si>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</si>
  <si>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</si>
  <si>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</si>
  <si>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</si>
  <si>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</si>
  <si>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</si>
  <si>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</si>
  <si>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</si>
  <si>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</si>
  <si>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</si>
  <si>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</si>
  <si>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</si>
  <si>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</si>
  <si>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</si>
  <si>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</si>
  <si>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</si>
  <si>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</si>
  <si>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</si>
  <si>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</si>
  <si>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</si>
  <si>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</si>
  <si>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</si>
  <si>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</si>
  <si>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</si>
  <si>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</si>
  <si>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</si>
  <si>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</si>
  <si>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</si>
  <si>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</si>
  <si>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</si>
  <si>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</si>
  <si>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</si>
  <si>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</si>
  <si>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</si>
  <si>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</si>
  <si>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</si>
  <si>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</si>
  <si>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</si>
  <si>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</si>
  <si>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</si>
  <si>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</si>
  <si>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</si>
  <si>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</si>
  <si>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</si>
  <si>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</si>
  <si>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</si>
  <si>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</si>
  <si>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</si>
  <si>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</si>
  <si>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</si>
  <si>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</si>
  <si>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</si>
  <si>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</si>
  <si>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</si>
  <si>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</si>
  <si>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</si>
  <si>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</si>
  <si>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</si>
  <si>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</si>
  <si>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</si>
  <si>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</si>
  <si>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</si>
  <si>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</si>
  <si>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</si>
  <si>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</si>
  <si>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</si>
  <si>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</si>
  <si>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</si>
  <si>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</si>
  <si>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</si>
  <si>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</si>
  <si>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</si>
  <si>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</si>
  <si>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</si>
  <si>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</si>
  <si>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</si>
  <si>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</si>
  <si>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</si>
  <si>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</si>
  <si>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</si>
  <si>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</si>
  <si>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</si>
  <si>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</si>
  <si>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</si>
  <si>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</si>
  <si>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</si>
  <si>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</si>
  <si>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</si>
  <si>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</si>
  <si>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</si>
  <si>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</si>
  <si>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</si>
  <si>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</si>
  <si>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</si>
  <si>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</si>
  <si>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</si>
  <si>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</si>
  <si>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</si>
  <si>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</si>
  <si>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</si>
  <si>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</si>
  <si>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</si>
  <si>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</si>
  <si>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</si>
  <si>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</si>
  <si>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</si>
  <si>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</si>
  <si>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</si>
  <si>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</si>
  <si>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</si>
  <si>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</si>
  <si>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</si>
  <si>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</si>
  <si>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</si>
  <si>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</si>
  <si>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</si>
  <si>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</si>
  <si>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</si>
  <si>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</si>
  <si>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</si>
  <si>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</si>
  <si>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</si>
  <si>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</si>
  <si>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</si>
  <si>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</si>
  <si>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</si>
  <si>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</si>
  <si>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</si>
  <si>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</si>
  <si>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</si>
  <si>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</si>
  <si>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</si>
  <si>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</si>
  <si>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</si>
  <si>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</si>
  <si>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</si>
  <si>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</si>
  <si>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</si>
  <si>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</si>
  <si>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</si>
  <si>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</si>
  <si>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</si>
  <si>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</si>
  <si>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</si>
  <si>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</si>
  <si>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</si>
  <si>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</si>
  <si>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</si>
  <si>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</si>
  <si>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</si>
  <si>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</si>
  <si>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</si>
  <si>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</si>
  <si>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</si>
  <si>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</si>
  <si>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</si>
  <si>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</si>
  <si>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</si>
  <si>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</si>
  <si>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</si>
  <si>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</si>
  <si>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</si>
  <si>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</si>
  <si>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</si>
  <si>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</si>
  <si>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</si>
  <si>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</si>
  <si>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</si>
  <si>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</si>
  <si>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</si>
  <si>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</si>
  <si>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</si>
  <si>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</si>
  <si>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</si>
  <si>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</si>
  <si>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</si>
  <si>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</si>
  <si>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</si>
  <si>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</si>
  <si>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</si>
  <si>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</si>
  <si>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</si>
  <si>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</si>
  <si>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</si>
  <si>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</si>
  <si>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</si>
  <si>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</si>
  <si>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</si>
  <si>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</si>
  <si>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</si>
  <si>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</si>
  <si>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</si>
  <si>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</si>
  <si>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</si>
  <si>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</si>
  <si>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</si>
  <si>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</si>
  <si>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</si>
  <si>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</si>
  <si>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</si>
  <si>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</si>
  <si>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</si>
  <si>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</si>
  <si>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</si>
  <si>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</si>
  <si>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</si>
  <si>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</si>
  <si>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</si>
  <si>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</si>
  <si>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</si>
  <si>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</si>
  <si>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</si>
  <si>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</si>
  <si>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</si>
  <si>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</si>
  <si>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</si>
  <si>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</si>
  <si>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</si>
  <si>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</si>
  <si>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</si>
  <si>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</si>
  <si>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</si>
  <si>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</si>
  <si>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</si>
  <si>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</si>
  <si>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</si>
  <si>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</si>
  <si>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</si>
  <si>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</si>
  <si>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</si>
  <si>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</si>
  <si>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</si>
  <si>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</si>
  <si>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</si>
  <si>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</si>
  <si>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</si>
  <si>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</si>
  <si>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</si>
  <si>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</si>
  <si>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</si>
  <si>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</si>
  <si>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</si>
  <si>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</si>
  <si>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</si>
  <si>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</si>
  <si>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</si>
  <si>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</si>
  <si>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</si>
  <si>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</si>
  <si>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</si>
  <si>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</si>
  <si>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</si>
  <si>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</si>
  <si>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</si>
  <si>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</si>
  <si>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</si>
  <si>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</si>
  <si>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</si>
  <si>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北京高和</t>
    <phoneticPr fontId="6" type="noConversion"/>
  </si>
  <si>
    <t>2004</t>
    <phoneticPr fontId="6" type="noConversion"/>
  </si>
  <si>
    <t>复印件</t>
  </si>
  <si>
    <t>《不动产权证书》</t>
  </si>
  <si>
    <t>办公项目</t>
  </si>
  <si>
    <t>无</t>
  </si>
  <si>
    <t>否</t>
  </si>
  <si>
    <t>现房</t>
  </si>
  <si>
    <t>通路</t>
  </si>
  <si>
    <t>通电</t>
  </si>
  <si>
    <t>通讯</t>
  </si>
  <si>
    <t>通上水</t>
  </si>
  <si>
    <t>通下水</t>
  </si>
  <si>
    <t>燃气</t>
  </si>
  <si>
    <t>平整</t>
  </si>
  <si>
    <t>地上</t>
  </si>
  <si>
    <t>是</t>
  </si>
  <si>
    <t>成新度</t>
  </si>
  <si>
    <t>建成</t>
    <phoneticPr fontId="3" type="noConversion"/>
  </si>
  <si>
    <t>直线</t>
    <phoneticPr fontId="3" type="noConversion"/>
  </si>
  <si>
    <t>改造</t>
    <phoneticPr fontId="3" type="noConversion"/>
  </si>
  <si>
    <r>
      <t>2014</t>
    </r>
    <r>
      <rPr>
        <sz val="10"/>
        <color indexed="8"/>
        <rFont val="宋体"/>
        <family val="3"/>
        <charset val="134"/>
      </rPr>
      <t>年改造</t>
    </r>
    <phoneticPr fontId="3" type="noConversion"/>
  </si>
  <si>
    <t>观察</t>
    <phoneticPr fontId="3" type="noConversion"/>
  </si>
  <si>
    <t>综合</t>
    <phoneticPr fontId="3" type="noConversion"/>
  </si>
  <si>
    <t>较好</t>
  </si>
  <si>
    <t>较好</t>
    <phoneticPr fontId="40" type="noConversion"/>
  </si>
  <si>
    <t>较好</t>
    <phoneticPr fontId="24" type="noConversion"/>
  </si>
  <si>
    <t>一般</t>
  </si>
  <si>
    <t>较好</t>
    <phoneticPr fontId="40" type="noConversion"/>
  </si>
  <si>
    <t>七通</t>
  </si>
  <si>
    <t>七通</t>
    <phoneticPr fontId="24" type="noConversion"/>
  </si>
  <si>
    <t>售价</t>
  </si>
  <si>
    <t>售价</t>
    <phoneticPr fontId="134" type="noConversion"/>
  </si>
  <si>
    <t>高和蓝峰大厦</t>
    <phoneticPr fontId="134" type="noConversion"/>
  </si>
  <si>
    <t>单价</t>
    <phoneticPr fontId="134" type="noConversion"/>
  </si>
  <si>
    <t>楼层</t>
    <phoneticPr fontId="134" type="noConversion"/>
  </si>
  <si>
    <t>面积</t>
    <phoneticPr fontId="134" type="noConversion"/>
  </si>
  <si>
    <t>中</t>
    <phoneticPr fontId="134" type="noConversion"/>
  </si>
  <si>
    <t>低</t>
    <phoneticPr fontId="134" type="noConversion"/>
  </si>
  <si>
    <t>高</t>
    <phoneticPr fontId="134" type="noConversion"/>
  </si>
  <si>
    <t>租金</t>
    <phoneticPr fontId="134" type="noConversion"/>
  </si>
  <si>
    <t>高和蓝峰大厦</t>
    <phoneticPr fontId="134" type="noConversion"/>
  </si>
  <si>
    <t>富华弘燕大厦</t>
    <phoneticPr fontId="134" type="noConversion"/>
  </si>
  <si>
    <t>东方文创大厦</t>
    <phoneticPr fontId="134" type="noConversion"/>
  </si>
  <si>
    <t>贝壳</t>
    <phoneticPr fontId="134" type="noConversion"/>
  </si>
  <si>
    <t>报价</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</si>
  <si>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</si>
  <si>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</si>
  <si>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</si>
  <si>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</si>
  <si>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</si>
  <si>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</si>
  <si>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</si>
  <si>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</si>
  <si>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</si>
  <si>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</si>
  <si>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</si>
  <si>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</si>
  <si>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</si>
  <si>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</si>
  <si>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</si>
  <si>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</si>
  <si>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</si>
  <si>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</si>
  <si>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</si>
  <si>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</si>
  <si>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</si>
  <si>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</si>
  <si>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</si>
  <si>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专业物业管理</t>
  </si>
  <si>
    <t>专业物业管理</t>
    <phoneticPr fontId="31" type="noConversion"/>
  </si>
  <si>
    <t>普通物业管理</t>
    <phoneticPr fontId="31" type="noConversion"/>
  </si>
  <si>
    <t>租约</t>
    <phoneticPr fontId="134" type="noConversion"/>
  </si>
  <si>
    <t>正常</t>
  </si>
  <si>
    <t>办公</t>
    <phoneticPr fontId="31" type="noConversion"/>
  </si>
  <si>
    <t>六通</t>
  </si>
  <si>
    <t>瑞安大厦</t>
    <phoneticPr fontId="134" type="noConversion"/>
  </si>
  <si>
    <t>单套模式</t>
  </si>
  <si>
    <t>押一</t>
  </si>
  <si>
    <t>非生产用房</t>
  </si>
  <si>
    <t>项目局部</t>
  </si>
  <si>
    <t>商务金融用地</t>
  </si>
  <si>
    <t>不临65条商业街</t>
  </si>
  <si>
    <t>与级别开发程度不一致</t>
  </si>
  <si>
    <t>自定义容积率</t>
  </si>
  <si>
    <t>好</t>
  </si>
  <si>
    <t>未包含在土地购买价格中</t>
  </si>
  <si>
    <t>已包含在土地取得成本中</t>
  </si>
  <si>
    <t>楼面单价</t>
  </si>
  <si>
    <t>中</t>
    <phoneticPr fontId="134" type="noConversion"/>
  </si>
  <si>
    <t>金城中心</t>
    <phoneticPr fontId="134" type="noConversion"/>
  </si>
  <si>
    <r>
      <rPr>
        <sz val="10"/>
        <color theme="9" tint="-0.249977111117893"/>
        <rFont val="宋体"/>
        <family val="3"/>
        <charset val="134"/>
      </rPr>
      <t>朝阳区东三环南路</t>
    </r>
    <r>
      <rPr>
        <sz val="10"/>
        <color theme="9" tint="-0.249977111117893"/>
        <rFont val="Arial"/>
        <family val="2"/>
      </rPr>
      <t>98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3</t>
    </r>
    <r>
      <rPr>
        <sz val="10"/>
        <color theme="9" tint="-0.249977111117893"/>
        <rFont val="宋体"/>
        <family val="3"/>
        <charset val="134"/>
      </rPr>
      <t>层</t>
    </r>
    <r>
      <rPr>
        <sz val="10"/>
        <color theme="9" tint="-0.249977111117893"/>
        <rFont val="Arial"/>
        <family val="2"/>
      </rPr>
      <t>307</t>
    </r>
    <phoneticPr fontId="6" type="noConversion"/>
  </si>
  <si>
    <t>办公307</t>
  </si>
  <si>
    <t>办公307</t>
    <phoneticPr fontId="7" type="noConversion"/>
  </si>
  <si>
    <t>办公505</t>
  </si>
  <si>
    <t>办公505</t>
    <phoneticPr fontId="7" type="noConversion"/>
  </si>
  <si>
    <t>办公905</t>
  </si>
  <si>
    <t>办公905</t>
    <phoneticPr fontId="7" type="noConversion"/>
  </si>
  <si>
    <t>办公1012</t>
  </si>
  <si>
    <t>办公1012</t>
    <phoneticPr fontId="7" type="noConversion"/>
  </si>
  <si>
    <t>办公911</t>
  </si>
  <si>
    <t>办公911</t>
    <phoneticPr fontId="7" type="noConversion"/>
  </si>
  <si>
    <t>收益法-1012</t>
  </si>
  <si>
    <t>收益法-1012</t>
    <phoneticPr fontId="16" type="noConversion"/>
  </si>
  <si>
    <t>收益法-911</t>
  </si>
  <si>
    <t>收益法-911</t>
    <phoneticPr fontId="16" type="noConversion"/>
  </si>
  <si>
    <t>收益法-905</t>
  </si>
  <si>
    <t>收益法-905</t>
    <phoneticPr fontId="16" type="noConversion"/>
  </si>
  <si>
    <t>比较法-1012</t>
  </si>
  <si>
    <t>比较法-1012</t>
    <phoneticPr fontId="16" type="noConversion"/>
  </si>
  <si>
    <t>收益法-505</t>
  </si>
  <si>
    <t>收益法-505</t>
    <phoneticPr fontId="16" type="noConversion"/>
  </si>
  <si>
    <t>比较法-911</t>
  </si>
  <si>
    <t>比较法-911</t>
    <phoneticPr fontId="16" type="noConversion"/>
  </si>
  <si>
    <t>比较法-905</t>
  </si>
  <si>
    <t>比较法-905</t>
    <phoneticPr fontId="16" type="noConversion"/>
  </si>
  <si>
    <t>比较法-505</t>
  </si>
  <si>
    <t>比较法-505</t>
    <phoneticPr fontId="16" type="noConversion"/>
  </si>
  <si>
    <t>比较法-307</t>
  </si>
  <si>
    <t>比较法-307</t>
    <phoneticPr fontId="16" type="noConversion"/>
  </si>
  <si>
    <t>收益法-307</t>
  </si>
  <si>
    <t>收益法-307</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</si>
</sst>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96" fillId="0" borderId="0" xfId="12" applyFon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7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北京市朝阳区东三环南路98号1幢3层307房地产抵押价值预评估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受贵公司委托，我公司对北京市朝阳区东三环南路98号1幢3层307房地产抵押价值进行了预评估。</v>
      </c>
    </row>
    <row r="7" spans="1:2" s="1199" customFormat="1">
      <c r="A7" s="1197" t="s">
        <v>566</v>
      </c>
      <c r="B7" s="1198" t="str">
        <f>'预评函-1'!A7</f>
        <v>估价对象为北京市朝阳区东三环南路98号1幢3层307房地产，为北京高和所有。根据《国有土地使用证》[]，估价对象（分摊）出让国有建设用地使用权面积为0平方米，建筑面积为971.86平方米。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2024年7月12日（评估专业人员实地查勘之日）</v>
      </c>
    </row>
    <row r="13" spans="1:2" s="1199" customFormat="1">
      <c r="A13" s="1197" t="s">
        <v>529</v>
      </c>
      <c r="B13" s="1198"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608</v>
      </c>
    </row>
    <row r="21" spans="1:2" s="1199" customFormat="1">
      <c r="A21" s="1197" t="s">
        <v>537</v>
      </c>
      <c r="B21" s="1198">
        <f ca="1">'预评函-2'!D7</f>
        <v>30704</v>
      </c>
    </row>
    <row r="22" spans="1:2" s="1199" customFormat="1">
      <c r="A22" s="1197" t="s">
        <v>538</v>
      </c>
      <c r="B22" s="1198" t="str">
        <f ca="1">'预评函-2'!D6</f>
        <v>陆佰零捌万元整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608</v>
      </c>
    </row>
    <row r="31" spans="1:2" s="1199" customFormat="1">
      <c r="A31" s="1197" t="s">
        <v>576</v>
      </c>
      <c r="B31" s="1198">
        <f ca="1">'预评函-2'!D15</f>
        <v>30704</v>
      </c>
    </row>
    <row r="32" spans="1:2" s="1199" customFormat="1">
      <c r="A32" s="1197" t="s">
        <v>543</v>
      </c>
      <c r="B32" s="1198" t="str">
        <f ca="1">'预评函-2'!D14</f>
        <v>陆佰零捌万元整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北京市朝阳区东三环南路98号1幢3层307房地产</v>
      </c>
    </row>
    <row r="42" spans="1:2" s="1199" customFormat="1">
      <c r="A42" s="1197" t="s">
        <v>590</v>
      </c>
      <c r="B42" s="1198" t="str">
        <f>'预评函-3'!B2</f>
        <v>建筑面积</v>
      </c>
    </row>
    <row r="43" spans="1:2" s="1199" customFormat="1">
      <c r="A43" s="1197" t="s">
        <v>591</v>
      </c>
      <c r="B43" s="1198">
        <f>'预评函-3'!B4</f>
        <v>971.86</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3344</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3330</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3331</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3332</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3333</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3334</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3335</v>
      </c>
    </row>
    <row r="8" spans="1:23">
      <c r="A8" s="1542" t="s">
        <v>1026</v>
      </c>
      <c r="B8" s="1542" t="s">
        <v>1027</v>
      </c>
      <c r="C8" s="1543" t="s">
        <v>319</v>
      </c>
      <c r="F8" s="1544" t="s">
        <v>1028</v>
      </c>
      <c r="H8" s="1544" t="s">
        <v>2570</v>
      </c>
      <c r="I8" s="1544" t="s">
        <v>3336</v>
      </c>
    </row>
    <row r="9" spans="1:23">
      <c r="A9" s="1542" t="s">
        <v>1029</v>
      </c>
      <c r="B9" s="1542" t="s">
        <v>1030</v>
      </c>
      <c r="C9" s="1543" t="s">
        <v>320</v>
      </c>
      <c r="F9" s="1544" t="s">
        <v>1031</v>
      </c>
      <c r="H9" s="1544"/>
      <c r="I9" s="1547" t="s">
        <v>3337</v>
      </c>
    </row>
    <row r="10" spans="1:23">
      <c r="A10" s="1542" t="s">
        <v>1032</v>
      </c>
      <c r="B10" s="1542" t="s">
        <v>1033</v>
      </c>
      <c r="C10" s="1543" t="s">
        <v>321</v>
      </c>
      <c r="F10" s="1544" t="s">
        <v>2571</v>
      </c>
      <c r="I10" s="1547" t="s">
        <v>3338</v>
      </c>
    </row>
    <row r="11" spans="1:23">
      <c r="A11" s="1542" t="s">
        <v>1034</v>
      </c>
      <c r="B11" s="1542" t="s">
        <v>1035</v>
      </c>
      <c r="C11" s="1543" t="s">
        <v>322</v>
      </c>
      <c r="F11" s="1544" t="s">
        <v>13</v>
      </c>
      <c r="I11" s="1547" t="s">
        <v>3339</v>
      </c>
    </row>
    <row r="12" spans="1:23">
      <c r="A12" s="1542" t="s">
        <v>1036</v>
      </c>
      <c r="B12" s="1542" t="s">
        <v>1037</v>
      </c>
      <c r="C12" s="1543" t="s">
        <v>323</v>
      </c>
      <c r="I12" s="1547" t="s">
        <v>3340</v>
      </c>
    </row>
    <row r="13" spans="1:23">
      <c r="A13" s="1542" t="s">
        <v>1038</v>
      </c>
      <c r="B13" s="1542" t="s">
        <v>1039</v>
      </c>
      <c r="C13" s="1543" t="s">
        <v>324</v>
      </c>
      <c r="I13" s="1547" t="s">
        <v>3341</v>
      </c>
    </row>
    <row r="14" spans="1:23">
      <c r="A14" s="1542" t="s">
        <v>1040</v>
      </c>
      <c r="B14" s="1542" t="s">
        <v>1041</v>
      </c>
      <c r="C14" s="1544" t="s">
        <v>13</v>
      </c>
      <c r="I14" s="1547" t="s">
        <v>3342</v>
      </c>
    </row>
    <row r="15" spans="1:23">
      <c r="A15" s="1542" t="s">
        <v>1042</v>
      </c>
      <c r="B15" s="1542" t="s">
        <v>1043</v>
      </c>
      <c r="C15" s="1543"/>
      <c r="I15" s="1547" t="s">
        <v>3343</v>
      </c>
    </row>
    <row r="16" spans="1:23">
      <c r="A16" s="1542" t="s">
        <v>1044</v>
      </c>
      <c r="B16" s="1542" t="s">
        <v>312</v>
      </c>
      <c r="C16" s="1543"/>
    </row>
    <row r="17" spans="1:3">
      <c r="A17" s="1542" t="s">
        <v>1045</v>
      </c>
      <c r="B17" s="1542" t="s">
        <v>3486</v>
      </c>
      <c r="C17" s="1543"/>
    </row>
    <row r="18" spans="1:3">
      <c r="A18" s="1542" t="s">
        <v>1046</v>
      </c>
      <c r="B18" s="1542" t="s">
        <v>3484</v>
      </c>
      <c r="C18" s="1543"/>
    </row>
    <row r="19" spans="1:3">
      <c r="A19" s="1542" t="s">
        <v>1047</v>
      </c>
      <c r="B19" s="1542" t="s">
        <v>3482</v>
      </c>
      <c r="C19" s="1543"/>
    </row>
    <row r="20" spans="1:3">
      <c r="A20" s="1542" t="s">
        <v>1048</v>
      </c>
      <c r="B20" s="1542" t="s">
        <v>3488</v>
      </c>
      <c r="C20" s="1543"/>
    </row>
    <row r="21" spans="1:3">
      <c r="A21" s="1542" t="s">
        <v>1049</v>
      </c>
      <c r="B21" s="1542" t="s">
        <v>3490</v>
      </c>
      <c r="C21" s="1543"/>
    </row>
    <row r="22" spans="1:3">
      <c r="A22" s="1542" t="s">
        <v>1050</v>
      </c>
      <c r="B22" s="1542" t="s">
        <v>3492</v>
      </c>
      <c r="C22" s="1543"/>
    </row>
    <row r="23" spans="1:3">
      <c r="A23" s="1542" t="s">
        <v>1051</v>
      </c>
      <c r="B23" s="1542" t="s">
        <v>3494</v>
      </c>
      <c r="C23" s="1543"/>
    </row>
    <row r="24" spans="1:3">
      <c r="A24" s="1542" t="s">
        <v>1052</v>
      </c>
      <c r="B24" s="1542" t="s">
        <v>3496</v>
      </c>
      <c r="C24" s="1543"/>
    </row>
    <row r="25" spans="1:3">
      <c r="A25" s="1542" t="s">
        <v>1053</v>
      </c>
      <c r="B25" s="1542" t="s">
        <v>3498</v>
      </c>
      <c r="C25" s="1543"/>
    </row>
    <row r="26" spans="1:3">
      <c r="A26" s="1542" t="s">
        <v>1054</v>
      </c>
      <c r="B26" s="1542" t="s">
        <v>3500</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50" t="s">
        <v>385</v>
      </c>
      <c r="C54" s="1547" t="s">
        <v>583</v>
      </c>
    </row>
    <row r="55" spans="1:4">
      <c r="A55" s="3529"/>
      <c r="B55" s="1550" t="s">
        <v>386</v>
      </c>
      <c r="C55" s="1547" t="s">
        <v>584</v>
      </c>
    </row>
    <row r="56" spans="1:4">
      <c r="A56" s="3529"/>
      <c r="B56" s="1550" t="s">
        <v>387</v>
      </c>
      <c r="C56" s="1547" t="s">
        <v>588</v>
      </c>
    </row>
    <row r="57" spans="1:4">
      <c r="A57" s="352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2493</v>
      </c>
      <c r="B1" s="3007"/>
      <c r="C1" s="3007"/>
      <c r="D1" s="3007"/>
      <c r="E1" s="3007"/>
      <c r="F1" s="3008"/>
      <c r="I1" s="3430" t="s">
        <v>2586</v>
      </c>
      <c r="J1" s="3219"/>
      <c r="K1" s="3219"/>
      <c r="L1" s="3219"/>
      <c r="M1" s="3219"/>
      <c r="N1" s="3431"/>
      <c r="O1" s="3431"/>
      <c r="P1" s="3431"/>
      <c r="Q1" s="3431"/>
      <c r="R1" s="3431"/>
    </row>
    <row r="2" spans="1:18">
      <c r="A2" s="3010"/>
      <c r="B2" s="3011"/>
      <c r="C2" s="3011"/>
      <c r="D2" s="3011"/>
      <c r="E2" s="3011"/>
      <c r="F2" s="3012"/>
      <c r="I2" s="3530" t="s">
        <v>2573</v>
      </c>
      <c r="J2" s="3530"/>
      <c r="K2" s="3530"/>
      <c r="L2" s="3530"/>
      <c r="M2" s="3530"/>
      <c r="N2" s="3530"/>
      <c r="O2" s="3530"/>
      <c r="P2" s="3530"/>
      <c r="Q2" s="3530"/>
      <c r="R2" s="3530"/>
    </row>
    <row r="3" spans="1:18">
      <c r="A3" s="3013" t="s">
        <v>2494</v>
      </c>
      <c r="B3" s="3014">
        <f>项目基本情况!D3</f>
        <v>45485</v>
      </c>
      <c r="C3" s="3016"/>
      <c r="D3" s="3016"/>
      <c r="E3" s="3016"/>
      <c r="F3" s="3012"/>
      <c r="I3" s="3432"/>
      <c r="J3" s="3432" t="s">
        <v>2577</v>
      </c>
      <c r="K3" s="3432" t="s">
        <v>2578</v>
      </c>
      <c r="L3" s="3432" t="s">
        <v>2579</v>
      </c>
      <c r="M3" s="3432" t="s">
        <v>2580</v>
      </c>
      <c r="N3" s="3433" t="s">
        <v>2581</v>
      </c>
      <c r="O3" s="3433" t="s">
        <v>2582</v>
      </c>
      <c r="P3" s="3433" t="s">
        <v>2583</v>
      </c>
      <c r="Q3" s="3433" t="s">
        <v>2584</v>
      </c>
      <c r="R3" s="3433" t="s">
        <v>2585</v>
      </c>
    </row>
    <row r="4" spans="1:18">
      <c r="A4" s="3013" t="s">
        <v>2495</v>
      </c>
      <c r="B4" s="3016" t="s">
        <v>2496</v>
      </c>
      <c r="C4" s="3016" t="s">
        <v>2497</v>
      </c>
      <c r="D4" s="3016" t="s">
        <v>2498</v>
      </c>
      <c r="E4" s="3016" t="s">
        <v>2499</v>
      </c>
      <c r="F4" s="3012"/>
      <c r="I4" s="3432" t="s">
        <v>2574</v>
      </c>
      <c r="J4" s="3432">
        <v>80</v>
      </c>
      <c r="K4" s="3432">
        <v>70</v>
      </c>
      <c r="L4" s="3432">
        <v>20</v>
      </c>
      <c r="M4" s="3432">
        <v>30</v>
      </c>
      <c r="N4" s="3016">
        <v>45</v>
      </c>
      <c r="O4" s="3016">
        <v>60</v>
      </c>
      <c r="P4" s="3016">
        <v>50</v>
      </c>
      <c r="Q4" s="3016">
        <v>20</v>
      </c>
      <c r="R4" s="3016">
        <v>375</v>
      </c>
    </row>
    <row r="5" spans="1:18">
      <c r="A5" s="3017">
        <v>40</v>
      </c>
      <c r="B5" s="3014">
        <v>46375</v>
      </c>
      <c r="C5" s="3016">
        <f>ROUNDDOWN(MIN((B5-B3)/365,A5),2)</f>
        <v>2.4300000000000002</v>
      </c>
      <c r="D5" s="3018">
        <f>IF(ISERROR(ROUND(POWER(1+E5,A5-C5)*(POWER(1+E5,C5)-1)/(POWER(1+E5,A5)-1),3)),0,ROUND(POWER(1+E5,A5-C5)*(POWER(1+E5,C5)-1)/(POWER(1+E5,A5)-1),4))</f>
        <v>0.1148</v>
      </c>
      <c r="E5" s="3019">
        <v>0.04</v>
      </c>
      <c r="F5" s="3012"/>
      <c r="I5" s="3432" t="s">
        <v>2575</v>
      </c>
      <c r="J5" s="3432">
        <v>70</v>
      </c>
      <c r="K5" s="3432">
        <v>60</v>
      </c>
      <c r="L5" s="3432">
        <v>15</v>
      </c>
      <c r="M5" s="3432">
        <v>25</v>
      </c>
      <c r="N5" s="3016">
        <v>40</v>
      </c>
      <c r="O5" s="3016">
        <v>50</v>
      </c>
      <c r="P5" s="3016">
        <v>40</v>
      </c>
      <c r="Q5" s="3016">
        <v>15</v>
      </c>
      <c r="R5" s="3016">
        <v>315</v>
      </c>
    </row>
    <row r="6" spans="1:18">
      <c r="A6" s="3017">
        <v>50</v>
      </c>
      <c r="B6" s="3014">
        <v>50028</v>
      </c>
      <c r="C6" s="3016">
        <f>ROUNDDOWN(MIN((B6-B3)/365,A6),2)</f>
        <v>12.44</v>
      </c>
      <c r="D6" s="3018">
        <f>IF(ISERROR(ROUND(POWER(1+E6,A6-C6)*(POWER(1+E6,C6)-1)/(POWER(1+E6,A6)-1),3)),0,ROUND(POWER(1+E6,A6-C6)*(POWER(1+E6,C6)-1)/(POWER(1+E6,A6)-1),4))</f>
        <v>0.44929999999999998</v>
      </c>
      <c r="E6" s="3019">
        <v>0.04</v>
      </c>
      <c r="F6" s="3012"/>
      <c r="I6" s="3432" t="s">
        <v>2576</v>
      </c>
      <c r="J6" s="3432">
        <v>60</v>
      </c>
      <c r="K6" s="3432">
        <v>50</v>
      </c>
      <c r="L6" s="3432">
        <v>10</v>
      </c>
      <c r="M6" s="3432">
        <v>20</v>
      </c>
      <c r="N6" s="3016">
        <v>35</v>
      </c>
      <c r="O6" s="3016">
        <v>40</v>
      </c>
      <c r="P6" s="3016">
        <v>30</v>
      </c>
      <c r="Q6" s="3016">
        <v>10</v>
      </c>
      <c r="R6" s="3016">
        <v>255</v>
      </c>
    </row>
    <row r="7" spans="1:18">
      <c r="A7" s="3017">
        <v>70</v>
      </c>
      <c r="B7" s="3014">
        <v>57333</v>
      </c>
      <c r="C7" s="3016">
        <f>ROUNDDOWN(MIN((B7-B3)/365,A7),2)</f>
        <v>32.46</v>
      </c>
      <c r="D7" s="3018">
        <f>IF(ISERROR(ROUND(POWER(1+E7,A7-C7)*(POWER(1+E7,C7)-1)/(POWER(1+E7,A7)-1),3)),0,ROUND(POWER(1+E7,A7-C7)*(POWER(1+E7,C7)-1)/(POWER(1+E7,A7)-1),4))</f>
        <v>0.76949999999999996</v>
      </c>
      <c r="E7" s="3019">
        <v>0.04</v>
      </c>
      <c r="F7" s="3012"/>
    </row>
    <row r="8" spans="1:18">
      <c r="A8" s="3010"/>
      <c r="B8" s="3011"/>
      <c r="C8" s="3011"/>
      <c r="D8" s="3011"/>
      <c r="E8" s="3011"/>
      <c r="F8" s="3012"/>
    </row>
    <row r="9" spans="1:18">
      <c r="A9" s="3013" t="s">
        <v>2500</v>
      </c>
      <c r="B9" s="3016"/>
      <c r="C9" s="3016"/>
      <c r="D9" s="3016"/>
      <c r="E9" s="3016"/>
      <c r="F9" s="3020"/>
    </row>
    <row r="10" spans="1:18">
      <c r="A10" s="3013" t="s">
        <v>2501</v>
      </c>
      <c r="B10" s="3016"/>
      <c r="C10" s="3016"/>
      <c r="D10" s="3016" t="s">
        <v>2499</v>
      </c>
      <c r="E10" s="3016"/>
      <c r="F10" s="3020" t="s">
        <v>2498</v>
      </c>
    </row>
    <row r="11" spans="1:18">
      <c r="A11" s="3013" t="s">
        <v>2502</v>
      </c>
      <c r="B11" s="3021">
        <v>70</v>
      </c>
      <c r="C11" s="3016" t="s">
        <v>2503</v>
      </c>
      <c r="D11" s="3022">
        <v>4.4999999999999998E-2</v>
      </c>
      <c r="E11" s="3016" t="s">
        <v>2504</v>
      </c>
      <c r="F11" s="3023">
        <f>ROUND(1-(1/(POWER(1+D11,B11))),4)</f>
        <v>0.95409999999999995</v>
      </c>
    </row>
    <row r="12" spans="1:18">
      <c r="A12" s="3013" t="s">
        <v>2505</v>
      </c>
      <c r="B12" s="3021">
        <v>40</v>
      </c>
      <c r="C12" s="3016" t="s">
        <v>2506</v>
      </c>
      <c r="D12" s="3022">
        <v>4.4999999999999998E-2</v>
      </c>
      <c r="E12" s="3016" t="s">
        <v>2507</v>
      </c>
      <c r="F12" s="3023">
        <f>ROUND(1-(1/(POWER(1+D12,B12))),4)</f>
        <v>0.82809999999999995</v>
      </c>
    </row>
    <row r="13" spans="1:18">
      <c r="A13" s="3013" t="s">
        <v>2508</v>
      </c>
      <c r="B13" s="3016"/>
      <c r="C13" s="3016"/>
      <c r="D13" s="3011"/>
      <c r="E13" s="3011"/>
      <c r="F13" s="3012"/>
    </row>
    <row r="14" spans="1:18">
      <c r="A14" s="3013" t="s">
        <v>2509</v>
      </c>
      <c r="B14" s="3021">
        <v>5000</v>
      </c>
      <c r="C14" s="3015"/>
      <c r="D14" s="3011"/>
      <c r="E14" s="3011"/>
      <c r="F14" s="3012"/>
    </row>
    <row r="15" spans="1:18">
      <c r="A15" s="3013" t="s">
        <v>2510</v>
      </c>
      <c r="B15" s="3016">
        <f>ROUND(B14*F12/F11,2)</f>
        <v>4339.6899999999996</v>
      </c>
      <c r="C15" s="3016">
        <f>ROUND(F12/F11,4)</f>
        <v>0.8679</v>
      </c>
      <c r="D15" s="3011"/>
      <c r="E15" s="3011"/>
      <c r="F15" s="3012"/>
    </row>
    <row r="16" spans="1:18">
      <c r="A16" s="3013" t="s">
        <v>2511</v>
      </c>
      <c r="B16" s="3016"/>
      <c r="C16" s="3016"/>
      <c r="D16" s="3011"/>
      <c r="E16" s="3011"/>
      <c r="F16" s="3012"/>
    </row>
    <row r="17" spans="1:13">
      <c r="A17" s="3013" t="s">
        <v>2510</v>
      </c>
      <c r="B17" s="3022">
        <v>4810</v>
      </c>
      <c r="C17" s="3015"/>
      <c r="D17" s="3011"/>
      <c r="E17" s="3011"/>
      <c r="F17" s="3012"/>
    </row>
    <row r="18" spans="1:13" ht="14.25" thickBot="1">
      <c r="A18" s="3024" t="s">
        <v>2509</v>
      </c>
      <c r="B18" s="3025">
        <f>ROUND(B17*F11/F12,2)</f>
        <v>5541.87</v>
      </c>
      <c r="C18" s="3025">
        <f>ROUND(F11/F12,4)</f>
        <v>1.1521999999999999</v>
      </c>
      <c r="D18" s="3026"/>
      <c r="E18" s="3026"/>
      <c r="F18" s="3027"/>
    </row>
    <row r="19" spans="1:13" ht="14.25" thickBot="1"/>
    <row r="20" spans="1:13" s="3062" customFormat="1" ht="14.25" thickTop="1">
      <c r="A20" s="3059" t="s">
        <v>2512</v>
      </c>
      <c r="B20" s="3060"/>
      <c r="C20" s="3060"/>
      <c r="D20" s="3060"/>
      <c r="E20" s="3060"/>
      <c r="F20" s="3060"/>
      <c r="G20" s="3061"/>
      <c r="I20" s="3063" t="s">
        <v>2557</v>
      </c>
      <c r="J20" s="3063" t="s">
        <v>2562</v>
      </c>
      <c r="K20" s="3063"/>
      <c r="L20" s="3063"/>
      <c r="M20" s="3063"/>
    </row>
    <row r="21" spans="1:13">
      <c r="A21" s="3028"/>
      <c r="B21" s="3029" t="s">
        <v>2513</v>
      </c>
      <c r="C21" s="3029" t="s">
        <v>2514</v>
      </c>
      <c r="D21" s="3029" t="s">
        <v>2515</v>
      </c>
      <c r="E21" s="3029" t="s">
        <v>2516</v>
      </c>
      <c r="F21" s="3029" t="s">
        <v>2517</v>
      </c>
      <c r="G21" s="3030" t="s">
        <v>2518</v>
      </c>
      <c r="I21" s="3051">
        <v>5</v>
      </c>
      <c r="J21" s="3051">
        <v>54.2</v>
      </c>
    </row>
    <row r="22" spans="1:13">
      <c r="A22" s="3028" t="s">
        <v>2519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2560</v>
      </c>
      <c r="M23" s="3051" t="s">
        <v>2561</v>
      </c>
    </row>
    <row r="24" spans="1:13">
      <c r="A24" s="3028" t="s">
        <v>2521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2559</v>
      </c>
      <c r="M24" s="3051">
        <v>10</v>
      </c>
    </row>
    <row r="25" spans="1:13">
      <c r="A25" s="3028" t="s">
        <v>2522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2563</v>
      </c>
      <c r="M25" s="3051">
        <v>8</v>
      </c>
    </row>
    <row r="26" spans="1:13">
      <c r="A26" s="3033"/>
      <c r="B26" s="3034"/>
      <c r="C26" s="3034"/>
      <c r="D26" s="3034"/>
      <c r="E26" s="3034"/>
      <c r="F26" s="3034"/>
      <c r="G26" s="3035"/>
      <c r="I26" s="3051">
        <v>30</v>
      </c>
      <c r="J26" s="3051">
        <v>90.5</v>
      </c>
      <c r="K26" s="3051">
        <f t="shared" si="2"/>
        <v>4.2000000000000028</v>
      </c>
      <c r="L26" s="3051" t="s">
        <v>2564</v>
      </c>
      <c r="M26" s="3051">
        <v>5</v>
      </c>
    </row>
    <row r="27" spans="1:13">
      <c r="A27" s="3033" t="s">
        <v>2523</v>
      </c>
      <c r="B27" s="3034"/>
      <c r="C27" s="3034"/>
      <c r="D27" s="3034"/>
      <c r="E27" s="3034"/>
      <c r="F27" s="3034"/>
      <c r="G27" s="3035"/>
      <c r="I27" s="3051">
        <v>35</v>
      </c>
      <c r="J27" s="3051">
        <v>93.8</v>
      </c>
      <c r="K27" s="3051">
        <f t="shared" si="2"/>
        <v>3.2999999999999972</v>
      </c>
      <c r="L27" s="3051" t="s">
        <v>2565</v>
      </c>
      <c r="M27" s="3051">
        <v>3</v>
      </c>
    </row>
    <row r="28" spans="1:13">
      <c r="A28" s="3033" t="s">
        <v>2524</v>
      </c>
      <c r="B28" s="3034"/>
      <c r="C28" s="3034"/>
      <c r="D28" s="3034"/>
      <c r="E28" s="3034"/>
      <c r="F28" s="3034"/>
      <c r="G28" s="3035"/>
      <c r="I28" s="3051">
        <v>40</v>
      </c>
      <c r="J28" s="3051">
        <v>96.4</v>
      </c>
      <c r="K28" s="3051">
        <f t="shared" si="2"/>
        <v>2.6000000000000085</v>
      </c>
      <c r="L28" s="3051" t="s">
        <v>2566</v>
      </c>
      <c r="M28" s="3051">
        <v>2</v>
      </c>
    </row>
    <row r="29" spans="1:13">
      <c r="A29" s="3033" t="s">
        <v>2525</v>
      </c>
      <c r="B29" s="3034"/>
      <c r="C29" s="3034"/>
      <c r="D29" s="3034"/>
      <c r="E29" s="3034"/>
      <c r="F29" s="3034"/>
      <c r="G29" s="3035"/>
      <c r="I29" s="3051">
        <v>45</v>
      </c>
      <c r="J29" s="3051">
        <v>98.4</v>
      </c>
      <c r="K29" s="3051">
        <f t="shared" si="2"/>
        <v>2</v>
      </c>
    </row>
    <row r="30" spans="1:13">
      <c r="A30" s="3033" t="s">
        <v>2526</v>
      </c>
      <c r="B30" s="3034"/>
      <c r="C30" s="3034"/>
      <c r="D30" s="3034"/>
      <c r="E30" s="3034"/>
      <c r="F30" s="3034"/>
      <c r="G30" s="3035"/>
      <c r="I30" s="3051">
        <v>50</v>
      </c>
      <c r="J30" s="3051">
        <v>100</v>
      </c>
      <c r="K30" s="3051">
        <f t="shared" si="2"/>
        <v>1.5999999999999943</v>
      </c>
    </row>
    <row r="31" spans="1:13">
      <c r="A31" s="3033" t="s">
        <v>2527</v>
      </c>
      <c r="B31" s="3034"/>
      <c r="C31" s="3034"/>
      <c r="D31" s="3034"/>
      <c r="E31" s="3034"/>
      <c r="F31" s="3034"/>
      <c r="G31" s="3035"/>
      <c r="I31" s="3051" t="s">
        <v>2558</v>
      </c>
    </row>
    <row r="32" spans="1:13">
      <c r="A32" s="3033" t="s">
        <v>2528</v>
      </c>
      <c r="B32" s="3034"/>
      <c r="C32" s="3034"/>
      <c r="D32" s="3034"/>
      <c r="E32" s="3034"/>
      <c r="F32" s="3034"/>
      <c r="G32" s="3035"/>
    </row>
    <row r="33" spans="1:13">
      <c r="A33" s="3033" t="s">
        <v>2529</v>
      </c>
      <c r="B33" s="3034"/>
      <c r="C33" s="3034"/>
      <c r="D33" s="3034"/>
      <c r="E33" s="3034"/>
      <c r="F33" s="3034"/>
      <c r="G33" s="3035"/>
      <c r="I33" s="3051" t="s">
        <v>2557</v>
      </c>
      <c r="J33" s="3051" t="s">
        <v>2567</v>
      </c>
    </row>
    <row r="34" spans="1:13">
      <c r="A34" s="3033" t="s">
        <v>2530</v>
      </c>
      <c r="B34" s="3034"/>
      <c r="C34" s="3034"/>
      <c r="D34" s="3034"/>
      <c r="E34" s="3034"/>
      <c r="F34" s="3034"/>
      <c r="G34" s="3035"/>
      <c r="I34" s="3051">
        <v>5</v>
      </c>
      <c r="J34" s="3051">
        <v>55.1</v>
      </c>
    </row>
    <row r="35" spans="1:13">
      <c r="A35" s="3033" t="s">
        <v>2531</v>
      </c>
      <c r="B35" s="3034"/>
      <c r="C35" s="3034"/>
      <c r="D35" s="3034"/>
      <c r="E35" s="3034"/>
      <c r="F35" s="3034"/>
      <c r="G35" s="3035"/>
      <c r="I35" s="3051">
        <v>10</v>
      </c>
      <c r="J35" s="3051">
        <v>67</v>
      </c>
      <c r="K35" s="3051">
        <f>J35-J34</f>
        <v>11.899999999999999</v>
      </c>
    </row>
    <row r="36" spans="1:13">
      <c r="A36" s="3033" t="s">
        <v>2532</v>
      </c>
      <c r="B36" s="3034"/>
      <c r="C36" s="3034"/>
      <c r="D36" s="3034"/>
      <c r="E36" s="3034"/>
      <c r="F36" s="3034"/>
      <c r="G36" s="3035"/>
      <c r="I36" s="3051">
        <v>15</v>
      </c>
      <c r="J36" s="3051">
        <v>76.3</v>
      </c>
      <c r="K36" s="3051">
        <f t="shared" ref="K36:K41" si="3">J36-J35</f>
        <v>9.2999999999999972</v>
      </c>
      <c r="L36" s="3051" t="s">
        <v>2560</v>
      </c>
      <c r="M36" s="3051" t="s">
        <v>2561</v>
      </c>
    </row>
    <row r="37" spans="1:13">
      <c r="A37" s="3033" t="s">
        <v>2533</v>
      </c>
      <c r="B37" s="3034"/>
      <c r="C37" s="3034"/>
      <c r="D37" s="3034"/>
      <c r="E37" s="3034"/>
      <c r="F37" s="3034"/>
      <c r="G37" s="3035"/>
      <c r="I37" s="3051">
        <v>20</v>
      </c>
      <c r="J37" s="3051">
        <v>83.6</v>
      </c>
      <c r="K37" s="3051">
        <f t="shared" si="3"/>
        <v>7.2999999999999972</v>
      </c>
      <c r="L37" s="3051" t="s">
        <v>2559</v>
      </c>
      <c r="M37" s="3051">
        <v>10</v>
      </c>
    </row>
    <row r="38" spans="1:13">
      <c r="A38" s="3033" t="s">
        <v>2534</v>
      </c>
      <c r="B38" s="3034"/>
      <c r="C38" s="3034"/>
      <c r="D38" s="3034"/>
      <c r="E38" s="3034"/>
      <c r="F38" s="3034"/>
      <c r="G38" s="3035"/>
      <c r="I38" s="3051">
        <v>25</v>
      </c>
      <c r="J38" s="3051">
        <v>89.3</v>
      </c>
      <c r="K38" s="3051">
        <f t="shared" si="3"/>
        <v>5.7000000000000028</v>
      </c>
      <c r="L38" s="3051" t="s">
        <v>2563</v>
      </c>
      <c r="M38" s="3051">
        <v>8</v>
      </c>
    </row>
    <row r="39" spans="1:13">
      <c r="A39" s="3033"/>
      <c r="B39" s="3034"/>
      <c r="C39" s="3034"/>
      <c r="D39" s="3034"/>
      <c r="E39" s="3034"/>
      <c r="F39" s="3034"/>
      <c r="G39" s="3035"/>
      <c r="I39" s="3051">
        <v>30</v>
      </c>
      <c r="J39" s="3051">
        <v>93.8</v>
      </c>
      <c r="K39" s="3051">
        <f t="shared" si="3"/>
        <v>4.5</v>
      </c>
      <c r="L39" s="3051" t="s">
        <v>2564</v>
      </c>
      <c r="M39" s="3051">
        <v>6</v>
      </c>
    </row>
    <row r="40" spans="1:13">
      <c r="A40" s="3036" t="s">
        <v>2535</v>
      </c>
      <c r="B40" s="3037"/>
      <c r="C40" s="3037"/>
      <c r="D40" s="3037"/>
      <c r="E40" s="3037"/>
      <c r="F40" s="3037"/>
      <c r="G40" s="3038"/>
      <c r="I40" s="3051">
        <v>35</v>
      </c>
      <c r="J40" s="3051">
        <v>97.2</v>
      </c>
      <c r="K40" s="3051">
        <f t="shared" si="3"/>
        <v>3.4000000000000057</v>
      </c>
      <c r="L40" s="3051" t="s">
        <v>2565</v>
      </c>
      <c r="M40" s="3051">
        <v>3</v>
      </c>
    </row>
    <row r="41" spans="1:13">
      <c r="A41" s="3039" t="s">
        <v>2536</v>
      </c>
      <c r="B41" s="3040" t="s">
        <v>2537</v>
      </c>
      <c r="C41" s="3041" t="s">
        <v>2538</v>
      </c>
      <c r="D41" s="3041" t="s">
        <v>2539</v>
      </c>
      <c r="E41" s="3042"/>
      <c r="F41" s="3043"/>
      <c r="G41" s="3044"/>
      <c r="I41" s="3051">
        <v>40</v>
      </c>
      <c r="J41" s="3051">
        <v>100</v>
      </c>
      <c r="K41" s="3051">
        <f t="shared" si="3"/>
        <v>2.7999999999999972</v>
      </c>
    </row>
    <row r="42" spans="1:13">
      <c r="A42" s="3039" t="s">
        <v>2540</v>
      </c>
      <c r="B42" s="3040" t="s">
        <v>2541</v>
      </c>
      <c r="C42" s="3041" t="s">
        <v>2542</v>
      </c>
      <c r="D42" s="3045" t="s">
        <v>2543</v>
      </c>
      <c r="E42" s="3037" t="s">
        <v>2544</v>
      </c>
      <c r="F42" s="3037"/>
      <c r="G42" s="3038"/>
    </row>
    <row r="43" spans="1:13">
      <c r="A43" s="3039" t="s">
        <v>2545</v>
      </c>
      <c r="B43" s="3040" t="s">
        <v>2546</v>
      </c>
      <c r="C43" s="3041" t="s">
        <v>2547</v>
      </c>
      <c r="D43" s="3041" t="s">
        <v>2548</v>
      </c>
      <c r="E43" s="3042" t="s">
        <v>2549</v>
      </c>
      <c r="F43" s="3043"/>
      <c r="G43" s="3044"/>
      <c r="I43" s="3051" t="s">
        <v>2557</v>
      </c>
      <c r="J43" s="3051" t="s">
        <v>2568</v>
      </c>
    </row>
    <row r="44" spans="1:13">
      <c r="A44" s="3039" t="s">
        <v>2550</v>
      </c>
      <c r="B44" s="3040" t="s">
        <v>2551</v>
      </c>
      <c r="C44" s="3041" t="s">
        <v>2552</v>
      </c>
      <c r="D44" s="3045">
        <v>0.5</v>
      </c>
      <c r="E44" s="3042" t="s">
        <v>2553</v>
      </c>
      <c r="F44" s="3043"/>
      <c r="G44" s="3044"/>
      <c r="I44" s="3051">
        <v>30</v>
      </c>
      <c r="J44" s="3051">
        <v>81.7</v>
      </c>
    </row>
    <row r="45" spans="1:13" ht="14.25" thickBot="1">
      <c r="A45" s="3046" t="s">
        <v>2554</v>
      </c>
      <c r="B45" s="3047" t="s">
        <v>2541</v>
      </c>
      <c r="C45" s="3048" t="s">
        <v>2541</v>
      </c>
      <c r="D45" s="3048" t="s">
        <v>2555</v>
      </c>
      <c r="E45" s="3049" t="s">
        <v>2556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31" t="str">
        <f>IF(B10="北京市","北京市",C10)&amp;F10&amp;IF('结果表-307'!G1="在建","出让国有建设用地使用权及在建建筑物",IF('结果表-307'!G1="土地","出让国有建设用地使用权",))&amp;B9&amp;"预评估"</f>
        <v>北京市朝阳区东三环南路98号1幢3层307房地产抵押价值预评估</v>
      </c>
      <c r="C1" s="3532"/>
      <c r="D1" s="3532"/>
      <c r="E1" s="3532"/>
      <c r="F1" s="3532"/>
      <c r="G1" s="3532"/>
      <c r="H1" s="3532"/>
      <c r="I1" s="3533"/>
      <c r="J1" s="2464"/>
      <c r="K1" s="2364"/>
      <c r="L1" s="2365"/>
      <c r="M1" s="2365"/>
      <c r="N1" s="2366"/>
      <c r="O1" s="1572"/>
      <c r="P1" s="2366"/>
      <c r="Q1" s="2366"/>
      <c r="R1" s="2366"/>
      <c r="S1" s="1678" t="str">
        <f>IF(B10="北京市","北京市",C10)&amp;F10&amp;IF('结果表-307'!G1="在建","出让国有建设用地使用权及在建建筑物房地产抵押价值",IF('结果表-307'!G1="土地","出让国有建设用地使用权抵押价值",B9))</f>
        <v>北京市朝阳区东三环南路98号1幢3层307房地产抵押价值</v>
      </c>
      <c r="T1" s="1741"/>
      <c r="U1" s="1741"/>
      <c r="V1" s="1741"/>
      <c r="W1" s="1741"/>
      <c r="X1" s="1741"/>
      <c r="Y1" s="1741"/>
      <c r="Z1" s="1741"/>
      <c r="AA1" s="1741"/>
      <c r="AB1" s="1741"/>
    </row>
    <row r="2" spans="1:30">
      <c r="A2" s="2363" t="s">
        <v>2167</v>
      </c>
      <c r="B2" s="2367"/>
      <c r="C2" s="2368"/>
      <c r="D2" s="2663"/>
      <c r="E2" s="2655"/>
      <c r="F2" s="2655"/>
      <c r="G2" s="2656"/>
      <c r="H2" s="2656"/>
      <c r="I2" s="2656"/>
      <c r="J2" s="2464"/>
      <c r="K2" s="2364"/>
      <c r="L2" s="2365"/>
      <c r="M2" s="2365"/>
      <c r="N2" s="2366"/>
      <c r="O2" s="1572"/>
      <c r="P2" s="2366"/>
      <c r="Q2" s="2366"/>
      <c r="R2" s="2366"/>
      <c r="S2" s="1678" t="str">
        <f>IF(B10="北京市","北京市",C10)&amp;F10&amp;IF('结果表-307'!G1="在建","出让国有建设用地使用权及在建建筑物房地产",IF('结果表-307'!G1="土地","出让国有建设用地使用权","房地产"))</f>
        <v>北京市朝阳区东三环南路98号1幢3层307房地产</v>
      </c>
      <c r="T2" s="1741"/>
      <c r="U2" s="1741"/>
      <c r="V2" s="1741"/>
      <c r="W2" s="1741"/>
      <c r="X2" s="1741"/>
      <c r="Y2" s="1741"/>
      <c r="Z2" s="1741"/>
      <c r="AA2" s="1741"/>
      <c r="AB2" s="1741"/>
    </row>
    <row r="3" spans="1:30">
      <c r="A3" s="302" t="s">
        <v>2168</v>
      </c>
      <c r="B3" s="2369">
        <v>45485</v>
      </c>
      <c r="C3" s="2370" t="s">
        <v>2169</v>
      </c>
      <c r="D3" s="2369">
        <f>B3</f>
        <v>45485</v>
      </c>
      <c r="E3" s="2656"/>
      <c r="F3" s="2656"/>
      <c r="G3" s="2656"/>
      <c r="H3" s="2656"/>
      <c r="I3" s="2656"/>
      <c r="J3" s="2464"/>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t="s">
        <v>3373</v>
      </c>
      <c r="C4" s="2372">
        <f ca="1">SUMIF(注册房地产估价师,B4,估价师及机构信息!B3:B24)</f>
        <v>1120070131</v>
      </c>
      <c r="D4" s="2371" t="s">
        <v>3374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2171</v>
      </c>
      <c r="B5" s="2376"/>
      <c r="C5" s="2377"/>
      <c r="D5" s="2378"/>
      <c r="E5" s="2657"/>
      <c r="F5" s="2657"/>
      <c r="G5" s="2657"/>
      <c r="H5" s="2657"/>
      <c r="I5" s="2657"/>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2172</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2173</v>
      </c>
      <c r="B7" s="2383"/>
      <c r="C7" s="2381"/>
      <c r="D7" s="2382"/>
      <c r="E7" s="2655"/>
      <c r="F7" s="2657"/>
      <c r="G7" s="2657"/>
      <c r="H7" s="2657"/>
      <c r="I7" s="2657"/>
      <c r="J7" s="2434"/>
      <c r="K7" s="2609"/>
      <c r="L7" s="2606"/>
      <c r="M7" s="2606"/>
      <c r="N7" s="2434"/>
      <c r="O7" s="2445"/>
      <c r="P7" s="2434"/>
      <c r="Q7" s="2434"/>
      <c r="R7" s="2434"/>
    </row>
    <row r="8" spans="1:30">
      <c r="A8" s="2384" t="s">
        <v>2174</v>
      </c>
      <c r="B8" s="2385" t="s">
        <v>3375</v>
      </c>
      <c r="C8" s="2386"/>
      <c r="D8" s="3534" t="s">
        <v>2175</v>
      </c>
      <c r="E8" s="2387" t="s">
        <v>3376</v>
      </c>
      <c r="F8" s="2388"/>
      <c r="G8" s="2656"/>
      <c r="H8" s="2656"/>
      <c r="I8" s="2656"/>
      <c r="J8" s="2434"/>
      <c r="K8" s="2607"/>
      <c r="L8" s="2606"/>
      <c r="M8" s="2606"/>
      <c r="N8" s="2434"/>
      <c r="O8" s="2445"/>
      <c r="P8" s="2434"/>
      <c r="Q8" s="2434"/>
      <c r="R8" s="2434"/>
    </row>
    <row r="9" spans="1:30" ht="13.5" thickBot="1">
      <c r="A9" s="2389" t="s">
        <v>2176</v>
      </c>
      <c r="B9" s="2390" t="s">
        <v>3376</v>
      </c>
      <c r="C9" s="2391"/>
      <c r="D9" s="3535"/>
      <c r="E9" s="2390" t="s">
        <v>43</v>
      </c>
      <c r="F9" s="2392"/>
      <c r="G9" s="2658"/>
      <c r="H9" s="2658"/>
      <c r="I9" s="2658"/>
      <c r="J9" s="2434"/>
      <c r="K9" s="2609"/>
      <c r="L9" s="2606"/>
      <c r="M9" s="2606"/>
      <c r="N9" s="2434"/>
      <c r="O9" s="2445"/>
      <c r="P9" s="2434"/>
      <c r="Q9" s="2434"/>
      <c r="R9" s="2434"/>
    </row>
    <row r="10" spans="1:30" ht="13.5" thickTop="1">
      <c r="A10" s="2393" t="s">
        <v>2177</v>
      </c>
      <c r="B10" s="2394" t="s">
        <v>3377</v>
      </c>
      <c r="C10" s="2395"/>
      <c r="D10" s="2378"/>
      <c r="E10" s="2396" t="s">
        <v>2178</v>
      </c>
      <c r="F10" s="2659" t="s">
        <v>3470</v>
      </c>
      <c r="G10" s="2660"/>
      <c r="H10" s="2661"/>
      <c r="I10" s="2662"/>
      <c r="J10" s="2434"/>
      <c r="K10" s="2609"/>
      <c r="L10" s="2606"/>
      <c r="M10" s="2606"/>
      <c r="N10" s="2434"/>
      <c r="O10" s="2445"/>
      <c r="P10" s="2434"/>
      <c r="Q10" s="2434"/>
      <c r="R10" s="2434"/>
    </row>
    <row r="11" spans="1:30">
      <c r="A11" s="2397" t="s">
        <v>2179</v>
      </c>
      <c r="B11" s="2398" t="s">
        <v>3378</v>
      </c>
      <c r="C11" s="3474" t="s">
        <v>3379</v>
      </c>
      <c r="D11" s="2399"/>
      <c r="E11" s="2366"/>
      <c r="F11" s="2366"/>
      <c r="G11" s="2366"/>
      <c r="H11" s="2366"/>
      <c r="I11" s="2366"/>
      <c r="J11" s="3054"/>
      <c r="K11" s="3053"/>
      <c r="L11" s="2606"/>
      <c r="M11" s="2606"/>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2569</v>
      </c>
      <c r="J12" s="3055" t="s">
        <v>3380</v>
      </c>
      <c r="K12" s="2606"/>
      <c r="L12" s="2606"/>
      <c r="M12" s="2434"/>
      <c r="N12" s="2445"/>
      <c r="O12" s="2434"/>
      <c r="P12" s="2434"/>
      <c r="Q12" s="2434"/>
      <c r="AD12" s="1741"/>
    </row>
    <row r="13" spans="1:30">
      <c r="A13" s="3416" t="s">
        <v>3325</v>
      </c>
      <c r="B13" s="2402" t="s">
        <v>2188</v>
      </c>
      <c r="C13" s="852"/>
      <c r="D13" s="852"/>
      <c r="E13" s="852">
        <v>55708</v>
      </c>
      <c r="F13" s="852"/>
      <c r="G13" s="852"/>
      <c r="H13" s="852"/>
      <c r="I13" s="852"/>
      <c r="J13" s="3055">
        <f>J12-2</f>
        <v>2002</v>
      </c>
      <c r="K13" s="2606"/>
      <c r="L13" s="2606"/>
      <c r="M13" s="2434"/>
      <c r="N13" s="2445"/>
      <c r="O13" s="2434"/>
      <c r="P13" s="2434"/>
      <c r="Q13" s="2434"/>
      <c r="AD13" s="1741"/>
    </row>
    <row r="14" spans="1:30">
      <c r="A14" s="1077"/>
      <c r="B14" s="2402" t="s">
        <v>2189</v>
      </c>
      <c r="C14" s="2403"/>
      <c r="D14" s="2403"/>
      <c r="E14" s="2403">
        <v>50</v>
      </c>
      <c r="F14" s="2403"/>
      <c r="G14" s="2403"/>
      <c r="H14" s="2403"/>
      <c r="I14" s="2403"/>
      <c r="J14" s="3056">
        <f>J13+50</f>
        <v>2052</v>
      </c>
      <c r="K14" s="2606"/>
      <c r="L14" s="2606"/>
      <c r="M14" s="2434"/>
      <c r="N14" s="2445"/>
      <c r="O14" s="2434"/>
      <c r="P14" s="2434"/>
      <c r="Q14" s="2434"/>
      <c r="AD14" s="1741"/>
    </row>
    <row r="15" spans="1:30">
      <c r="A15" s="320"/>
      <c r="B15" s="2404" t="s">
        <v>2190</v>
      </c>
      <c r="C15" s="2405" t="str">
        <f>IF(A13="出让",IF(C13="","",ROUNDDOWN(MIN((C13-$D$3)/365,C14),2)),C14)</f>
        <v/>
      </c>
      <c r="D15" s="2405" t="str">
        <f>IF(A13="出让",IF(D13="","",ROUNDDOWN(MIN((D13-$D$3)/365,D14),2)),D14)</f>
        <v/>
      </c>
      <c r="E15" s="2405">
        <f>IF(A13="出让",IF(E13="","",ROUNDDOWN(MIN((E13-$D$3)/365,E14),2)),E14)</f>
        <v>28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1"/>
    </row>
    <row r="16" spans="1:30">
      <c r="A16" s="2396" t="s">
        <v>2191</v>
      </c>
      <c r="B16" s="3541"/>
      <c r="C16" s="3542"/>
      <c r="D16" s="3543"/>
      <c r="E16" s="2408" t="s">
        <v>2192</v>
      </c>
      <c r="F16" s="3544"/>
      <c r="G16" s="3545"/>
      <c r="H16" s="3545"/>
      <c r="I16" s="3546"/>
      <c r="J16" s="2434"/>
      <c r="K16" s="2610"/>
      <c r="L16" s="2446"/>
      <c r="M16" s="2446"/>
      <c r="N16" s="2502"/>
      <c r="O16" s="2446"/>
      <c r="P16" s="2502"/>
      <c r="Q16" s="2434"/>
      <c r="R16" s="2434"/>
    </row>
    <row r="17" spans="1:28">
      <c r="A17" s="313" t="s">
        <v>2193</v>
      </c>
      <c r="B17" s="302" t="s">
        <v>2194</v>
      </c>
      <c r="C17" s="8">
        <f>'数据-汇总表'!E3</f>
        <v>971.86</v>
      </c>
      <c r="D17" s="2318" t="s">
        <v>2195</v>
      </c>
      <c r="E17" s="3547" t="s">
        <v>2196</v>
      </c>
      <c r="F17" s="3548"/>
      <c r="G17" s="3548"/>
      <c r="H17" s="3548"/>
      <c r="I17" s="3549"/>
      <c r="J17" s="2434"/>
      <c r="K17" s="2611"/>
      <c r="L17" s="2446"/>
      <c r="M17" s="2446"/>
      <c r="N17" s="2502"/>
      <c r="O17" s="2446"/>
      <c r="P17" s="2502"/>
      <c r="Q17" s="2434"/>
      <c r="R17" s="2434"/>
      <c r="S17" s="2434"/>
      <c r="T17" s="2434"/>
      <c r="U17" s="2434"/>
      <c r="V17" s="2434"/>
    </row>
    <row r="18" spans="1:28" ht="24.75" thickBot="1">
      <c r="A18" s="2409" t="s">
        <v>2197</v>
      </c>
      <c r="B18" s="1086" t="s">
        <v>2198</v>
      </c>
      <c r="C18" s="2410">
        <f>'数据-汇总表'!D3</f>
        <v>0</v>
      </c>
      <c r="D18" s="1088" t="s">
        <v>2199</v>
      </c>
      <c r="E18" s="3550" t="s">
        <v>2200</v>
      </c>
      <c r="F18" s="3551"/>
      <c r="G18" s="3551"/>
      <c r="H18" s="3551"/>
      <c r="I18" s="3552"/>
      <c r="J18" s="2434"/>
      <c r="K18" s="2611"/>
      <c r="L18" s="2446"/>
      <c r="M18" s="2446"/>
      <c r="N18" s="2502"/>
      <c r="O18" s="2446"/>
      <c r="P18" s="2502"/>
      <c r="Q18" s="2434"/>
      <c r="R18" s="2434"/>
      <c r="S18" s="2434"/>
      <c r="T18" s="2434"/>
      <c r="U18" s="2434"/>
      <c r="V18" s="2434"/>
    </row>
    <row r="19" spans="1:28" ht="37.5" thickTop="1" thickBot="1">
      <c r="A19" s="327" t="s">
        <v>1055</v>
      </c>
      <c r="B19" s="307" t="s">
        <v>2201</v>
      </c>
      <c r="C19" s="1559"/>
      <c r="D19" s="1560" t="s">
        <v>2202</v>
      </c>
      <c r="E19" s="1561"/>
      <c r="F19" s="1562" t="str">
        <f>IF(AND(C19="是",E19="否"),"是否提供他项权证或相关说明","")</f>
        <v/>
      </c>
      <c r="G19" s="1563"/>
      <c r="H19" s="2657"/>
      <c r="I19" s="2657"/>
      <c r="J19" s="2434"/>
      <c r="K19" s="2609"/>
      <c r="L19" s="2606"/>
      <c r="M19" s="2606"/>
      <c r="N19" s="2502"/>
      <c r="O19" s="2446"/>
      <c r="P19" s="2502"/>
      <c r="Q19" s="2434"/>
      <c r="R19" s="2434"/>
      <c r="S19" s="2434"/>
      <c r="T19" s="2434"/>
      <c r="U19" s="2434"/>
      <c r="V19" s="2434"/>
    </row>
    <row r="20" spans="1:28">
      <c r="A20" s="2625" t="s">
        <v>2203</v>
      </c>
      <c r="B20" s="3537" t="s">
        <v>2204</v>
      </c>
      <c r="C20" s="3538"/>
      <c r="D20" s="3539" t="s">
        <v>2205</v>
      </c>
      <c r="E20" s="3540"/>
      <c r="F20" s="2640" t="s">
        <v>1056</v>
      </c>
      <c r="G20" s="2657"/>
      <c r="H20" s="2657"/>
      <c r="I20" s="2657"/>
      <c r="J20" s="2434"/>
      <c r="K20" s="3536"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6.25" thickBot="1">
      <c r="A21" s="2625"/>
      <c r="B21" s="2626" t="s">
        <v>3382</v>
      </c>
      <c r="C21" s="2627" t="s">
        <v>3381</v>
      </c>
      <c r="D21" s="1564"/>
      <c r="E21" s="2628"/>
      <c r="F21" s="2641"/>
      <c r="G21" s="2657"/>
      <c r="H21" s="2657"/>
      <c r="I21" s="2657"/>
      <c r="J21" s="2434"/>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13.5" thickBot="1">
      <c r="A22" s="2625"/>
      <c r="B22" s="2629"/>
      <c r="C22" s="2627"/>
      <c r="D22" s="2656"/>
      <c r="E22" s="2656"/>
      <c r="F22" s="2656"/>
      <c r="G22" s="2657"/>
      <c r="H22" s="2657"/>
      <c r="I22" s="2657"/>
      <c r="J22" s="2434"/>
      <c r="K22" s="3536"/>
      <c r="L22" s="684" t="str">
        <f>IF(E19="否","",IF('结果表-307'!D36="同一抵押权人同一抵押物续贷","由于本次评估为同一抵押权人的续贷房地产抵押估价，故未将已抵押担保的债权数额（"&amp;C26&amp;"）作为法定优先受偿款予以扣减。",IF('结果表-307'!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0" t="s">
        <v>2207</v>
      </c>
      <c r="B23" s="2495" t="s">
        <v>2208</v>
      </c>
      <c r="C23" s="2631"/>
      <c r="D23" s="2632" t="s">
        <v>2208</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1057</v>
      </c>
      <c r="C24" s="2634"/>
      <c r="D24" s="2630" t="s">
        <v>1057</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1058</v>
      </c>
      <c r="C25" s="2634"/>
      <c r="D25" s="2630" t="s">
        <v>1058</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1059</v>
      </c>
      <c r="C26" s="2638"/>
      <c r="D26" s="2636" t="s">
        <v>1059</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54" t="s">
        <v>2209</v>
      </c>
      <c r="B27" s="320" t="s">
        <v>2210</v>
      </c>
      <c r="C27" s="2411" t="s">
        <v>3383</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54"/>
      <c r="B28" s="302" t="s">
        <v>2211</v>
      </c>
      <c r="C28" s="2413" t="s">
        <v>3384</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54"/>
      <c r="B29" s="302" t="s">
        <v>2212</v>
      </c>
      <c r="C29" s="2415" t="s">
        <v>3385</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55"/>
      <c r="B30" s="302" t="s">
        <v>2213</v>
      </c>
      <c r="C30" s="3556"/>
      <c r="D30" s="3557"/>
      <c r="E30" s="2657"/>
      <c r="F30" s="2657"/>
      <c r="G30" s="2657"/>
      <c r="H30" s="2657"/>
      <c r="I30" s="2657"/>
      <c r="J30" s="2434"/>
      <c r="K30" s="2609"/>
      <c r="L30" s="2606"/>
      <c r="M30" s="2606"/>
      <c r="N30" s="2434"/>
      <c r="O30" s="2445"/>
      <c r="P30" s="2434"/>
      <c r="Q30" s="2434"/>
      <c r="R30" s="2434"/>
      <c r="S30" s="2434"/>
      <c r="T30" s="2434"/>
      <c r="U30" s="2434"/>
      <c r="V30" s="2434"/>
    </row>
    <row r="31" spans="1:28">
      <c r="A31" s="3558" t="s">
        <v>2214</v>
      </c>
      <c r="B31" s="2417" t="s">
        <v>3386</v>
      </c>
      <c r="C31" s="2319" t="str">
        <f>IF(B31="现房","成新及维护状况正常否",IF(B31="在建","工程状态是否正常",IF(B31="土地","是否闲置","-")))</f>
        <v>成新及维护状况正常否</v>
      </c>
      <c r="D31" s="1369"/>
      <c r="E31" s="2418"/>
      <c r="F31" s="2657"/>
      <c r="G31" s="2657"/>
      <c r="H31" s="2657"/>
      <c r="I31" s="2657"/>
      <c r="J31" s="2434"/>
      <c r="K31" s="2608"/>
      <c r="L31" s="2606"/>
      <c r="M31" s="2606"/>
      <c r="N31" s="2434"/>
      <c r="O31" s="2445"/>
      <c r="P31" s="2434"/>
      <c r="Q31" s="2434"/>
      <c r="R31" s="2434"/>
      <c r="S31" s="2434"/>
      <c r="T31" s="2434"/>
      <c r="U31" s="2434"/>
      <c r="V31" s="2434"/>
    </row>
    <row r="32" spans="1:28">
      <c r="A32" s="3559"/>
      <c r="B32" s="2417"/>
      <c r="C32" s="2319" t="str">
        <f>IF(B32="现房","成新及维护状况是否正常",IF(B32="在建","工程状态是否正常",IF(B32="土地","是否闲置","-")))</f>
        <v>-</v>
      </c>
      <c r="D32" s="1369"/>
      <c r="E32" s="2418"/>
      <c r="F32" s="2657"/>
      <c r="G32" s="2657"/>
      <c r="H32" s="2657"/>
      <c r="I32" s="2657"/>
      <c r="J32" s="2434"/>
      <c r="K32" s="2609"/>
      <c r="L32" s="2606"/>
      <c r="M32" s="2606"/>
      <c r="N32" s="2434"/>
      <c r="O32" s="2445"/>
      <c r="P32" s="2434"/>
      <c r="Q32" s="2434"/>
      <c r="R32" s="2434"/>
      <c r="S32" s="2434"/>
      <c r="T32" s="2434"/>
      <c r="U32" s="2434"/>
      <c r="V32" s="2434"/>
    </row>
    <row r="33" spans="1:30">
      <c r="A33" s="3559"/>
      <c r="B33" s="2420"/>
      <c r="C33" s="1586" t="str">
        <f>IF(B33="现房","成新及维护状况是否正常",IF(B33="在建","工程状态是否正常",IF(B33="土地","是否闲置","-")))</f>
        <v>-</v>
      </c>
      <c r="D33" s="1361"/>
      <c r="E33" s="2421"/>
      <c r="F33" s="2657"/>
      <c r="G33" s="2657"/>
      <c r="H33" s="2657"/>
      <c r="I33" s="2657"/>
      <c r="J33" s="2434"/>
      <c r="K33" s="2609"/>
      <c r="L33" s="2606"/>
      <c r="M33" s="2606"/>
      <c r="N33" s="2434"/>
      <c r="O33" s="2445"/>
      <c r="P33" s="2434"/>
      <c r="Q33" s="2434"/>
      <c r="R33" s="2434"/>
      <c r="S33" s="2434"/>
      <c r="T33" s="2434"/>
      <c r="U33" s="2434"/>
      <c r="V33" s="2434"/>
    </row>
    <row r="34" spans="1:30">
      <c r="A34" s="302" t="s">
        <v>2215</v>
      </c>
      <c r="B34" s="2022" t="s">
        <v>3387</v>
      </c>
      <c r="C34" s="2022" t="s">
        <v>3388</v>
      </c>
      <c r="D34" s="2022" t="s">
        <v>3389</v>
      </c>
      <c r="E34" s="2022" t="s">
        <v>3390</v>
      </c>
      <c r="F34" s="2022" t="s">
        <v>3391</v>
      </c>
      <c r="G34" s="2022" t="s">
        <v>3392</v>
      </c>
      <c r="H34" s="2022" t="s">
        <v>3393</v>
      </c>
      <c r="I34" s="2657"/>
      <c r="J34" s="2434"/>
      <c r="K34" s="2422">
        <f>COUNTIF(B34:H34,"——")</f>
        <v>0</v>
      </c>
      <c r="L34" s="323" t="s">
        <v>2216</v>
      </c>
      <c r="M34" s="323" t="s">
        <v>2217</v>
      </c>
      <c r="N34" s="323" t="s">
        <v>2218</v>
      </c>
      <c r="O34" s="323" t="s">
        <v>2219</v>
      </c>
      <c r="P34" s="323" t="s">
        <v>2220</v>
      </c>
      <c r="Q34" s="323" t="s">
        <v>2221</v>
      </c>
      <c r="R34" s="323" t="s">
        <v>2222</v>
      </c>
      <c r="S34" s="3553" t="s">
        <v>2223</v>
      </c>
      <c r="T34" s="2423" t="str">
        <f>NUMBERSTRING(7-K34,1)&amp;"通"</f>
        <v>七通</v>
      </c>
      <c r="U34" s="2434"/>
      <c r="V34" s="2434"/>
    </row>
    <row r="35" spans="1:30">
      <c r="A35" s="2424"/>
      <c r="B35" s="3560" t="s">
        <v>2224</v>
      </c>
      <c r="C35" s="3560"/>
      <c r="D35" s="3560"/>
      <c r="E35" s="3560"/>
      <c r="F35" s="664">
        <f>C10</f>
        <v>0</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53"/>
      <c r="T35" s="329" t="str">
        <f>IF(T34="一通",L35,IF(T34="二通",M35,IF(T34="三通",N35,IF(T34="四通",O35,IF(T34="五通",P35,IF(T34="六通",Q35,R35))))))</f>
        <v>通路、通电、通讯、通上水、通下水、燃气、平整</v>
      </c>
      <c r="U35" s="2434"/>
      <c r="V35" s="2434"/>
    </row>
    <row r="36" spans="1:30">
      <c r="A36" s="2425"/>
      <c r="B36" s="664" t="s">
        <v>2183</v>
      </c>
      <c r="C36" s="664" t="s">
        <v>2184</v>
      </c>
      <c r="D36" s="664" t="s">
        <v>2182</v>
      </c>
      <c r="E36" s="664" t="s">
        <v>2187</v>
      </c>
      <c r="F36" s="3058" t="s">
        <v>2572</v>
      </c>
      <c r="G36" s="2657"/>
      <c r="H36" s="2657"/>
      <c r="I36" s="2657"/>
      <c r="J36" s="2434"/>
      <c r="K36" s="2609"/>
      <c r="L36" s="2606"/>
      <c r="M36" s="2606"/>
      <c r="N36" s="2434"/>
      <c r="O36" s="2445"/>
      <c r="P36" s="2434"/>
      <c r="Q36" s="2434"/>
      <c r="R36" s="2434"/>
      <c r="S36" s="2434"/>
      <c r="T36" s="2434"/>
      <c r="U36" s="2434"/>
      <c r="V36" s="2434"/>
    </row>
    <row r="37" spans="1:30">
      <c r="A37" s="2623" t="s">
        <v>2225</v>
      </c>
      <c r="B37" s="2426"/>
      <c r="C37" s="2426" t="s">
        <v>110</v>
      </c>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2226</v>
      </c>
      <c r="B38" s="2427"/>
      <c r="C38" s="2427" t="s">
        <v>237</v>
      </c>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4"/>
      <c r="J40" s="2502"/>
      <c r="K40" s="2608"/>
      <c r="L40" s="2446"/>
      <c r="M40" s="2446"/>
      <c r="N40" s="2502"/>
      <c r="O40" s="2446"/>
      <c r="P40" s="2434"/>
      <c r="Q40" s="2434"/>
      <c r="R40" s="2434"/>
      <c r="S40" s="2434"/>
      <c r="T40" s="2434"/>
      <c r="U40" s="2434"/>
      <c r="V40" s="2434"/>
    </row>
    <row r="41" spans="1:30">
      <c r="A41" s="2431" t="s">
        <v>2228</v>
      </c>
      <c r="B41" s="1753"/>
      <c r="C41" s="1369"/>
      <c r="D41" s="2366"/>
      <c r="E41" s="2366"/>
      <c r="F41" s="2366"/>
      <c r="G41" s="2366"/>
      <c r="H41" s="2366"/>
      <c r="I41" s="1572"/>
      <c r="J41" s="2434"/>
      <c r="K41" s="2609"/>
      <c r="L41" s="2606"/>
      <c r="M41" s="2606"/>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971.86</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971.86</v>
      </c>
      <c r="H5" s="13">
        <f t="shared" ref="H5:AT5" si="0">SUM(H13:H656)</f>
        <v>971.86</v>
      </c>
      <c r="I5" s="13">
        <f t="shared" si="0"/>
        <v>971.86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971.86</v>
      </c>
      <c r="BA5" s="15">
        <f t="shared" si="1"/>
        <v>971.86</v>
      </c>
      <c r="BB5" s="15">
        <f t="shared" si="1"/>
        <v>971.86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3394</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v>4000</v>
      </c>
      <c r="B13" s="1047"/>
      <c r="C13" s="1047">
        <v>307</v>
      </c>
      <c r="D13" s="1621" t="s">
        <v>3395</v>
      </c>
      <c r="E13" s="13">
        <f>IF($C$3="是",ROUND($A$3*G13/$B$3,2),ROUND($A$3*(G13-AT13)/$B$3,2))</f>
        <v>0</v>
      </c>
      <c r="F13" s="29"/>
      <c r="G13" s="30">
        <f>H13+AC13+AT13</f>
        <v>198.18</v>
      </c>
      <c r="H13" s="17">
        <f>SUMIF(I$12:AB$12,"总值",I13:AB13)</f>
        <v>198.18</v>
      </c>
      <c r="I13" s="1622">
        <v>198.18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4000</v>
      </c>
      <c r="AW13" s="8">
        <f t="shared" si="6"/>
        <v>0</v>
      </c>
      <c r="AX13" s="8">
        <f t="shared" si="6"/>
        <v>307</v>
      </c>
      <c r="AY13" s="1345">
        <f>ROUND($AY$6*AZ13/$AZ$5,2)</f>
        <v>0</v>
      </c>
      <c r="AZ13" s="13">
        <f>BA13+BL13</f>
        <v>198.18</v>
      </c>
      <c r="BA13" s="13">
        <f>SUM(BB13:BK13)</f>
        <v>198.18</v>
      </c>
      <c r="BB13" s="13">
        <f>IF($D13="是",I13-J13,0)</f>
        <v>198.18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f>ROUND(A13*10000/I5,0)</f>
        <v>41158</v>
      </c>
      <c r="B14" s="1047"/>
      <c r="C14" s="1566">
        <v>505</v>
      </c>
      <c r="D14" s="1621" t="s">
        <v>3395</v>
      </c>
      <c r="E14" s="13">
        <f>IF($C$3="是",ROUND($A$3*G14/$B$3,2),ROUND($A$3*(G14-AT14)/$B$3,2))</f>
        <v>0</v>
      </c>
      <c r="F14" s="29"/>
      <c r="G14" s="30">
        <f>H14+AC14+AT14</f>
        <v>199.67</v>
      </c>
      <c r="H14" s="17">
        <f>SUMIF(I$12:AB$12,"总值",I14:AB14)</f>
        <v>199.67</v>
      </c>
      <c r="I14" s="1622">
        <v>199.67</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41158</v>
      </c>
      <c r="AW14" s="8">
        <f t="shared" si="6"/>
        <v>0</v>
      </c>
      <c r="AX14" s="8">
        <f t="shared" si="6"/>
        <v>505</v>
      </c>
      <c r="AY14" s="1345">
        <f>ROUND($AY$6*AZ14/$AZ$5,2)</f>
        <v>0</v>
      </c>
      <c r="AZ14" s="13">
        <f>BA14+BL14</f>
        <v>199.67</v>
      </c>
      <c r="BA14" s="13">
        <f>SUM(BB14:BK14)</f>
        <v>199.67</v>
      </c>
      <c r="BB14" s="13">
        <f>IF($D14="是",I14-J14,0)</f>
        <v>199.67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v>905</v>
      </c>
      <c r="D15" s="1621" t="s">
        <v>3395</v>
      </c>
      <c r="E15" s="13">
        <f>IF($C$3="是",ROUND($A$3*G15/$B$3,2),ROUND($A$3*(G15-AT15)/$B$3,2))</f>
        <v>0</v>
      </c>
      <c r="F15" s="29"/>
      <c r="G15" s="30">
        <f>H15+AC15+AT15</f>
        <v>199.72</v>
      </c>
      <c r="H15" s="17">
        <f>SUMIF(I$12:AB$12,"总值",I15:AB15)</f>
        <v>199.72</v>
      </c>
      <c r="I15" s="1622">
        <v>199.72</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905</v>
      </c>
      <c r="AY15" s="1345">
        <f>ROUND($AY$6*AZ15/$AZ$5,2)</f>
        <v>0</v>
      </c>
      <c r="AZ15" s="13">
        <f>BA15+BL15</f>
        <v>199.72</v>
      </c>
      <c r="BA15" s="13">
        <f>SUM(BB15:BK15)</f>
        <v>199.72</v>
      </c>
      <c r="BB15" s="13">
        <f>IF($D15="是",I15-J15,0)</f>
        <v>199.72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v>911</v>
      </c>
      <c r="D16" s="1621" t="s">
        <v>3395</v>
      </c>
      <c r="E16" s="13">
        <f>IF($C$3="是",ROUND($A$3*G16/$B$3,2),ROUND($A$3*(G16-AT16)/$B$3,2))</f>
        <v>0</v>
      </c>
      <c r="F16" s="29"/>
      <c r="G16" s="30">
        <f>H16+AC16+AT16</f>
        <v>179.5</v>
      </c>
      <c r="H16" s="17">
        <f>SUMIF(I$12:AB$12,"总值",I16:AB16)</f>
        <v>179.5</v>
      </c>
      <c r="I16" s="1622">
        <v>179.5</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911</v>
      </c>
      <c r="AY16" s="1345">
        <f>ROUND($AY$6*AZ16/$AZ$5,2)</f>
        <v>0</v>
      </c>
      <c r="AZ16" s="13">
        <f>BA16+BL16</f>
        <v>179.5</v>
      </c>
      <c r="BA16" s="13">
        <f>SUM(BB16:BK16)</f>
        <v>179.5</v>
      </c>
      <c r="BB16" s="13">
        <f>IF($D16="是",I16-J16,0)</f>
        <v>179.5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v>1012</v>
      </c>
      <c r="D17" s="1621" t="s">
        <v>3395</v>
      </c>
      <c r="E17" s="13">
        <f>IF($C$3="是",ROUND($A$3*G17/$B$3,2),ROUND($A$3*(G17-AT17)/$B$3,2))</f>
        <v>0</v>
      </c>
      <c r="F17" s="29"/>
      <c r="G17" s="30">
        <f>H17+AC17+AT17</f>
        <v>194.79</v>
      </c>
      <c r="H17" s="17">
        <f>SUMIF(I$12:AB$12,"总值",I17:AB17)</f>
        <v>194.79</v>
      </c>
      <c r="I17" s="1622">
        <v>194.79</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1012</v>
      </c>
      <c r="AY17" s="1345">
        <f>ROUND($AY$6*AZ17/$AZ$5,2)</f>
        <v>0</v>
      </c>
      <c r="AZ17" s="13">
        <f>BA17+BL17</f>
        <v>194.79</v>
      </c>
      <c r="BA17" s="13">
        <f>SUM(BB17:BK17)</f>
        <v>194.79</v>
      </c>
      <c r="BB17" s="13">
        <f>IF($D17="是",I17-J17,0)</f>
        <v>194.79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70" t="s">
        <v>1129</v>
      </c>
      <c r="B2" s="3570"/>
      <c r="C2" s="3570"/>
      <c r="D2" s="792" t="s">
        <v>1105</v>
      </c>
      <c r="E2" s="1635" t="s">
        <v>1106</v>
      </c>
      <c r="F2" s="2652"/>
      <c r="G2" s="2643"/>
      <c r="H2" s="2644"/>
      <c r="I2" s="2321" t="s">
        <v>1130</v>
      </c>
      <c r="J2" s="2652"/>
      <c r="K2" s="2652"/>
      <c r="L2" s="2652"/>
      <c r="M2" s="2652"/>
      <c r="N2" s="2654"/>
      <c r="O2" s="2652"/>
      <c r="P2" s="2652"/>
    </row>
    <row r="3" spans="1:16" ht="15.75" thickBot="1">
      <c r="A3" s="3571" t="s">
        <v>1103</v>
      </c>
      <c r="B3" s="3571"/>
      <c r="C3" s="3571"/>
      <c r="D3" s="43">
        <f>'数据-基础表'!AY6</f>
        <v>0</v>
      </c>
      <c r="E3" s="43">
        <f>'数据-基础表'!AZ5</f>
        <v>971.86</v>
      </c>
      <c r="F3" s="2652"/>
      <c r="G3" s="1141"/>
      <c r="H3" s="1022" t="s">
        <v>1104</v>
      </c>
      <c r="I3" s="851" t="e">
        <f>ROUND('数据-基础表'!B3/'数据-基础表'!A3,2)</f>
        <v>#DIV/0!</v>
      </c>
      <c r="J3" s="2652"/>
      <c r="K3" s="2652"/>
      <c r="L3" s="2652"/>
      <c r="M3" s="2652"/>
      <c r="N3" s="2654"/>
      <c r="O3" s="2652"/>
      <c r="P3" s="2652"/>
    </row>
    <row r="4" spans="1:16" ht="15">
      <c r="A4" s="3572"/>
      <c r="B4" s="3573"/>
      <c r="C4" s="3574"/>
      <c r="D4" s="1637" t="s">
        <v>1105</v>
      </c>
      <c r="E4" s="1638" t="s">
        <v>1106</v>
      </c>
      <c r="F4" s="2652"/>
      <c r="G4" s="2645" t="s">
        <v>1131</v>
      </c>
      <c r="H4" s="1022" t="s">
        <v>1111</v>
      </c>
      <c r="I4" s="851" t="e">
        <f>ROUND(SUMIF('数据-基础表'!I9:AS9,"地上",'数据-基础表'!I5:AS5)/'数据-基础表'!A3,2)</f>
        <v>#DIV/0!</v>
      </c>
      <c r="J4" s="2652"/>
      <c r="K4" s="2652"/>
      <c r="L4" s="2652"/>
      <c r="M4" s="2652"/>
      <c r="N4" s="2654"/>
      <c r="O4" s="2652"/>
      <c r="P4" s="2652"/>
    </row>
    <row r="5" spans="1:16">
      <c r="A5" s="44" t="s">
        <v>1107</v>
      </c>
      <c r="B5" s="3575" t="s">
        <v>1108</v>
      </c>
      <c r="C5" s="3575"/>
      <c r="D5" s="45">
        <f>ROUND($D$3*E5/$E$3,2)</f>
        <v>0</v>
      </c>
      <c r="E5" s="46">
        <f>SUMIF('数据-基础表'!$11:$11,"住宅",'数据-基础表'!$5:$5)</f>
        <v>0</v>
      </c>
      <c r="F5" s="2652"/>
      <c r="G5" s="1141"/>
      <c r="H5" s="1022" t="s">
        <v>1104</v>
      </c>
      <c r="I5" s="851" t="e">
        <f>ROUND(E31/D31,2)</f>
        <v>#DIV/0!</v>
      </c>
      <c r="J5" s="2652"/>
      <c r="K5" s="2652"/>
      <c r="L5" s="2652"/>
      <c r="M5" s="2652"/>
      <c r="N5" s="2652"/>
      <c r="O5" s="2652"/>
      <c r="P5" s="2652"/>
    </row>
    <row r="6" spans="1:16" ht="15" thickBot="1">
      <c r="A6" s="1640"/>
      <c r="B6" s="3575" t="s">
        <v>1109</v>
      </c>
      <c r="C6" s="3575"/>
      <c r="D6" s="45">
        <f>ROUND($D$3*E6/$E$3,2)</f>
        <v>0</v>
      </c>
      <c r="E6" s="46">
        <f>E3-E5</f>
        <v>971.86</v>
      </c>
      <c r="F6" s="2652"/>
      <c r="G6" s="2646" t="s">
        <v>1110</v>
      </c>
      <c r="H6" s="1142" t="s">
        <v>1111</v>
      </c>
      <c r="I6" s="2647" t="e">
        <f>ROUND(F31/D31,2)</f>
        <v>#DIV/0!</v>
      </c>
      <c r="J6" s="2652"/>
      <c r="K6" s="2652"/>
      <c r="L6" s="2652"/>
      <c r="M6" s="2652"/>
      <c r="N6" s="2652"/>
      <c r="O6" s="2652"/>
      <c r="P6" s="2652"/>
    </row>
    <row r="7" spans="1:16" ht="15.75" thickBot="1">
      <c r="A7" s="3567"/>
      <c r="B7" s="3568"/>
      <c r="C7" s="3569"/>
      <c r="D7" s="1637" t="s">
        <v>1105</v>
      </c>
      <c r="E7" s="1641" t="s">
        <v>1112</v>
      </c>
      <c r="F7" s="2652"/>
      <c r="G7" s="2648" t="s">
        <v>1113</v>
      </c>
      <c r="H7" s="2649"/>
      <c r="I7" s="2650">
        <v>3.7</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971.86</v>
      </c>
      <c r="F8" s="2652"/>
      <c r="G8" s="2653"/>
      <c r="H8" s="2653"/>
      <c r="I8" s="2652"/>
      <c r="J8" s="2652"/>
      <c r="K8" s="2652"/>
      <c r="L8" s="2652"/>
      <c r="M8" s="2652"/>
      <c r="N8" s="2652"/>
      <c r="O8" s="2652"/>
      <c r="P8" s="2652"/>
    </row>
    <row r="9" spans="1:16">
      <c r="A9" s="1642"/>
      <c r="B9" s="1643"/>
      <c r="C9" s="45" t="s">
        <v>1117</v>
      </c>
      <c r="D9" s="45">
        <f t="shared" si="0"/>
        <v>0</v>
      </c>
      <c r="E9" s="49">
        <v>0</v>
      </c>
      <c r="F9" s="2652"/>
      <c r="G9" s="2653"/>
      <c r="H9" s="2653"/>
      <c r="I9" s="2652"/>
      <c r="J9" s="2652"/>
      <c r="K9" s="2652"/>
      <c r="L9" s="2652"/>
      <c r="M9" s="2652"/>
      <c r="N9" s="2652"/>
      <c r="O9" s="2652"/>
      <c r="P9" s="2652"/>
    </row>
    <row r="10" spans="1:16">
      <c r="A10" s="1642"/>
      <c r="B10" s="1643"/>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1121</v>
      </c>
      <c r="D16" s="47">
        <f>SUM(D8:D15)</f>
        <v>0</v>
      </c>
      <c r="E16" s="50">
        <f>SUM(E8:E15)</f>
        <v>971.86</v>
      </c>
      <c r="F16" s="2652"/>
      <c r="G16" s="2653"/>
      <c r="H16" s="1644" t="s">
        <v>1133</v>
      </c>
      <c r="I16" s="1645"/>
      <c r="J16" s="1135"/>
      <c r="K16" s="3564" t="s">
        <v>1133</v>
      </c>
      <c r="L16" s="3565"/>
      <c r="M16" s="3565"/>
      <c r="N16" s="3565"/>
      <c r="O16" s="3565"/>
      <c r="P16" s="3566"/>
    </row>
    <row r="17" spans="1:19" ht="15">
      <c r="A17" s="1646" t="s">
        <v>1134</v>
      </c>
      <c r="B17" s="1647" t="s">
        <v>1135</v>
      </c>
      <c r="C17" s="1648" t="s">
        <v>1136</v>
      </c>
      <c r="D17" s="1649" t="s">
        <v>1124</v>
      </c>
      <c r="E17" s="1650" t="s">
        <v>1125</v>
      </c>
      <c r="F17" s="1651"/>
      <c r="G17" s="1652"/>
      <c r="H17" s="1653" t="s">
        <v>1137</v>
      </c>
      <c r="I17" s="1654" t="s">
        <v>1122</v>
      </c>
      <c r="J17" s="1135"/>
      <c r="K17" s="3561" t="s">
        <v>1138</v>
      </c>
      <c r="L17" s="3562"/>
      <c r="M17" s="3563"/>
      <c r="N17" s="3561" t="s">
        <v>1139</v>
      </c>
      <c r="O17" s="3562"/>
      <c r="P17" s="3563"/>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10" t="s">
        <v>3472</v>
      </c>
      <c r="D19" s="45">
        <f>ROUND($D$3*E19/$E$3,2)</f>
        <v>0</v>
      </c>
      <c r="E19" s="53">
        <f t="shared" ref="E19:E26" si="1">SUM(F19:G19)</f>
        <v>198.18</v>
      </c>
      <c r="F19" s="2788">
        <f>'数据-基础表'!I13</f>
        <v>198.18</v>
      </c>
      <c r="G19" s="2789"/>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198.18</v>
      </c>
    </row>
    <row r="20" spans="1:19">
      <c r="A20" s="1666"/>
      <c r="B20" s="47" t="s">
        <v>1151</v>
      </c>
      <c r="C20" s="3410" t="s">
        <v>3474</v>
      </c>
      <c r="D20" s="45">
        <f t="shared" ref="D20:D26" si="6">ROUND($D$3*E20/$E$3,2)</f>
        <v>0</v>
      </c>
      <c r="E20" s="53">
        <f t="shared" si="1"/>
        <v>199.67</v>
      </c>
      <c r="F20" s="2788">
        <f>'数据-基础表'!I14</f>
        <v>199.67</v>
      </c>
      <c r="G20" s="2789"/>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199.67</v>
      </c>
    </row>
    <row r="21" spans="1:19">
      <c r="A21" s="1666"/>
      <c r="B21" s="47" t="s">
        <v>1151</v>
      </c>
      <c r="C21" s="3410" t="s">
        <v>3476</v>
      </c>
      <c r="D21" s="45">
        <f t="shared" si="6"/>
        <v>0</v>
      </c>
      <c r="E21" s="53">
        <f t="shared" si="1"/>
        <v>199.72</v>
      </c>
      <c r="F21" s="2788">
        <f>'数据-基础表'!I15</f>
        <v>199.72</v>
      </c>
      <c r="G21" s="2789"/>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199.72</v>
      </c>
    </row>
    <row r="22" spans="1:19">
      <c r="A22" s="1666"/>
      <c r="B22" s="47" t="s">
        <v>1151</v>
      </c>
      <c r="C22" s="3411" t="s">
        <v>3480</v>
      </c>
      <c r="D22" s="45">
        <f t="shared" si="6"/>
        <v>0</v>
      </c>
      <c r="E22" s="53">
        <f t="shared" si="1"/>
        <v>179.5</v>
      </c>
      <c r="F22" s="2788">
        <f>'数据-基础表'!I16</f>
        <v>179.5</v>
      </c>
      <c r="G22" s="2791"/>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179.5</v>
      </c>
    </row>
    <row r="23" spans="1:19">
      <c r="A23" s="1666"/>
      <c r="B23" s="47" t="s">
        <v>1151</v>
      </c>
      <c r="C23" s="3411" t="s">
        <v>3478</v>
      </c>
      <c r="D23" s="45">
        <f>ROUND($D$3*E23/$E$3,2)</f>
        <v>0</v>
      </c>
      <c r="E23" s="53">
        <f>SUM(F23:G23)</f>
        <v>194.79</v>
      </c>
      <c r="F23" s="2788">
        <f>'数据-基础表'!I17</f>
        <v>194.79</v>
      </c>
      <c r="G23" s="2791"/>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194.79</v>
      </c>
    </row>
    <row r="24" spans="1:19">
      <c r="A24" s="1666"/>
      <c r="B24" s="47" t="s">
        <v>1151</v>
      </c>
      <c r="C24" s="3411"/>
      <c r="D24" s="45">
        <f>ROUND($D$3*E24/$E$3,2)</f>
        <v>0</v>
      </c>
      <c r="E24" s="53">
        <f>SUM(F24:G24)</f>
        <v>0</v>
      </c>
      <c r="F24" s="2790"/>
      <c r="G24" s="2791"/>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971.86</v>
      </c>
      <c r="F27" s="1136">
        <f>IF(SUM(F19:F26)=E8,SUM(F19:F26),"地上面积有误")</f>
        <v>971.86</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971.86</v>
      </c>
    </row>
    <row r="28" spans="1:19">
      <c r="A28" s="1666"/>
      <c r="B28" s="47" t="s">
        <v>1153</v>
      </c>
      <c r="C28" s="1034"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1153</v>
      </c>
      <c r="C29" s="1670"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1152</v>
      </c>
      <c r="D30" s="1136">
        <f>SUM(D28:D29)</f>
        <v>0</v>
      </c>
      <c r="E30" s="1136">
        <f>SUM(E28:E29)</f>
        <v>0</v>
      </c>
      <c r="F30" s="1136">
        <f>SUM(F28:F29)</f>
        <v>0</v>
      </c>
      <c r="G30" s="1138">
        <f>SUM(G28:G29)</f>
        <v>0</v>
      </c>
      <c r="H30" s="2652"/>
      <c r="I30" s="2652"/>
      <c r="J30" s="2652"/>
      <c r="K30" s="2652"/>
      <c r="L30" s="2652"/>
      <c r="M30" s="2652"/>
      <c r="N30" s="2652"/>
      <c r="O30" s="2652"/>
      <c r="P30" s="2652"/>
    </row>
    <row r="31" spans="1:19" ht="15.75" thickBot="1">
      <c r="A31" s="1672"/>
      <c r="B31" s="1673"/>
      <c r="C31" s="831" t="s">
        <v>1156</v>
      </c>
      <c r="D31" s="676">
        <f>D27+D30</f>
        <v>0</v>
      </c>
      <c r="E31" s="676">
        <f>E27+E30</f>
        <v>971.86</v>
      </c>
      <c r="F31" s="677">
        <f>F27+F30</f>
        <v>971.86</v>
      </c>
      <c r="G31" s="678">
        <f>G27+G30</f>
        <v>0</v>
      </c>
      <c r="H31" s="2652"/>
      <c r="I31" s="2652"/>
      <c r="J31" s="2652"/>
      <c r="K31" s="2652"/>
      <c r="L31" s="2652"/>
      <c r="M31" s="2652"/>
      <c r="N31" s="2652"/>
      <c r="O31" s="2652"/>
      <c r="P31" s="2652"/>
    </row>
    <row r="32" spans="1:19">
      <c r="A32" s="1639"/>
      <c r="B32" s="1639" t="s">
        <v>1157</v>
      </c>
      <c r="C32" s="1639"/>
      <c r="D32" s="1639"/>
      <c r="E32" s="1049">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319" priority="1" stopIfTrue="1" operator="containsText" text="面积有误">
      <formula>NOT(ISERROR(SEARCH("面积有误",E27)))</formula>
    </cfRule>
    <cfRule type="cellIs" dxfId="318" priority="3" stopIfTrue="1" operator="equal">
      <formula>"地下面积有误"</formula>
    </cfRule>
  </conditionalFormatting>
  <conditionalFormatting sqref="F27">
    <cfRule type="cellIs" dxfId="3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1159</v>
      </c>
      <c r="B2" s="1041">
        <f>项目基本情况!D3</f>
        <v>45485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51"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3396</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办公307</v>
      </c>
      <c r="B6" s="1709" t="str">
        <f>IF(A6=0,"","经营性")</f>
        <v>经营性</v>
      </c>
      <c r="C6" s="1710" t="s">
        <v>21</v>
      </c>
      <c r="D6" s="854">
        <f>SUMIF(项目基本情况!C$12:I$12,C6,项目基本情况!C$14:I$14)</f>
        <v>50</v>
      </c>
      <c r="E6" s="853">
        <f>IF(B6="","",SUMIF(项目基本情况!C$12:I$12,C6,项目基本情况!C$13:I$13))</f>
        <v>55708</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26">
        <f>SUMIF('数据-汇总表'!C$19:C$33,A6,'数据-汇总表'!E$19:E$33)</f>
        <v>198.18</v>
      </c>
      <c r="L6" s="733">
        <v>4500</v>
      </c>
      <c r="M6" s="67">
        <f t="shared" ref="M6:M14" si="0">ROUND(K6*L6/10000,0)</f>
        <v>89</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1">
        <v>4.5999999999999996</v>
      </c>
      <c r="V6" s="70">
        <v>2.5000000000000001E-2</v>
      </c>
      <c r="W6" s="70">
        <v>0.1</v>
      </c>
      <c r="X6" s="1036"/>
      <c r="Y6" s="71">
        <f>N6</f>
        <v>0.81</v>
      </c>
      <c r="Z6" s="72"/>
      <c r="AA6" s="66"/>
      <c r="AB6" s="66"/>
      <c r="AC6" s="1036"/>
      <c r="AD6" s="73"/>
      <c r="AE6" s="1037">
        <f ca="1">IF(AN6="",0,SUMIF(INDIRECT("'"&amp;AN6&amp;"'"&amp;"!E:E"),$AE$5,INDIRECT("'"&amp;AN6&amp;"'"&amp;"!F:F")))</f>
        <v>28</v>
      </c>
      <c r="AF6" s="1344"/>
      <c r="AG6" s="138">
        <f>IF(AF6="",0,AE6-AF6)</f>
        <v>0</v>
      </c>
      <c r="AH6" s="74"/>
      <c r="AI6" s="76">
        <v>365</v>
      </c>
      <c r="AJ6" s="77"/>
      <c r="AK6" s="78">
        <v>5.0000000000000001E-3</v>
      </c>
      <c r="AL6" s="79">
        <v>1E-3</v>
      </c>
      <c r="AM6" s="80">
        <v>5.0000000000000001E-3</v>
      </c>
      <c r="AN6" s="1711" t="s">
        <v>3499</v>
      </c>
      <c r="AO6" s="52">
        <f ca="1">SUMIF(INDIRECT("'"&amp;AN6&amp;"'"&amp;"!A:A"),"总价",INDIRECT("'"&amp;AN6&amp;"'"&amp;"!B:B"))</f>
        <v>451.39609999999999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办公505</v>
      </c>
      <c r="B7" s="1709" t="str">
        <f t="shared" ref="B7:B13" si="1">IF(A7=0,"","经营性")</f>
        <v>经营性</v>
      </c>
      <c r="C7" s="1710" t="s">
        <v>21</v>
      </c>
      <c r="D7" s="854">
        <f>SUMIF(项目基本情况!C$12:I$12,C7,项目基本情况!C$14:I$14)</f>
        <v>50</v>
      </c>
      <c r="E7" s="853">
        <f>IF(B7="","",SUMIF(项目基本情况!C$12:I$12,C7,项目基本情况!C$13:I$13))</f>
        <v>55708</v>
      </c>
      <c r="F7" s="64">
        <f>SUMIF(项目基本情况!C$12:I$12,C7,项目基本情况!C$15:I$15)</f>
        <v>28</v>
      </c>
      <c r="G7" s="65">
        <f t="shared" ref="G7:G11" si="2">IF(ISERROR(ROUND(POWER(1+H7,D7-F7)*(POWER(1+H7,F7)-1)/(POWER(1+H7,D7)-1),3)),0,ROUND(POWER(1+H7,D7-F7)*(POWER(1+H7,F7)-1)/(POWER(1+H7,D7)-1),3))</f>
        <v>0.81599999999999995</v>
      </c>
      <c r="H7" s="732">
        <v>0.05</v>
      </c>
      <c r="I7" s="732">
        <v>5.5E-2</v>
      </c>
      <c r="J7" s="66">
        <v>7.0000000000000007E-2</v>
      </c>
      <c r="K7" s="1026">
        <f>SUMIF('数据-汇总表'!C$19:C$33,A7,'数据-汇总表'!E$19:E$33)</f>
        <v>199.67</v>
      </c>
      <c r="L7" s="733">
        <f>L6</f>
        <v>4500</v>
      </c>
      <c r="M7" s="67">
        <f t="shared" si="0"/>
        <v>90</v>
      </c>
      <c r="N7" s="731">
        <f>N6</f>
        <v>0.81</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v>4.5999999999999996</v>
      </c>
      <c r="V7" s="70">
        <v>2.5000000000000001E-2</v>
      </c>
      <c r="W7" s="70">
        <v>0.1</v>
      </c>
      <c r="X7" s="1036"/>
      <c r="Y7" s="71">
        <f>N7</f>
        <v>0.81</v>
      </c>
      <c r="Z7" s="72"/>
      <c r="AA7" s="66"/>
      <c r="AB7" s="66"/>
      <c r="AC7" s="1036"/>
      <c r="AD7" s="73"/>
      <c r="AE7" s="1037">
        <f t="shared" ref="AE7:AE13" ca="1" si="6">IF(AN7="",0,SUMIF(INDIRECT("'"&amp;AN7&amp;"'"&amp;"!E:E"),$AE$5,INDIRECT("'"&amp;AN7&amp;"'"&amp;"!F:F")))</f>
        <v>28</v>
      </c>
      <c r="AF7" s="1344"/>
      <c r="AG7" s="138">
        <f t="shared" ref="AG7:AG13" si="7">IF(AF7="",0,AE7-AF7)</f>
        <v>0</v>
      </c>
      <c r="AH7" s="74"/>
      <c r="AI7" s="76">
        <v>365</v>
      </c>
      <c r="AJ7" s="77"/>
      <c r="AK7" s="78">
        <v>5.0000000000000001E-3</v>
      </c>
      <c r="AL7" s="79">
        <v>1E-3</v>
      </c>
      <c r="AM7" s="80">
        <v>5.0000000000000001E-3</v>
      </c>
      <c r="AN7" s="1711" t="s">
        <v>3489</v>
      </c>
      <c r="AO7" s="52">
        <f t="shared" ref="AO7:AO13" ca="1" si="8">SUMIF(INDIRECT("'"&amp;AN7&amp;"'"&amp;"!A:A"),"总价",INDIRECT("'"&amp;AN7&amp;"'"&amp;"!B:B"))</f>
        <v>454.7901</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办公905</v>
      </c>
      <c r="B8" s="1709" t="str">
        <f t="shared" si="1"/>
        <v>经营性</v>
      </c>
      <c r="C8" s="1710" t="s">
        <v>21</v>
      </c>
      <c r="D8" s="854">
        <f>SUMIF(项目基本情况!C$12:I$12,C8,项目基本情况!C$14:I$14)</f>
        <v>50</v>
      </c>
      <c r="E8" s="853">
        <f>IF(B8="","",SUMIF(项目基本情况!C$12:I$12,C8,项目基本情况!C$13:I$13))</f>
        <v>55708</v>
      </c>
      <c r="F8" s="64">
        <f>SUMIF(项目基本情况!C$12:I$12,C8,项目基本情况!C$15:I$15)</f>
        <v>28</v>
      </c>
      <c r="G8" s="65">
        <f t="shared" si="2"/>
        <v>0.81599999999999995</v>
      </c>
      <c r="H8" s="732">
        <v>0.05</v>
      </c>
      <c r="I8" s="732">
        <v>5.5E-2</v>
      </c>
      <c r="J8" s="66">
        <v>7.0000000000000007E-2</v>
      </c>
      <c r="K8" s="1026">
        <f>SUMIF('数据-汇总表'!C$19:C$33,A8,'数据-汇总表'!E$19:E$33)</f>
        <v>199.72</v>
      </c>
      <c r="L8" s="733">
        <f>L6</f>
        <v>4500</v>
      </c>
      <c r="M8" s="67">
        <f>ROUND(K8*L8/10000,0)</f>
        <v>90</v>
      </c>
      <c r="N8" s="731">
        <f>N7</f>
        <v>0.81</v>
      </c>
      <c r="O8" s="67" t="str">
        <f t="shared" si="3"/>
        <v>——</v>
      </c>
      <c r="P8" s="68" t="str">
        <f t="shared" si="4"/>
        <v>——</v>
      </c>
      <c r="Q8" s="734">
        <f>Q7</f>
        <v>0.15</v>
      </c>
      <c r="R8" s="69">
        <f ca="1">SUMIF('数据-汇总表'!C$19:C$33,A8,'数据-汇总表'!R$19:R$27)</f>
        <v>0</v>
      </c>
      <c r="S8" s="51">
        <f>IF('数据-汇总表'!$I$17="按面积比例",SUMIF('数据-汇总表'!C$19:C$33,A8,'数据-汇总表'!K$19:K$33),SUMIF('数据-汇总表'!C$19:C$33,A8,'数据-汇总表'!N$19:N$33))</f>
        <v>0</v>
      </c>
      <c r="T8" s="1168">
        <f t="shared" si="5"/>
        <v>0</v>
      </c>
      <c r="U8" s="3422">
        <v>4.8</v>
      </c>
      <c r="V8" s="70">
        <v>2.5000000000000001E-2</v>
      </c>
      <c r="W8" s="70">
        <v>0.1</v>
      </c>
      <c r="X8" s="1036"/>
      <c r="Y8" s="71">
        <f>N8</f>
        <v>0.81</v>
      </c>
      <c r="Z8" s="72"/>
      <c r="AA8" s="66"/>
      <c r="AB8" s="66"/>
      <c r="AC8" s="1036"/>
      <c r="AD8" s="73"/>
      <c r="AE8" s="1037">
        <f t="shared" ca="1" si="6"/>
        <v>28</v>
      </c>
      <c r="AF8" s="1344"/>
      <c r="AG8" s="138">
        <f t="shared" si="7"/>
        <v>0</v>
      </c>
      <c r="AH8" s="735"/>
      <c r="AI8" s="76">
        <v>365</v>
      </c>
      <c r="AJ8" s="77"/>
      <c r="AK8" s="78">
        <v>5.0000000000000001E-3</v>
      </c>
      <c r="AL8" s="79">
        <v>1E-3</v>
      </c>
      <c r="AM8" s="80">
        <v>5.0000000000000001E-3</v>
      </c>
      <c r="AN8" s="1711" t="s">
        <v>3485</v>
      </c>
      <c r="AO8" s="52">
        <f t="shared" ca="1" si="8"/>
        <v>474.98469999999998</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办公911</v>
      </c>
      <c r="B9" s="1709" t="str">
        <f t="shared" si="1"/>
        <v>经营性</v>
      </c>
      <c r="C9" s="1710" t="s">
        <v>21</v>
      </c>
      <c r="D9" s="854">
        <f>SUMIF(项目基本情况!C$12:I$12,C9,项目基本情况!C$14:I$14)</f>
        <v>50</v>
      </c>
      <c r="E9" s="853">
        <f>IF(B9="","",SUMIF(项目基本情况!C$12:I$12,C9,项目基本情况!C$13:I$13))</f>
        <v>55708</v>
      </c>
      <c r="F9" s="64">
        <f>SUMIF(项目基本情况!C$12:I$12,C9,项目基本情况!C$15:I$15)</f>
        <v>28</v>
      </c>
      <c r="G9" s="65">
        <f t="shared" si="2"/>
        <v>0.81599999999999995</v>
      </c>
      <c r="H9" s="732">
        <v>0.05</v>
      </c>
      <c r="I9" s="732">
        <v>5.5E-2</v>
      </c>
      <c r="J9" s="66">
        <v>7.0000000000000007E-2</v>
      </c>
      <c r="K9" s="1026">
        <f>SUMIF('数据-汇总表'!C$19:C$33,A9,'数据-汇总表'!E$19:E$33)</f>
        <v>179.5</v>
      </c>
      <c r="L9" s="733">
        <f>L6</f>
        <v>4500</v>
      </c>
      <c r="M9" s="67">
        <f t="shared" si="0"/>
        <v>81</v>
      </c>
      <c r="N9" s="731">
        <f>N8</f>
        <v>0.81</v>
      </c>
      <c r="O9" s="67" t="str">
        <f t="shared" si="3"/>
        <v>——</v>
      </c>
      <c r="P9" s="68" t="str">
        <f t="shared" si="4"/>
        <v>——</v>
      </c>
      <c r="Q9" s="734">
        <f>Q8</f>
        <v>0.15</v>
      </c>
      <c r="R9" s="69">
        <f ca="1">SUMIF('数据-汇总表'!C$19:C$33,A9,'数据-汇总表'!R$19:R$27)</f>
        <v>0</v>
      </c>
      <c r="S9" s="51">
        <f>IF('数据-汇总表'!$I$17="按面积比例",SUMIF('数据-汇总表'!C$19:C$33,A9,'数据-汇总表'!K$19:K$33),SUMIF('数据-汇总表'!C$19:C$33,A9,'数据-汇总表'!N$19:N$33))</f>
        <v>0</v>
      </c>
      <c r="T9" s="1168">
        <f t="shared" si="5"/>
        <v>0</v>
      </c>
      <c r="U9" s="3421">
        <f>U8</f>
        <v>4.8</v>
      </c>
      <c r="V9" s="70">
        <v>2.5000000000000001E-2</v>
      </c>
      <c r="W9" s="70">
        <v>0.1</v>
      </c>
      <c r="X9" s="1036"/>
      <c r="Y9" s="71">
        <f>N9</f>
        <v>0.81</v>
      </c>
      <c r="Z9" s="72"/>
      <c r="AA9" s="66"/>
      <c r="AB9" s="66"/>
      <c r="AC9" s="1036"/>
      <c r="AD9" s="73"/>
      <c r="AE9" s="1037">
        <f t="shared" ca="1" si="6"/>
        <v>28</v>
      </c>
      <c r="AF9" s="1344"/>
      <c r="AG9" s="138">
        <f t="shared" si="7"/>
        <v>0</v>
      </c>
      <c r="AH9" s="74"/>
      <c r="AI9" s="76">
        <v>365</v>
      </c>
      <c r="AJ9" s="77"/>
      <c r="AK9" s="78">
        <v>5.0000000000000001E-3</v>
      </c>
      <c r="AL9" s="79">
        <v>1E-3</v>
      </c>
      <c r="AM9" s="80">
        <v>5.0000000000000001E-3</v>
      </c>
      <c r="AN9" s="1711" t="s">
        <v>3483</v>
      </c>
      <c r="AO9" s="52">
        <f t="shared" ca="1" si="8"/>
        <v>426.90089999999998</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t="str">
        <f>'数据-汇总表'!C23</f>
        <v>办公1012</v>
      </c>
      <c r="B10" s="1709" t="str">
        <f t="shared" si="1"/>
        <v>经营性</v>
      </c>
      <c r="C10" s="1710" t="s">
        <v>21</v>
      </c>
      <c r="D10" s="854">
        <f>SUMIF(项目基本情况!C$12:I$12,C10,项目基本情况!C$14:I$14)</f>
        <v>50</v>
      </c>
      <c r="E10" s="853">
        <f>IF(B10="","",SUMIF(项目基本情况!C$12:I$12,C10,项目基本情况!C$13:I$13))</f>
        <v>55708</v>
      </c>
      <c r="F10" s="64">
        <f>SUMIF(项目基本情况!C$12:I$12,C10,项目基本情况!C$15:I$15)</f>
        <v>28</v>
      </c>
      <c r="G10" s="65">
        <f t="shared" si="2"/>
        <v>0.81599999999999995</v>
      </c>
      <c r="H10" s="732">
        <v>0.05</v>
      </c>
      <c r="I10" s="732">
        <v>5.5E-2</v>
      </c>
      <c r="J10" s="66">
        <v>7.0000000000000007E-2</v>
      </c>
      <c r="K10" s="1026">
        <f>SUMIF('数据-汇总表'!C$19:C$33,A10,'数据-汇总表'!E$19:E$33)</f>
        <v>194.79</v>
      </c>
      <c r="L10" s="733">
        <f>L6</f>
        <v>4500</v>
      </c>
      <c r="M10" s="67">
        <f t="shared" si="0"/>
        <v>88</v>
      </c>
      <c r="N10" s="731">
        <f>N9</f>
        <v>0.81</v>
      </c>
      <c r="O10" s="67" t="str">
        <f t="shared" si="3"/>
        <v>——</v>
      </c>
      <c r="P10" s="68" t="str">
        <f t="shared" si="4"/>
        <v>——</v>
      </c>
      <c r="Q10" s="734">
        <f>Q9</f>
        <v>0.15</v>
      </c>
      <c r="R10" s="69">
        <f ca="1">SUMIF('数据-汇总表'!C$19:C$33,A10,'数据-汇总表'!R$19:R$27)</f>
        <v>0</v>
      </c>
      <c r="S10" s="51">
        <f>IF('数据-汇总表'!$I$17="按面积比例",SUMIF('数据-汇总表'!C$19:C$33,A10,'数据-汇总表'!K$19:K$33),SUMIF('数据-汇总表'!C$19:C$33,A10,'数据-汇总表'!N$19:N$33))</f>
        <v>0</v>
      </c>
      <c r="T10" s="1168">
        <f t="shared" si="5"/>
        <v>0</v>
      </c>
      <c r="U10" s="3421">
        <f>U8</f>
        <v>4.8</v>
      </c>
      <c r="V10" s="70">
        <v>2.5000000000000001E-2</v>
      </c>
      <c r="W10" s="70">
        <v>0.1</v>
      </c>
      <c r="X10" s="1036"/>
      <c r="Y10" s="71">
        <f>N10</f>
        <v>0.81</v>
      </c>
      <c r="Z10" s="72"/>
      <c r="AA10" s="66"/>
      <c r="AB10" s="66"/>
      <c r="AC10" s="1036"/>
      <c r="AD10" s="73"/>
      <c r="AE10" s="1037">
        <f t="shared" ca="1" si="6"/>
        <v>28</v>
      </c>
      <c r="AF10" s="1344"/>
      <c r="AG10" s="138">
        <f t="shared" si="7"/>
        <v>0</v>
      </c>
      <c r="AH10" s="74"/>
      <c r="AI10" s="76">
        <v>365</v>
      </c>
      <c r="AJ10" s="77"/>
      <c r="AK10" s="78">
        <v>5.0000000000000001E-3</v>
      </c>
      <c r="AL10" s="79">
        <v>1E-3</v>
      </c>
      <c r="AM10" s="80">
        <v>5.0000000000000001E-3</v>
      </c>
      <c r="AN10" s="1711" t="s">
        <v>3481</v>
      </c>
      <c r="AO10" s="52">
        <f t="shared" ca="1" si="8"/>
        <v>463.26299999999998</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3"/>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0.81599999999999995</v>
      </c>
      <c r="H16" s="90">
        <f>ROUND(SUMPRODUCT(H6:H13,K6:K13)/SUMPRODUCT((H6:H13&gt;0)*(K6:K13)),3)</f>
        <v>0.05</v>
      </c>
      <c r="I16" s="91"/>
      <c r="J16" s="91"/>
      <c r="K16" s="92">
        <f>SUM(K6:K15)</f>
        <v>971.86</v>
      </c>
      <c r="L16" s="93">
        <f>ROUND(M16*10000/SUM(K6:K14),0)</f>
        <v>4507</v>
      </c>
      <c r="M16" s="93">
        <f>SUM(M6:M14)</f>
        <v>438</v>
      </c>
      <c r="N16" s="94">
        <f>ROUND(SUMPRODUCT(M6:M14,N6:N14)/M16,3)</f>
        <v>0.81</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75" t="s">
        <v>3397</v>
      </c>
      <c r="N18" s="2664">
        <v>2004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1209</v>
      </c>
      <c r="B19" s="103">
        <v>0</v>
      </c>
      <c r="C19" s="2792" t="s">
        <v>2295</v>
      </c>
      <c r="D19" s="2669"/>
      <c r="E19" s="2666"/>
      <c r="F19" s="2666"/>
      <c r="G19" s="2666"/>
      <c r="H19" s="2666"/>
      <c r="I19" s="2666"/>
      <c r="J19" s="2666"/>
      <c r="K19" s="2665"/>
      <c r="L19" s="2665"/>
      <c r="M19" s="3475" t="s">
        <v>3398</v>
      </c>
      <c r="N19" s="2664">
        <f>ROUND(1-(1-0%)*(2024-N18)/60,2)</f>
        <v>0.67</v>
      </c>
      <c r="O19" s="3476">
        <v>0.4</v>
      </c>
      <c r="P19" s="2664"/>
      <c r="Q19" s="2664"/>
      <c r="R19" s="2664"/>
      <c r="S19" s="2664">
        <f>'数据-基础表'!I13</f>
        <v>198.18</v>
      </c>
      <c r="T19" s="2664">
        <f>'数据-基础表'!C13</f>
        <v>307</v>
      </c>
      <c r="U19" s="2664">
        <v>4.5999999999999996</v>
      </c>
      <c r="V19" s="2664">
        <v>30690</v>
      </c>
      <c r="W19" s="2664">
        <f>ROUND(V19*S19/10000,0)</f>
        <v>608</v>
      </c>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1210</v>
      </c>
      <c r="B20" s="104">
        <v>2</v>
      </c>
      <c r="C20" s="2793" t="s">
        <v>2293</v>
      </c>
      <c r="D20" s="2669"/>
      <c r="E20" s="2666"/>
      <c r="F20" s="2666"/>
      <c r="G20" s="2666"/>
      <c r="H20" s="2666"/>
      <c r="I20" s="2666"/>
      <c r="J20" s="2666"/>
      <c r="K20" s="2665"/>
      <c r="L20" s="2665"/>
      <c r="M20" s="3475" t="s">
        <v>3399</v>
      </c>
      <c r="N20" s="2664" t="s">
        <v>3400</v>
      </c>
      <c r="O20" s="2664"/>
      <c r="P20" s="2664"/>
      <c r="Q20" s="2664"/>
      <c r="R20" s="2664"/>
      <c r="S20" s="2664">
        <f>'数据-基础表'!I14</f>
        <v>199.67</v>
      </c>
      <c r="T20" s="2664">
        <f>'数据-基础表'!C14</f>
        <v>505</v>
      </c>
      <c r="U20" s="2664">
        <f>U19</f>
        <v>4.5999999999999996</v>
      </c>
      <c r="V20" s="2664">
        <f>V19</f>
        <v>30690</v>
      </c>
      <c r="W20" s="2664">
        <f>ROUND(V20*S20/10000,0)</f>
        <v>613</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1211</v>
      </c>
      <c r="B21" s="104">
        <f>B20</f>
        <v>2</v>
      </c>
      <c r="C21" s="2666"/>
      <c r="D21" s="2669"/>
      <c r="E21" s="2666"/>
      <c r="F21" s="2666"/>
      <c r="G21" s="2666"/>
      <c r="H21" s="2666"/>
      <c r="I21" s="2666"/>
      <c r="J21" s="2666"/>
      <c r="K21" s="2665"/>
      <c r="L21" s="2665"/>
      <c r="M21" s="3475" t="s">
        <v>3401</v>
      </c>
      <c r="N21" s="3476">
        <v>0.9</v>
      </c>
      <c r="O21" s="3476">
        <v>0.6</v>
      </c>
      <c r="P21" s="2664"/>
      <c r="Q21" s="2664"/>
      <c r="R21" s="2664"/>
      <c r="S21" s="2664">
        <f>'数据-基础表'!I15</f>
        <v>199.72</v>
      </c>
      <c r="T21" s="2664">
        <f>'数据-基础表'!C15</f>
        <v>905</v>
      </c>
      <c r="U21" s="2664">
        <v>4.8</v>
      </c>
      <c r="V21" s="2664">
        <v>31293</v>
      </c>
      <c r="W21" s="2664">
        <f>ROUND(V21*S21/10000,0)</f>
        <v>625</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1212</v>
      </c>
      <c r="B22" s="105">
        <f>B19+B20</f>
        <v>2</v>
      </c>
      <c r="C22" s="2666"/>
      <c r="D22" s="2669"/>
      <c r="E22" s="2666"/>
      <c r="F22" s="2666"/>
      <c r="G22" s="2666"/>
      <c r="H22" s="2666"/>
      <c r="I22" s="2666"/>
      <c r="J22" s="2666"/>
      <c r="K22" s="2665"/>
      <c r="L22" s="2665"/>
      <c r="M22" s="3475" t="s">
        <v>3402</v>
      </c>
      <c r="N22" s="2664">
        <f>ROUND(N21*O21+N19*O19,2)</f>
        <v>0.81</v>
      </c>
      <c r="O22" s="2664"/>
      <c r="P22" s="2664"/>
      <c r="Q22" s="2664"/>
      <c r="R22" s="2664"/>
      <c r="S22" s="2664">
        <f>'数据-基础表'!I16</f>
        <v>179.5</v>
      </c>
      <c r="T22" s="2664">
        <f>'数据-基础表'!C16</f>
        <v>911</v>
      </c>
      <c r="U22" s="2664">
        <f>U21</f>
        <v>4.8</v>
      </c>
      <c r="V22" s="2664">
        <v>31293</v>
      </c>
      <c r="W22" s="2664">
        <f>ROUND(V22*S22/10000,0)</f>
        <v>562</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1213</v>
      </c>
      <c r="B23" s="105">
        <f>B19+B21</f>
        <v>2</v>
      </c>
      <c r="C23" s="2666"/>
      <c r="D23" s="2669"/>
      <c r="E23" s="2666"/>
      <c r="F23" s="2666"/>
      <c r="G23" s="2666"/>
      <c r="H23" s="2666"/>
      <c r="I23" s="2666"/>
      <c r="J23" s="2666"/>
      <c r="K23" s="2665"/>
      <c r="L23" s="2665"/>
      <c r="M23" s="2664"/>
      <c r="N23" s="2664"/>
      <c r="O23" s="2664"/>
      <c r="P23" s="2664"/>
      <c r="Q23" s="2664"/>
      <c r="R23" s="2664"/>
      <c r="S23" s="2664">
        <f>'数据-基础表'!I17</f>
        <v>194.79</v>
      </c>
      <c r="T23" s="2664">
        <f>'数据-基础表'!C17</f>
        <v>1012</v>
      </c>
      <c r="U23" s="2664">
        <f>U22</f>
        <v>4.8</v>
      </c>
      <c r="V23" s="2664">
        <v>31293</v>
      </c>
      <c r="W23" s="2664">
        <f>ROUND(V23*S23/10000,0)</f>
        <v>610</v>
      </c>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f>ROUND(W24*10000/'数据-基础表'!I5,0)</f>
        <v>31054</v>
      </c>
      <c r="W24" s="2664">
        <f>SUM(W19:W23)</f>
        <v>3018</v>
      </c>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1215</v>
      </c>
      <c r="B26" s="1722"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1218</v>
      </c>
      <c r="B27" s="107">
        <v>160</v>
      </c>
      <c r="C27" s="2794" t="s">
        <v>2297</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v>0</v>
      </c>
      <c r="C29" s="2795" t="s">
        <v>2284</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73">
        <v>0.03</v>
      </c>
      <c r="C33" s="2796" t="s">
        <v>2285</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6" t="s">
        <v>2286</v>
      </c>
      <c r="D34" s="2677" t="s">
        <v>2294</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200</v>
      </c>
      <c r="C35" s="2796" t="s">
        <v>2287</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0.02</v>
      </c>
      <c r="C36" s="2796" t="s">
        <v>2288</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1228</v>
      </c>
      <c r="B37" s="115">
        <v>0.02</v>
      </c>
      <c r="C37" s="2796" t="s">
        <v>2289</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1229</v>
      </c>
      <c r="B38" s="113">
        <v>0.02</v>
      </c>
      <c r="C38" s="2796" t="s">
        <v>2289</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2304</v>
      </c>
      <c r="B40" s="1074">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1234</v>
      </c>
      <c r="B44" s="119">
        <v>7.0000000000000007E-2</v>
      </c>
      <c r="C44" s="2796" t="s">
        <v>2298</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1235</v>
      </c>
      <c r="B45" s="117">
        <v>0.03</v>
      </c>
      <c r="C45" s="2795" t="s">
        <v>2290</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1236</v>
      </c>
      <c r="B46" s="117">
        <v>0.02</v>
      </c>
      <c r="C46" s="2795" t="s">
        <v>2291</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1237</v>
      </c>
      <c r="B47" s="120">
        <v>0</v>
      </c>
      <c r="C47" s="2798" t="s">
        <v>2299</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1238</v>
      </c>
      <c r="B48" s="121">
        <v>0.03</v>
      </c>
      <c r="C48" s="2795" t="s">
        <v>2290</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1239</v>
      </c>
      <c r="B49" s="117">
        <v>5.0000000000000001E-4</v>
      </c>
      <c r="C49" s="2795" t="s">
        <v>2292</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1243</v>
      </c>
      <c r="B53" s="1734" t="s">
        <v>29</v>
      </c>
      <c r="C53" s="2654" t="s">
        <v>1244</v>
      </c>
      <c r="D53" s="2797" t="s">
        <v>2296</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5"/>
    <col min="30" max="16384" width="9" style="1682"/>
  </cols>
  <sheetData>
    <row r="1" spans="1:29" s="2452" customFormat="1" ht="18.75" thickBot="1">
      <c r="A1" s="3576" t="s">
        <v>2277</v>
      </c>
      <c r="B1" s="3577"/>
      <c r="C1" s="3577"/>
      <c r="D1" s="3577"/>
      <c r="E1" s="3577"/>
      <c r="F1" s="3577"/>
      <c r="G1" s="357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5"/>
      <c r="I2" s="795"/>
      <c r="J2" s="795"/>
      <c r="K2" s="795"/>
      <c r="L2" s="795"/>
      <c r="M2" s="795"/>
      <c r="N2" s="795"/>
      <c r="O2" s="795"/>
      <c r="P2" s="795"/>
      <c r="Q2" s="795"/>
      <c r="R2" s="795"/>
    </row>
    <row r="3" spans="1:29" ht="25.5">
      <c r="A3" s="2436" t="s">
        <v>2275</v>
      </c>
      <c r="B3" s="2458" t="s">
        <v>2247</v>
      </c>
      <c r="C3" s="3477" t="s">
        <v>3404</v>
      </c>
      <c r="D3" s="2459"/>
      <c r="E3" s="2437" t="s">
        <v>2275</v>
      </c>
      <c r="F3" s="2460" t="s">
        <v>2248</v>
      </c>
      <c r="G3" s="2461" t="s">
        <v>2276</v>
      </c>
      <c r="H3" s="795"/>
      <c r="I3" s="795"/>
      <c r="J3" s="795"/>
      <c r="K3" s="795"/>
      <c r="L3" s="795"/>
      <c r="M3" s="795"/>
      <c r="N3" s="795"/>
      <c r="O3" s="795"/>
      <c r="P3" s="795"/>
      <c r="Q3" s="795"/>
      <c r="R3" s="795"/>
    </row>
    <row r="4" spans="1:29" ht="36">
      <c r="A4" s="2437"/>
      <c r="B4" s="323" t="s">
        <v>2249</v>
      </c>
      <c r="C4" s="3478" t="s">
        <v>3405</v>
      </c>
      <c r="D4" s="2459"/>
      <c r="E4" s="2462"/>
      <c r="F4" s="1369" t="s">
        <v>2250</v>
      </c>
      <c r="G4" s="2463" t="s">
        <v>2251</v>
      </c>
      <c r="H4" s="795"/>
      <c r="I4" s="795"/>
      <c r="J4" s="795"/>
      <c r="K4" s="795"/>
      <c r="L4" s="795"/>
      <c r="M4" s="795"/>
      <c r="N4" s="795"/>
      <c r="O4" s="795"/>
      <c r="P4" s="795"/>
      <c r="Q4" s="795"/>
      <c r="R4" s="795"/>
    </row>
    <row r="5" spans="1:29" ht="24">
      <c r="A5" s="2437"/>
      <c r="B5" s="323" t="s">
        <v>2252</v>
      </c>
      <c r="C5" s="3478" t="s">
        <v>3405</v>
      </c>
      <c r="D5" s="2459"/>
      <c r="E5" s="2462"/>
      <c r="F5" s="323" t="s">
        <v>2253</v>
      </c>
      <c r="G5" s="2463" t="s">
        <v>2254</v>
      </c>
      <c r="H5" s="795"/>
      <c r="I5" s="795"/>
      <c r="J5" s="795"/>
      <c r="K5" s="795"/>
      <c r="L5" s="795"/>
      <c r="M5" s="795"/>
      <c r="N5" s="795"/>
      <c r="O5" s="795"/>
      <c r="P5" s="795"/>
      <c r="Q5" s="795"/>
      <c r="R5" s="795"/>
    </row>
    <row r="6" spans="1:29">
      <c r="A6" s="2437"/>
      <c r="B6" s="323" t="s">
        <v>2255</v>
      </c>
      <c r="C6" s="3479" t="s">
        <v>3407</v>
      </c>
      <c r="D6" s="2459"/>
      <c r="E6" s="2462"/>
      <c r="F6" s="323" t="s">
        <v>2256</v>
      </c>
      <c r="G6" s="2463" t="s">
        <v>2257</v>
      </c>
      <c r="H6" s="795"/>
      <c r="I6" s="795"/>
      <c r="J6" s="795"/>
      <c r="K6" s="795"/>
      <c r="L6" s="795"/>
      <c r="M6" s="795"/>
      <c r="N6" s="795"/>
      <c r="O6" s="795"/>
      <c r="P6" s="795"/>
      <c r="Q6" s="795"/>
      <c r="R6" s="795"/>
    </row>
    <row r="7" spans="1:29" ht="24.75" thickBot="1">
      <c r="A7" s="2437"/>
      <c r="B7" s="323" t="s">
        <v>2253</v>
      </c>
      <c r="C7" s="3479" t="s">
        <v>3407</v>
      </c>
      <c r="D7" s="2464"/>
      <c r="E7" s="2465"/>
      <c r="F7" s="2466" t="s">
        <v>2258</v>
      </c>
      <c r="G7" s="2467" t="s">
        <v>2259</v>
      </c>
      <c r="H7" s="795"/>
      <c r="I7" s="795"/>
      <c r="J7" s="795"/>
      <c r="K7" s="795"/>
      <c r="L7" s="795"/>
      <c r="M7" s="795"/>
      <c r="N7" s="795"/>
      <c r="O7" s="795"/>
      <c r="P7" s="795"/>
      <c r="Q7" s="795"/>
      <c r="R7" s="795"/>
    </row>
    <row r="8" spans="1:29">
      <c r="A8" s="2437"/>
      <c r="B8" s="323" t="s">
        <v>2256</v>
      </c>
      <c r="C8" s="3479" t="s">
        <v>3409</v>
      </c>
      <c r="D8" s="2464"/>
      <c r="E8" s="2464"/>
      <c r="F8" s="2468"/>
      <c r="G8" s="2468"/>
      <c r="H8" s="795"/>
      <c r="I8" s="795"/>
      <c r="J8" s="795"/>
      <c r="K8" s="795"/>
      <c r="L8" s="795"/>
      <c r="M8" s="795"/>
      <c r="N8" s="795"/>
      <c r="O8" s="795"/>
      <c r="P8" s="795"/>
      <c r="Q8" s="795"/>
      <c r="R8" s="795"/>
    </row>
    <row r="9" spans="1:29">
      <c r="A9" s="2437"/>
      <c r="B9" s="323" t="s">
        <v>2260</v>
      </c>
      <c r="C9" s="3478" t="s">
        <v>3407</v>
      </c>
      <c r="D9" s="2459"/>
      <c r="E9" s="2464"/>
      <c r="F9" s="2468"/>
      <c r="G9" s="2468"/>
      <c r="H9" s="795"/>
      <c r="I9" s="795"/>
      <c r="J9" s="795"/>
      <c r="K9" s="795"/>
      <c r="L9" s="795"/>
      <c r="M9" s="795"/>
      <c r="N9" s="795"/>
      <c r="O9" s="795"/>
      <c r="P9" s="795"/>
      <c r="Q9" s="795"/>
      <c r="R9" s="795"/>
    </row>
    <row r="10" spans="1:29" s="2474" customFormat="1" ht="15" thickBot="1">
      <c r="A10" s="2438"/>
      <c r="B10" s="2469" t="s">
        <v>2261</v>
      </c>
      <c r="C10" s="2470"/>
      <c r="D10" s="2459"/>
      <c r="E10" s="2459"/>
      <c r="F10" s="2468"/>
      <c r="G10" s="2468"/>
      <c r="H10" s="2471"/>
      <c r="I10" s="2472"/>
      <c r="J10" s="2473"/>
      <c r="K10" s="2471"/>
      <c r="L10" s="2472"/>
      <c r="M10" s="2473"/>
      <c r="N10" s="2471"/>
      <c r="O10" s="2472"/>
      <c r="P10" s="2473"/>
      <c r="Q10" s="2471"/>
      <c r="R10" s="2472"/>
      <c r="S10" s="795"/>
      <c r="T10" s="795"/>
      <c r="U10" s="795"/>
      <c r="V10" s="795"/>
      <c r="W10" s="795"/>
      <c r="X10" s="795"/>
      <c r="Y10" s="795"/>
      <c r="Z10" s="795"/>
      <c r="AA10" s="795"/>
      <c r="AB10" s="795"/>
      <c r="AC10" s="795"/>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5"/>
      <c r="T11" s="795"/>
      <c r="U11" s="795"/>
      <c r="V11" s="795"/>
      <c r="W11" s="795"/>
      <c r="X11" s="795"/>
      <c r="Y11" s="795"/>
      <c r="Z11" s="795"/>
      <c r="AA11" s="795"/>
      <c r="AB11" s="795"/>
      <c r="AC11" s="795"/>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2278</v>
      </c>
      <c r="B13" s="2477"/>
      <c r="C13" s="2477"/>
      <c r="D13" s="2475"/>
      <c r="E13" s="2477"/>
      <c r="F13" s="2477"/>
      <c r="G13" s="2477"/>
    </row>
    <row r="14" spans="1:29" ht="15" thickBot="1">
      <c r="A14" s="2487"/>
      <c r="B14" s="2487"/>
      <c r="C14" s="2488" t="s">
        <v>2262</v>
      </c>
      <c r="D14" s="2459"/>
      <c r="E14" s="2489"/>
      <c r="F14" s="2489"/>
      <c r="G14" s="2455" t="s">
        <v>2263</v>
      </c>
    </row>
    <row r="15" spans="1:29" ht="25.5">
      <c r="A15" s="2439" t="s">
        <v>2264</v>
      </c>
      <c r="B15" s="2490" t="s">
        <v>2247</v>
      </c>
      <c r="C15" s="2491" t="str">
        <f>C3</f>
        <v>较好</v>
      </c>
      <c r="D15" s="2459"/>
      <c r="E15" s="2440" t="s">
        <v>2265</v>
      </c>
      <c r="F15" s="2490" t="s">
        <v>2266</v>
      </c>
      <c r="G15" s="2492" t="str">
        <f>G3</f>
        <v>估价对象位于XX开发区，园区建设成熟度XX，产业集聚程度XX</v>
      </c>
    </row>
    <row r="16" spans="1:29" ht="38.25">
      <c r="A16" s="2441"/>
      <c r="B16" s="2493" t="s">
        <v>2249</v>
      </c>
      <c r="C16" s="2494" t="str">
        <f>C4</f>
        <v>较好</v>
      </c>
      <c r="D16" s="2459"/>
      <c r="E16" s="2442"/>
      <c r="F16" s="2495" t="s">
        <v>2250</v>
      </c>
      <c r="G16" s="2496" t="str">
        <f>G4</f>
        <v>估价对象周边道路状况、公共交通通达情况、停车便捷程度，综合评价交通便捷度较好</v>
      </c>
    </row>
    <row r="17" spans="1:18">
      <c r="A17" s="2441"/>
      <c r="B17" s="2493" t="s">
        <v>2252</v>
      </c>
      <c r="C17" s="2494" t="str">
        <f>C5</f>
        <v>较好</v>
      </c>
      <c r="D17" s="2464"/>
      <c r="E17" s="2442"/>
      <c r="F17" s="2495" t="s">
        <v>2267</v>
      </c>
      <c r="G17" s="2497"/>
    </row>
    <row r="18" spans="1:18" ht="25.5">
      <c r="A18" s="2441"/>
      <c r="B18" s="2495" t="s">
        <v>2255</v>
      </c>
      <c r="C18" s="2496" t="str">
        <f>C6</f>
        <v>较好</v>
      </c>
      <c r="D18" s="2464"/>
      <c r="E18" s="2442"/>
      <c r="F18" s="2495" t="s">
        <v>2258</v>
      </c>
      <c r="G18" s="2496" t="str">
        <f>G7</f>
        <v>该园区内是否有污染型企业，绿化情况，卫生条件，整体环境状况判断</v>
      </c>
    </row>
    <row r="19" spans="1:18" ht="25.5">
      <c r="A19" s="2441"/>
      <c r="B19" s="2495" t="s">
        <v>2268</v>
      </c>
      <c r="C19" s="2497"/>
      <c r="D19" s="2459"/>
      <c r="E19" s="2442"/>
      <c r="F19" s="323" t="s">
        <v>2253</v>
      </c>
      <c r="G19" s="2496" t="str">
        <f>G5</f>
        <v>估价对象所在区域公共配套设施齐备情况</v>
      </c>
    </row>
    <row r="20" spans="1:18">
      <c r="A20" s="2441"/>
      <c r="B20" s="2495" t="s">
        <v>2269</v>
      </c>
      <c r="C20" s="2494" t="str">
        <f>C9</f>
        <v>较好</v>
      </c>
      <c r="D20" s="2464"/>
      <c r="E20" s="2442"/>
      <c r="F20" s="323" t="s">
        <v>2256</v>
      </c>
      <c r="G20" s="2496" t="str">
        <f>G6</f>
        <v>估价对象所在区域基础设施水平</v>
      </c>
    </row>
    <row r="21" spans="1:18">
      <c r="A21" s="2441"/>
      <c r="B21" s="323" t="s">
        <v>2253</v>
      </c>
      <c r="C21" s="2496" t="str">
        <f>C7</f>
        <v>较好</v>
      </c>
      <c r="D21" s="2459"/>
      <c r="E21" s="2442"/>
      <c r="F21" s="2495" t="s">
        <v>2270</v>
      </c>
      <c r="G21" s="2498"/>
    </row>
    <row r="22" spans="1:18" ht="13.5" customHeight="1">
      <c r="A22" s="2441"/>
      <c r="B22" s="323" t="s">
        <v>2256</v>
      </c>
      <c r="C22" s="2496" t="str">
        <f>C8</f>
        <v>七通</v>
      </c>
      <c r="D22" s="2459"/>
      <c r="E22" s="2442"/>
      <c r="F22" s="2495" t="s">
        <v>2261</v>
      </c>
      <c r="G22" s="2497"/>
    </row>
    <row r="23" spans="1:18" s="795" customFormat="1" ht="15" thickBot="1">
      <c r="A23" s="2441"/>
      <c r="B23" s="2495" t="s">
        <v>2270</v>
      </c>
      <c r="C23" s="2498"/>
      <c r="D23" s="1737"/>
      <c r="E23" s="2443"/>
      <c r="F23" s="2499" t="s">
        <v>2271</v>
      </c>
      <c r="G23" s="2500"/>
      <c r="H23" s="2484"/>
      <c r="I23" s="2485"/>
      <c r="J23" s="2484"/>
      <c r="K23" s="2484"/>
      <c r="L23" s="2485"/>
      <c r="M23" s="2484"/>
      <c r="N23" s="2484"/>
      <c r="O23" s="2485"/>
      <c r="P23" s="2484"/>
      <c r="Q23" s="2484"/>
      <c r="R23" s="2486"/>
    </row>
    <row r="24" spans="1:18" s="795" customFormat="1" ht="15" thickBot="1">
      <c r="A24" s="2444"/>
      <c r="B24" s="2499" t="s">
        <v>2272</v>
      </c>
      <c r="C24" s="2501">
        <f>C10</f>
        <v>0</v>
      </c>
      <c r="D24" s="1737"/>
      <c r="E24" s="2434"/>
      <c r="F24" s="2434"/>
      <c r="G24" s="2502"/>
      <c r="H24" s="2484"/>
      <c r="I24" s="2485"/>
      <c r="J24" s="2484"/>
      <c r="K24" s="2484"/>
      <c r="L24" s="2485"/>
      <c r="M24" s="2484"/>
      <c r="N24" s="2484"/>
      <c r="O24" s="2485"/>
      <c r="P24" s="2484"/>
      <c r="Q24" s="2484"/>
      <c r="R24" s="2486"/>
    </row>
    <row r="25" spans="1:18" s="795" customFormat="1">
      <c r="B25" s="2484"/>
      <c r="C25" s="2484"/>
      <c r="D25" s="2484"/>
      <c r="H25" s="2484"/>
      <c r="I25" s="2485"/>
      <c r="J25" s="2484"/>
      <c r="K25" s="2484"/>
      <c r="L25" s="2485"/>
      <c r="M25" s="2484"/>
      <c r="N25" s="2484"/>
      <c r="O25" s="2485"/>
      <c r="P25" s="2484"/>
      <c r="Q25" s="2484"/>
      <c r="R25" s="2486"/>
    </row>
    <row r="26" spans="1:18" s="795" customFormat="1">
      <c r="B26" s="2484"/>
      <c r="C26" s="2484"/>
      <c r="D26" s="2484"/>
      <c r="H26" s="2484"/>
      <c r="I26" s="2485"/>
      <c r="J26" s="2484"/>
      <c r="K26" s="2484"/>
      <c r="L26" s="2485"/>
      <c r="M26" s="2484"/>
      <c r="N26" s="2484"/>
      <c r="O26" s="2485"/>
      <c r="P26" s="2484"/>
      <c r="Q26" s="2484"/>
      <c r="R26" s="2486"/>
    </row>
    <row r="27" spans="1:18" s="795" customFormat="1">
      <c r="B27" s="2484"/>
      <c r="C27" s="2484"/>
      <c r="D27" s="2484"/>
      <c r="H27" s="2484"/>
      <c r="I27" s="2485"/>
      <c r="J27" s="2484"/>
      <c r="K27" s="2484"/>
      <c r="L27" s="2485"/>
      <c r="M27" s="2484"/>
      <c r="N27" s="2484"/>
      <c r="O27" s="2485"/>
      <c r="P27" s="2484"/>
      <c r="Q27" s="2484"/>
      <c r="R27" s="2486"/>
    </row>
    <row r="28" spans="1:18" s="795" customFormat="1">
      <c r="B28" s="2484"/>
      <c r="C28" s="2484"/>
      <c r="D28" s="2484"/>
      <c r="H28" s="2484"/>
      <c r="I28" s="2485"/>
      <c r="J28" s="2484"/>
      <c r="K28" s="2484"/>
      <c r="L28" s="2485"/>
      <c r="M28" s="2484"/>
      <c r="N28" s="2484"/>
      <c r="O28" s="2485"/>
      <c r="P28" s="2484"/>
      <c r="Q28" s="2484"/>
      <c r="R28" s="2486"/>
    </row>
    <row r="29" spans="1:18" s="795" customFormat="1">
      <c r="B29" s="2484"/>
      <c r="C29" s="2484"/>
      <c r="D29" s="2484"/>
      <c r="H29" s="2484"/>
      <c r="I29" s="2485"/>
      <c r="J29" s="2484"/>
      <c r="K29" s="2484"/>
      <c r="L29" s="2485"/>
      <c r="M29" s="2484"/>
      <c r="N29" s="2484"/>
      <c r="O29" s="2485"/>
      <c r="P29" s="2484"/>
      <c r="Q29" s="2484"/>
      <c r="R29" s="2486"/>
    </row>
    <row r="30" spans="1:18" s="795" customFormat="1">
      <c r="B30" s="2484"/>
      <c r="C30" s="2484"/>
      <c r="D30" s="2484"/>
      <c r="H30" s="2484"/>
      <c r="I30" s="2485"/>
      <c r="J30" s="2484"/>
      <c r="K30" s="2484"/>
      <c r="L30" s="2485"/>
      <c r="M30" s="2484"/>
      <c r="N30" s="2484"/>
      <c r="O30" s="2485"/>
      <c r="P30" s="2484"/>
      <c r="Q30" s="2484"/>
      <c r="R30" s="2486"/>
    </row>
    <row r="31" spans="1:18" s="795" customFormat="1">
      <c r="B31" s="2484"/>
      <c r="C31" s="2484"/>
      <c r="D31" s="2484"/>
      <c r="H31" s="2484"/>
      <c r="I31" s="2485"/>
      <c r="J31" s="2484"/>
      <c r="K31" s="2484"/>
      <c r="L31" s="2485"/>
      <c r="M31" s="2484"/>
      <c r="N31" s="2484"/>
      <c r="O31" s="2485"/>
      <c r="P31" s="2484"/>
      <c r="Q31" s="2484"/>
      <c r="R31" s="2486"/>
    </row>
    <row r="32" spans="1:18" s="795" customFormat="1">
      <c r="B32" s="2484"/>
      <c r="C32" s="2484"/>
      <c r="D32" s="2484"/>
      <c r="H32" s="2484"/>
      <c r="I32" s="2485"/>
      <c r="J32" s="2484"/>
      <c r="K32" s="2484"/>
      <c r="L32" s="2485"/>
      <c r="M32" s="2484"/>
      <c r="N32" s="2484"/>
      <c r="O32" s="2485"/>
      <c r="P32" s="2484"/>
      <c r="Q32" s="2484"/>
      <c r="R32" s="2486"/>
    </row>
    <row r="33" spans="2:18" s="795" customFormat="1">
      <c r="B33" s="2484"/>
      <c r="C33" s="2484"/>
      <c r="D33" s="2484"/>
      <c r="H33" s="2484"/>
      <c r="I33" s="2485"/>
      <c r="J33" s="2484"/>
      <c r="K33" s="2484"/>
      <c r="L33" s="2485"/>
      <c r="M33" s="2484"/>
      <c r="N33" s="2484"/>
      <c r="O33" s="2485"/>
      <c r="P33" s="2484"/>
      <c r="Q33" s="2484"/>
      <c r="R33" s="2486"/>
    </row>
    <row r="34" spans="2:18" s="795" customFormat="1">
      <c r="B34" s="2484"/>
      <c r="C34" s="2484"/>
      <c r="D34" s="2484"/>
      <c r="H34" s="2484"/>
      <c r="I34" s="2485"/>
      <c r="J34" s="2484"/>
      <c r="K34" s="2484"/>
      <c r="L34" s="2485"/>
      <c r="M34" s="2484"/>
      <c r="N34" s="2484"/>
      <c r="O34" s="2485"/>
      <c r="P34" s="2484"/>
      <c r="Q34" s="2484"/>
      <c r="R34" s="2486"/>
    </row>
    <row r="35" spans="2:18" s="795" customFormat="1">
      <c r="B35" s="2484"/>
      <c r="C35" s="2484"/>
      <c r="D35" s="2484"/>
      <c r="H35" s="2484"/>
      <c r="I35" s="2485"/>
      <c r="J35" s="2484"/>
      <c r="K35" s="2484"/>
      <c r="L35" s="2485"/>
      <c r="M35" s="2484"/>
      <c r="N35" s="2484"/>
      <c r="O35" s="2485"/>
      <c r="P35" s="2484"/>
      <c r="Q35" s="2484"/>
      <c r="R35" s="2486"/>
    </row>
    <row r="36" spans="2:18" s="795" customFormat="1">
      <c r="B36" s="2484"/>
      <c r="C36" s="2484"/>
      <c r="D36" s="2484"/>
      <c r="H36" s="2484"/>
      <c r="I36" s="2485"/>
      <c r="J36" s="2484"/>
      <c r="K36" s="2484"/>
      <c r="L36" s="2485"/>
      <c r="M36" s="2484"/>
      <c r="N36" s="2484"/>
      <c r="O36" s="2485"/>
      <c r="P36" s="2484"/>
      <c r="Q36" s="2484"/>
      <c r="R36" s="2486"/>
    </row>
    <row r="37" spans="2:18" s="795" customFormat="1">
      <c r="B37" s="2484"/>
      <c r="C37" s="2484"/>
      <c r="D37" s="2484"/>
      <c r="H37" s="2484"/>
      <c r="I37" s="2485"/>
      <c r="J37" s="2484"/>
      <c r="K37" s="2484"/>
      <c r="L37" s="2485"/>
      <c r="M37" s="2484"/>
      <c r="N37" s="2484"/>
      <c r="O37" s="2485"/>
      <c r="P37" s="2484"/>
      <c r="Q37" s="2484"/>
      <c r="R37" s="2486"/>
    </row>
    <row r="38" spans="2:18" s="795" customFormat="1">
      <c r="B38" s="2484"/>
      <c r="C38" s="2484"/>
      <c r="D38" s="2484"/>
      <c r="E38" s="2484"/>
      <c r="F38" s="2484"/>
      <c r="G38" s="2485"/>
      <c r="H38" s="2484"/>
      <c r="I38" s="2485"/>
      <c r="J38" s="2484"/>
      <c r="K38" s="2484"/>
      <c r="L38" s="2485"/>
      <c r="M38" s="2484"/>
      <c r="N38" s="2484"/>
      <c r="O38" s="2485"/>
      <c r="P38" s="2484"/>
      <c r="Q38" s="2484"/>
      <c r="R38" s="2486"/>
    </row>
    <row r="39" spans="2:18" s="795" customFormat="1">
      <c r="B39" s="2484"/>
      <c r="C39" s="2484"/>
      <c r="D39" s="2484"/>
      <c r="E39" s="2484"/>
      <c r="F39" s="2484"/>
      <c r="G39" s="2485"/>
      <c r="H39" s="2484"/>
      <c r="I39" s="2485"/>
      <c r="J39" s="2484"/>
      <c r="K39" s="2484"/>
      <c r="L39" s="2485"/>
      <c r="M39" s="2484"/>
      <c r="N39" s="2484"/>
      <c r="O39" s="2485"/>
      <c r="P39" s="2484"/>
      <c r="Q39" s="2484"/>
      <c r="R39" s="2486"/>
    </row>
    <row r="40" spans="2:18" s="795" customFormat="1">
      <c r="B40" s="2484"/>
      <c r="C40" s="2484"/>
      <c r="D40" s="2484"/>
      <c r="E40" s="2484"/>
      <c r="F40" s="2484"/>
      <c r="G40" s="2485"/>
      <c r="H40" s="2484"/>
      <c r="I40" s="2485"/>
      <c r="J40" s="2484"/>
      <c r="K40" s="2484"/>
      <c r="L40" s="2485"/>
      <c r="M40" s="2484"/>
      <c r="N40" s="2484"/>
      <c r="O40" s="2485"/>
      <c r="P40" s="2484"/>
      <c r="Q40" s="2484"/>
      <c r="R40" s="2486"/>
    </row>
    <row r="41" spans="2:18" s="795" customFormat="1">
      <c r="B41" s="2484"/>
      <c r="C41" s="2484"/>
      <c r="D41" s="2484"/>
      <c r="E41" s="2484"/>
      <c r="F41" s="2484"/>
      <c r="G41" s="2485"/>
      <c r="H41" s="2484"/>
      <c r="I41" s="2485"/>
      <c r="J41" s="2484"/>
      <c r="K41" s="2484"/>
      <c r="L41" s="2485"/>
      <c r="M41" s="2484"/>
      <c r="N41" s="2484"/>
      <c r="O41" s="2485"/>
      <c r="P41" s="2484"/>
      <c r="Q41" s="2484"/>
      <c r="R41" s="2486"/>
    </row>
    <row r="42" spans="2:18" s="795" customFormat="1">
      <c r="B42" s="2484"/>
      <c r="C42" s="2484"/>
      <c r="D42" s="2484"/>
      <c r="E42" s="2484"/>
      <c r="F42" s="2484"/>
      <c r="G42" s="2485"/>
      <c r="H42" s="2484"/>
      <c r="I42" s="2485"/>
      <c r="J42" s="2484"/>
      <c r="K42" s="2484"/>
      <c r="L42" s="2485"/>
      <c r="M42" s="2484"/>
      <c r="N42" s="2484"/>
      <c r="O42" s="2485"/>
      <c r="P42" s="2484"/>
      <c r="Q42" s="2484"/>
      <c r="R42" s="2486"/>
    </row>
    <row r="43" spans="2:18" s="795" customFormat="1">
      <c r="B43" s="2484"/>
      <c r="C43" s="2484"/>
      <c r="D43" s="2484"/>
      <c r="E43" s="2484"/>
      <c r="F43" s="2484"/>
      <c r="G43" s="2485"/>
      <c r="H43" s="2484"/>
      <c r="I43" s="2485"/>
      <c r="J43" s="2484"/>
      <c r="K43" s="2484"/>
      <c r="L43" s="2485"/>
      <c r="M43" s="2484"/>
      <c r="N43" s="2484"/>
      <c r="O43" s="2485"/>
      <c r="P43" s="2484"/>
      <c r="Q43" s="2484"/>
      <c r="R43" s="2486"/>
    </row>
    <row r="44" spans="2:18" s="795" customFormat="1">
      <c r="B44" s="2484"/>
      <c r="C44" s="2484"/>
      <c r="D44" s="2484"/>
      <c r="E44" s="2484"/>
      <c r="F44" s="2484"/>
      <c r="G44" s="2485"/>
      <c r="H44" s="2484"/>
      <c r="I44" s="2485"/>
      <c r="J44" s="2484"/>
      <c r="K44" s="2484"/>
      <c r="L44" s="2485"/>
      <c r="M44" s="2484"/>
      <c r="N44" s="2484"/>
      <c r="O44" s="2485"/>
      <c r="P44" s="2484"/>
      <c r="Q44" s="2484"/>
      <c r="R44" s="2486"/>
    </row>
    <row r="45" spans="2:18" s="795" customFormat="1">
      <c r="B45" s="2484"/>
      <c r="C45" s="2484"/>
      <c r="D45" s="2484"/>
      <c r="E45" s="2484"/>
      <c r="F45" s="2484"/>
      <c r="G45" s="2485"/>
      <c r="H45" s="2484"/>
      <c r="I45" s="2485"/>
      <c r="J45" s="2484"/>
      <c r="K45" s="2484"/>
      <c r="L45" s="2485"/>
      <c r="M45" s="2484"/>
      <c r="N45" s="2484"/>
      <c r="O45" s="2485"/>
      <c r="P45" s="2484"/>
      <c r="Q45" s="2484"/>
      <c r="R45" s="2486"/>
    </row>
    <row r="46" spans="2:18" s="795" customFormat="1">
      <c r="B46" s="2484"/>
      <c r="C46" s="2484"/>
      <c r="D46" s="2484"/>
      <c r="E46" s="2484"/>
      <c r="F46" s="2484"/>
      <c r="G46" s="2485"/>
      <c r="H46" s="2484"/>
      <c r="I46" s="2485"/>
      <c r="J46" s="2484"/>
      <c r="K46" s="2484"/>
      <c r="L46" s="2485"/>
      <c r="M46" s="2484"/>
      <c r="N46" s="2484"/>
      <c r="O46" s="2485"/>
      <c r="P46" s="2484"/>
      <c r="Q46" s="2484"/>
      <c r="R46" s="2486"/>
    </row>
    <row r="47" spans="2:18" s="795" customFormat="1">
      <c r="B47" s="2484"/>
      <c r="C47" s="2484"/>
      <c r="D47" s="2484"/>
      <c r="E47" s="2484"/>
      <c r="F47" s="2484"/>
      <c r="G47" s="2485"/>
      <c r="H47" s="2484"/>
      <c r="I47" s="2485"/>
      <c r="J47" s="2484"/>
      <c r="K47" s="2484"/>
      <c r="L47" s="2485"/>
      <c r="M47" s="2484"/>
      <c r="N47" s="2484"/>
      <c r="O47" s="2485"/>
      <c r="P47" s="2484"/>
      <c r="Q47" s="2484"/>
      <c r="R47" s="2486"/>
    </row>
    <row r="48" spans="2:18" s="795" customFormat="1">
      <c r="B48" s="2484"/>
      <c r="C48" s="2484"/>
      <c r="D48" s="2484"/>
      <c r="E48" s="2484"/>
      <c r="F48" s="2484"/>
      <c r="G48" s="2485"/>
      <c r="H48" s="2484"/>
      <c r="I48" s="2485"/>
      <c r="J48" s="2484"/>
      <c r="K48" s="2484"/>
      <c r="L48" s="2485"/>
      <c r="M48" s="2484"/>
      <c r="N48" s="2484"/>
      <c r="O48" s="2485"/>
      <c r="P48" s="2484"/>
      <c r="Q48" s="2484"/>
      <c r="R48" s="2486"/>
    </row>
    <row r="49" spans="2:18" s="795" customFormat="1">
      <c r="B49" s="2484"/>
      <c r="C49" s="2484"/>
      <c r="D49" s="2484"/>
      <c r="E49" s="2484"/>
      <c r="F49" s="2484"/>
      <c r="G49" s="2485"/>
      <c r="H49" s="2484"/>
      <c r="I49" s="2485"/>
      <c r="J49" s="2484"/>
      <c r="K49" s="2484"/>
      <c r="L49" s="2485"/>
      <c r="M49" s="2484"/>
      <c r="N49" s="2484"/>
      <c r="O49" s="2485"/>
      <c r="P49" s="2484"/>
      <c r="Q49" s="2484"/>
      <c r="R49" s="2486"/>
    </row>
    <row r="50" spans="2:18" s="795" customFormat="1">
      <c r="B50" s="2484"/>
      <c r="C50" s="2484"/>
      <c r="D50" s="2484"/>
      <c r="E50" s="2484"/>
      <c r="F50" s="2484"/>
      <c r="G50" s="2485"/>
      <c r="H50" s="2484"/>
      <c r="I50" s="2485"/>
      <c r="J50" s="2484"/>
      <c r="K50" s="2484"/>
      <c r="L50" s="2485"/>
      <c r="M50" s="2484"/>
      <c r="N50" s="2484"/>
      <c r="O50" s="2485"/>
      <c r="P50" s="2484"/>
      <c r="Q50" s="2484"/>
      <c r="R50" s="2486"/>
    </row>
    <row r="51" spans="2:18" s="795" customFormat="1">
      <c r="B51" s="2484"/>
      <c r="C51" s="2484"/>
      <c r="D51" s="2484"/>
      <c r="E51" s="2484"/>
      <c r="F51" s="2484"/>
      <c r="G51" s="2485"/>
      <c r="H51" s="2484"/>
      <c r="I51" s="2485"/>
      <c r="J51" s="2484"/>
      <c r="K51" s="2484"/>
      <c r="L51" s="2485"/>
      <c r="M51" s="2484"/>
      <c r="N51" s="2484"/>
      <c r="O51" s="2485"/>
      <c r="P51" s="2484"/>
      <c r="Q51" s="2484"/>
      <c r="R51" s="2486"/>
    </row>
    <row r="52" spans="2:18" s="795" customFormat="1">
      <c r="B52" s="2484"/>
      <c r="C52" s="2484"/>
      <c r="D52" s="2484"/>
      <c r="E52" s="2484"/>
      <c r="F52" s="2484"/>
      <c r="G52" s="2485"/>
      <c r="H52" s="2484"/>
      <c r="I52" s="2485"/>
      <c r="J52" s="2484"/>
      <c r="K52" s="2484"/>
      <c r="L52" s="2485"/>
      <c r="M52" s="2484"/>
      <c r="N52" s="2484"/>
      <c r="O52" s="2485"/>
      <c r="P52" s="2484"/>
      <c r="Q52" s="2484"/>
      <c r="R52" s="2486"/>
    </row>
    <row r="53" spans="2:18" s="795" customFormat="1">
      <c r="B53" s="2484"/>
      <c r="C53" s="2484"/>
      <c r="D53" s="2484"/>
      <c r="E53" s="2484"/>
      <c r="F53" s="2484"/>
      <c r="G53" s="2485"/>
      <c r="H53" s="2484"/>
      <c r="I53" s="2485"/>
      <c r="J53" s="2484"/>
      <c r="K53" s="2484"/>
      <c r="L53" s="2485"/>
      <c r="M53" s="2484"/>
      <c r="N53" s="2484"/>
      <c r="O53" s="2485"/>
      <c r="P53" s="2484"/>
      <c r="Q53" s="2484"/>
      <c r="R53" s="2486"/>
    </row>
    <row r="54" spans="2:18" s="795" customFormat="1">
      <c r="B54" s="2484"/>
      <c r="C54" s="2484"/>
      <c r="D54" s="2484"/>
      <c r="E54" s="2484"/>
      <c r="F54" s="2484"/>
      <c r="G54" s="2485"/>
      <c r="H54" s="2484"/>
      <c r="I54" s="2485"/>
      <c r="J54" s="2484"/>
      <c r="K54" s="2484"/>
      <c r="L54" s="2485"/>
      <c r="M54" s="2484"/>
      <c r="N54" s="2484"/>
      <c r="O54" s="2485"/>
      <c r="P54" s="2484"/>
      <c r="Q54" s="2484"/>
      <c r="R54" s="2486"/>
    </row>
    <row r="55" spans="2:18" s="795" customFormat="1">
      <c r="B55" s="2484"/>
      <c r="C55" s="2484"/>
      <c r="D55" s="2484"/>
      <c r="E55" s="2484"/>
      <c r="F55" s="2484"/>
      <c r="G55" s="2485"/>
      <c r="H55" s="2484"/>
      <c r="I55" s="2485"/>
      <c r="J55" s="2484"/>
      <c r="K55" s="2484"/>
      <c r="L55" s="2485"/>
      <c r="M55" s="2484"/>
      <c r="N55" s="2484"/>
      <c r="O55" s="2485"/>
      <c r="P55" s="2484"/>
      <c r="Q55" s="2484"/>
      <c r="R55" s="2486"/>
    </row>
    <row r="56" spans="2:18" s="795" customFormat="1">
      <c r="B56" s="2484"/>
      <c r="C56" s="2484"/>
      <c r="D56" s="2484"/>
      <c r="E56" s="2484"/>
      <c r="F56" s="2484"/>
      <c r="G56" s="2485"/>
      <c r="H56" s="2484"/>
      <c r="I56" s="2485"/>
      <c r="J56" s="2484"/>
      <c r="K56" s="2484"/>
      <c r="L56" s="2485"/>
      <c r="M56" s="2484"/>
      <c r="N56" s="2484"/>
      <c r="O56" s="2485"/>
      <c r="P56" s="2484"/>
      <c r="Q56" s="2484"/>
      <c r="R56" s="2486"/>
    </row>
    <row r="57" spans="2:18" s="795" customFormat="1">
      <c r="B57" s="2484"/>
      <c r="C57" s="2484"/>
      <c r="D57" s="2484"/>
      <c r="E57" s="2484"/>
      <c r="F57" s="2484"/>
      <c r="G57" s="2485"/>
      <c r="H57" s="2484"/>
      <c r="I57" s="2485"/>
      <c r="J57" s="2484"/>
      <c r="K57" s="2484"/>
      <c r="L57" s="2485"/>
      <c r="M57" s="2484"/>
      <c r="N57" s="2484"/>
      <c r="O57" s="2485"/>
      <c r="P57" s="2484"/>
      <c r="Q57" s="2484"/>
      <c r="R57" s="2486"/>
    </row>
    <row r="58" spans="2:18" s="795" customFormat="1">
      <c r="B58" s="2484"/>
      <c r="C58" s="2484"/>
      <c r="D58" s="2484"/>
      <c r="E58" s="2484"/>
      <c r="F58" s="2484"/>
      <c r="G58" s="2485"/>
      <c r="H58" s="2484"/>
      <c r="I58" s="2485"/>
      <c r="J58" s="2484"/>
      <c r="K58" s="2484"/>
      <c r="L58" s="2485"/>
      <c r="M58" s="2484"/>
      <c r="N58" s="2484"/>
      <c r="O58" s="2485"/>
      <c r="P58" s="2484"/>
      <c r="Q58" s="2484"/>
      <c r="R58" s="2486"/>
    </row>
    <row r="59" spans="2:18" s="795" customFormat="1">
      <c r="B59" s="2484"/>
      <c r="C59" s="2484"/>
      <c r="D59" s="2484"/>
      <c r="E59" s="2484"/>
      <c r="F59" s="2484"/>
      <c r="G59" s="2485"/>
      <c r="H59" s="2484"/>
      <c r="I59" s="2485"/>
      <c r="J59" s="2484"/>
      <c r="K59" s="2484"/>
      <c r="L59" s="2485"/>
      <c r="M59" s="2484"/>
      <c r="N59" s="2484"/>
      <c r="O59" s="2485"/>
      <c r="P59" s="2484"/>
      <c r="Q59" s="2484"/>
      <c r="R59" s="2486"/>
    </row>
    <row r="60" spans="2:18" s="795" customFormat="1">
      <c r="B60" s="2484"/>
      <c r="C60" s="2484"/>
      <c r="D60" s="2484"/>
      <c r="E60" s="2484"/>
      <c r="F60" s="2484"/>
      <c r="G60" s="2485"/>
      <c r="H60" s="2484"/>
      <c r="I60" s="2485"/>
      <c r="J60" s="2484"/>
      <c r="K60" s="2484"/>
      <c r="L60" s="2485"/>
      <c r="M60" s="2484"/>
      <c r="N60" s="2484"/>
      <c r="O60" s="2485"/>
      <c r="P60" s="2484"/>
      <c r="Q60" s="2484"/>
      <c r="R60" s="2486"/>
    </row>
    <row r="61" spans="2:18" s="795" customFormat="1">
      <c r="B61" s="2484"/>
      <c r="C61" s="2484"/>
      <c r="D61" s="2484"/>
      <c r="E61" s="2484"/>
      <c r="F61" s="2484"/>
      <c r="G61" s="2485"/>
      <c r="H61" s="2484"/>
      <c r="I61" s="2485"/>
      <c r="J61" s="2484"/>
      <c r="K61" s="2484"/>
      <c r="L61" s="2485"/>
      <c r="M61" s="2484"/>
      <c r="N61" s="2484"/>
      <c r="O61" s="2485"/>
      <c r="P61" s="2484"/>
      <c r="Q61" s="2484"/>
      <c r="R61" s="2486"/>
    </row>
    <row r="62" spans="2:18" s="795" customFormat="1">
      <c r="B62" s="2484"/>
      <c r="C62" s="2484"/>
      <c r="D62" s="2484"/>
      <c r="E62" s="2484"/>
      <c r="F62" s="2484"/>
      <c r="G62" s="2485"/>
      <c r="H62" s="2484"/>
      <c r="I62" s="2485"/>
      <c r="J62" s="2484"/>
      <c r="K62" s="2484"/>
      <c r="L62" s="2485"/>
      <c r="M62" s="2484"/>
      <c r="N62" s="2484"/>
      <c r="O62" s="2485"/>
      <c r="P62" s="2484"/>
      <c r="Q62" s="2484"/>
      <c r="R62" s="2486"/>
    </row>
    <row r="63" spans="2:18" s="795" customFormat="1">
      <c r="B63" s="2484"/>
      <c r="C63" s="2484"/>
      <c r="D63" s="2484"/>
      <c r="E63" s="2484"/>
      <c r="F63" s="2484"/>
      <c r="G63" s="2485"/>
      <c r="H63" s="2484"/>
      <c r="I63" s="2485"/>
      <c r="J63" s="2484"/>
      <c r="K63" s="2484"/>
      <c r="L63" s="2485"/>
      <c r="M63" s="2484"/>
      <c r="N63" s="2484"/>
      <c r="O63" s="2485"/>
      <c r="P63" s="2484"/>
      <c r="Q63" s="2484"/>
      <c r="R63" s="2486"/>
    </row>
    <row r="64" spans="2:18" s="795" customFormat="1">
      <c r="B64" s="2484"/>
      <c r="C64" s="2484"/>
      <c r="D64" s="2484"/>
      <c r="E64" s="2484"/>
      <c r="F64" s="2484"/>
      <c r="G64" s="2485"/>
      <c r="H64" s="2484"/>
      <c r="I64" s="2485"/>
      <c r="J64" s="2484"/>
      <c r="K64" s="2484"/>
      <c r="L64" s="2485"/>
      <c r="M64" s="2484"/>
      <c r="N64" s="2484"/>
      <c r="O64" s="2485"/>
      <c r="P64" s="2484"/>
      <c r="Q64" s="2484"/>
      <c r="R64" s="2486"/>
    </row>
    <row r="65" spans="2:18" s="795" customFormat="1">
      <c r="B65" s="2484"/>
      <c r="C65" s="2484"/>
      <c r="D65" s="2484"/>
      <c r="E65" s="2484"/>
      <c r="F65" s="2484"/>
      <c r="G65" s="2485"/>
      <c r="H65" s="2484"/>
      <c r="I65" s="2485"/>
      <c r="J65" s="2484"/>
      <c r="K65" s="2484"/>
      <c r="L65" s="2485"/>
      <c r="M65" s="2484"/>
      <c r="N65" s="2484"/>
      <c r="O65" s="2485"/>
      <c r="P65" s="2484"/>
      <c r="Q65" s="2484"/>
      <c r="R65" s="2486"/>
    </row>
    <row r="66" spans="2:18" s="795" customFormat="1">
      <c r="B66" s="2484"/>
      <c r="C66" s="2484"/>
      <c r="D66" s="2484"/>
      <c r="E66" s="2484"/>
      <c r="F66" s="2484"/>
      <c r="G66" s="2485"/>
      <c r="H66" s="2484"/>
      <c r="I66" s="2485"/>
      <c r="J66" s="2484"/>
      <c r="K66" s="2484"/>
      <c r="L66" s="2485"/>
      <c r="M66" s="2484"/>
      <c r="N66" s="2484"/>
      <c r="O66" s="2485"/>
      <c r="P66" s="2484"/>
      <c r="Q66" s="2484"/>
      <c r="R66" s="2486"/>
    </row>
    <row r="67" spans="2:18" s="795" customFormat="1">
      <c r="B67" s="2484"/>
      <c r="C67" s="2484"/>
      <c r="D67" s="2484"/>
      <c r="E67" s="2484"/>
      <c r="F67" s="2484"/>
      <c r="G67" s="2485"/>
      <c r="H67" s="2484"/>
      <c r="I67" s="2485"/>
      <c r="J67" s="2484"/>
      <c r="K67" s="2484"/>
      <c r="L67" s="2485"/>
      <c r="M67" s="2484"/>
      <c r="N67" s="2484"/>
      <c r="O67" s="2485"/>
      <c r="P67" s="2484"/>
      <c r="Q67" s="2484"/>
      <c r="R67" s="2486"/>
    </row>
    <row r="68" spans="2:18" s="795" customFormat="1">
      <c r="B68" s="2484"/>
      <c r="C68" s="2484"/>
      <c r="D68" s="2484"/>
      <c r="E68" s="2484"/>
      <c r="F68" s="2484"/>
      <c r="G68" s="2485"/>
      <c r="H68" s="2484"/>
      <c r="I68" s="2485"/>
      <c r="J68" s="2484"/>
      <c r="K68" s="2484"/>
      <c r="L68" s="2485"/>
      <c r="M68" s="2484"/>
      <c r="N68" s="2484"/>
      <c r="O68" s="2485"/>
      <c r="P68" s="2484"/>
      <c r="Q68" s="2484"/>
      <c r="R68" s="2486"/>
    </row>
    <row r="69" spans="2:18" s="795" customFormat="1">
      <c r="B69" s="2484"/>
      <c r="C69" s="2484"/>
      <c r="D69" s="2484"/>
      <c r="E69" s="2484"/>
      <c r="F69" s="2484"/>
      <c r="G69" s="2485"/>
      <c r="H69" s="2484"/>
      <c r="I69" s="2485"/>
      <c r="J69" s="2484"/>
      <c r="K69" s="2484"/>
      <c r="L69" s="2485"/>
      <c r="M69" s="2484"/>
      <c r="N69" s="2484"/>
      <c r="O69" s="2485"/>
      <c r="P69" s="2484"/>
      <c r="Q69" s="2484"/>
      <c r="R69" s="2486"/>
    </row>
    <row r="70" spans="2:18" s="795" customFormat="1">
      <c r="B70" s="2484"/>
      <c r="C70" s="2484"/>
      <c r="D70" s="2484"/>
      <c r="E70" s="2484"/>
      <c r="F70" s="2484"/>
      <c r="G70" s="2485"/>
      <c r="H70" s="2484"/>
      <c r="I70" s="2485"/>
      <c r="J70" s="2484"/>
      <c r="K70" s="2484"/>
      <c r="L70" s="2485"/>
      <c r="M70" s="2484"/>
      <c r="N70" s="2484"/>
      <c r="O70" s="2485"/>
      <c r="P70" s="2484"/>
      <c r="Q70" s="2484"/>
      <c r="R70" s="2486"/>
    </row>
    <row r="71" spans="2:18" s="795" customFormat="1">
      <c r="B71" s="2484"/>
      <c r="C71" s="2484"/>
      <c r="D71" s="2484"/>
      <c r="E71" s="2484"/>
      <c r="F71" s="2484"/>
      <c r="G71" s="2485"/>
      <c r="H71" s="2484"/>
      <c r="I71" s="2485"/>
      <c r="J71" s="2484"/>
      <c r="K71" s="2484"/>
      <c r="L71" s="2485"/>
      <c r="M71" s="2484"/>
      <c r="N71" s="2484"/>
      <c r="O71" s="2485"/>
      <c r="P71" s="2484"/>
      <c r="Q71" s="2484"/>
      <c r="R71" s="2486"/>
    </row>
    <row r="72" spans="2:18" s="795" customFormat="1">
      <c r="B72" s="2484"/>
      <c r="C72" s="2484"/>
      <c r="D72" s="2484"/>
      <c r="E72" s="2484"/>
      <c r="F72" s="2484"/>
      <c r="G72" s="2485"/>
      <c r="H72" s="2484"/>
      <c r="I72" s="2485"/>
      <c r="J72" s="2484"/>
      <c r="K72" s="2484"/>
      <c r="L72" s="2485"/>
      <c r="M72" s="2484"/>
      <c r="N72" s="2484"/>
      <c r="O72" s="2485"/>
      <c r="P72" s="2484"/>
      <c r="Q72" s="2484"/>
      <c r="R72" s="2486"/>
    </row>
    <row r="73" spans="2:18" s="795" customFormat="1">
      <c r="B73" s="2484"/>
      <c r="C73" s="2484"/>
      <c r="D73" s="2484"/>
      <c r="E73" s="2484"/>
      <c r="F73" s="2484"/>
      <c r="G73" s="2485"/>
      <c r="H73" s="2484"/>
      <c r="I73" s="2485"/>
      <c r="J73" s="2484"/>
      <c r="K73" s="2484"/>
      <c r="L73" s="2485"/>
      <c r="M73" s="2484"/>
      <c r="N73" s="2484"/>
      <c r="O73" s="2485"/>
      <c r="P73" s="2484"/>
      <c r="Q73" s="2484"/>
      <c r="R73" s="2486"/>
    </row>
    <row r="74" spans="2:18" s="795" customFormat="1">
      <c r="B74" s="2484"/>
      <c r="C74" s="2484"/>
      <c r="D74" s="2484"/>
      <c r="E74" s="2484"/>
      <c r="F74" s="2484"/>
      <c r="G74" s="2485"/>
      <c r="H74" s="2484"/>
      <c r="I74" s="2485"/>
      <c r="J74" s="2484"/>
      <c r="K74" s="2484"/>
      <c r="L74" s="2485"/>
      <c r="M74" s="2484"/>
      <c r="N74" s="2484"/>
      <c r="O74" s="2485"/>
      <c r="P74" s="2484"/>
      <c r="Q74" s="2484"/>
      <c r="R74" s="2486"/>
    </row>
    <row r="75" spans="2:18" s="795" customFormat="1">
      <c r="B75" s="2484"/>
      <c r="C75" s="2484"/>
      <c r="D75" s="2484"/>
      <c r="E75" s="2484"/>
      <c r="F75" s="2484"/>
      <c r="G75" s="2485"/>
      <c r="H75" s="2484"/>
      <c r="I75" s="2485"/>
      <c r="J75" s="2484"/>
      <c r="K75" s="2484"/>
      <c r="L75" s="2485"/>
      <c r="M75" s="2484"/>
      <c r="N75" s="2484"/>
      <c r="O75" s="2485"/>
      <c r="P75" s="2484"/>
      <c r="Q75" s="2484"/>
      <c r="R75" s="2486"/>
    </row>
    <row r="76" spans="2:18" s="795" customFormat="1">
      <c r="B76" s="2484"/>
      <c r="C76" s="2484"/>
      <c r="D76" s="2484"/>
      <c r="E76" s="2484"/>
      <c r="F76" s="2484"/>
      <c r="G76" s="2485"/>
      <c r="H76" s="2484"/>
      <c r="I76" s="2485"/>
      <c r="J76" s="2484"/>
      <c r="K76" s="2484"/>
      <c r="L76" s="2485"/>
      <c r="M76" s="2484"/>
      <c r="N76" s="2484"/>
      <c r="O76" s="2485"/>
      <c r="P76" s="2484"/>
      <c r="Q76" s="2484"/>
      <c r="R76" s="2486"/>
    </row>
    <row r="77" spans="2:18" s="795" customFormat="1">
      <c r="B77" s="2484"/>
      <c r="C77" s="2484"/>
      <c r="D77" s="2484"/>
      <c r="E77" s="2484"/>
      <c r="F77" s="2484"/>
      <c r="G77" s="2485"/>
      <c r="H77" s="2484"/>
      <c r="I77" s="2485"/>
      <c r="J77" s="2484"/>
      <c r="K77" s="2484"/>
      <c r="L77" s="2485"/>
      <c r="M77" s="2484"/>
      <c r="N77" s="2484"/>
      <c r="O77" s="2485"/>
      <c r="P77" s="2484"/>
      <c r="Q77" s="2484"/>
      <c r="R77" s="2486"/>
    </row>
    <row r="78" spans="2:18" s="795" customFormat="1">
      <c r="B78" s="2484"/>
      <c r="C78" s="2484"/>
      <c r="D78" s="2484"/>
      <c r="E78" s="2484"/>
      <c r="F78" s="2484"/>
      <c r="G78" s="2485"/>
      <c r="H78" s="2484"/>
      <c r="I78" s="2485"/>
      <c r="J78" s="2484"/>
      <c r="K78" s="2484"/>
      <c r="L78" s="2485"/>
      <c r="M78" s="2484"/>
      <c r="N78" s="2484"/>
      <c r="O78" s="2485"/>
      <c r="P78" s="2484"/>
      <c r="Q78" s="2484"/>
      <c r="R78" s="2486"/>
    </row>
    <row r="79" spans="2:18" s="795" customFormat="1">
      <c r="B79" s="2484"/>
      <c r="C79" s="2484"/>
      <c r="D79" s="2484"/>
      <c r="E79" s="2484"/>
      <c r="F79" s="2484"/>
      <c r="G79" s="2485"/>
      <c r="H79" s="2484"/>
      <c r="I79" s="2485"/>
      <c r="J79" s="2484"/>
      <c r="K79" s="2484"/>
      <c r="L79" s="2485"/>
      <c r="M79" s="2484"/>
      <c r="N79" s="2484"/>
      <c r="O79" s="2485"/>
      <c r="P79" s="2484"/>
      <c r="Q79" s="2484"/>
      <c r="R79" s="2486"/>
    </row>
    <row r="80" spans="2:18" s="795" customFormat="1">
      <c r="B80" s="2484"/>
      <c r="C80" s="2484"/>
      <c r="D80" s="2484"/>
      <c r="E80" s="2484"/>
      <c r="F80" s="2484"/>
      <c r="G80" s="2485"/>
      <c r="H80" s="2484"/>
      <c r="I80" s="2485"/>
      <c r="J80" s="2484"/>
      <c r="K80" s="2484"/>
      <c r="L80" s="2485"/>
      <c r="M80" s="2484"/>
      <c r="N80" s="2484"/>
      <c r="O80" s="2485"/>
      <c r="P80" s="2484"/>
      <c r="Q80" s="2484"/>
      <c r="R80" s="2486"/>
    </row>
    <row r="81" spans="2:18" s="795" customFormat="1">
      <c r="B81" s="2484"/>
      <c r="C81" s="2484"/>
      <c r="D81" s="2484"/>
      <c r="E81" s="2484"/>
      <c r="F81" s="2484"/>
      <c r="G81" s="2485"/>
      <c r="H81" s="2484"/>
      <c r="I81" s="2485"/>
      <c r="J81" s="2484"/>
      <c r="K81" s="2484"/>
      <c r="L81" s="2485"/>
      <c r="M81" s="2484"/>
      <c r="N81" s="2484"/>
      <c r="O81" s="2485"/>
      <c r="P81" s="2484"/>
      <c r="Q81" s="2484"/>
      <c r="R81" s="2486"/>
    </row>
    <row r="82" spans="2:18" s="795" customFormat="1">
      <c r="B82" s="2484"/>
      <c r="C82" s="2484"/>
      <c r="D82" s="2484"/>
      <c r="E82" s="2484"/>
      <c r="F82" s="2484"/>
      <c r="G82" s="2485"/>
      <c r="H82" s="2484"/>
      <c r="I82" s="2485"/>
      <c r="J82" s="2484"/>
      <c r="K82" s="2484"/>
      <c r="L82" s="2485"/>
      <c r="M82" s="2484"/>
      <c r="N82" s="2484"/>
      <c r="O82" s="2485"/>
      <c r="P82" s="2484"/>
      <c r="Q82" s="2484"/>
      <c r="R82" s="2486"/>
    </row>
    <row r="83" spans="2:18" s="795" customFormat="1">
      <c r="B83" s="2484"/>
      <c r="C83" s="2484"/>
      <c r="D83" s="2484"/>
      <c r="E83" s="2484"/>
      <c r="F83" s="2484"/>
      <c r="G83" s="2485"/>
      <c r="H83" s="2484"/>
      <c r="I83" s="2485"/>
      <c r="J83" s="2484"/>
      <c r="K83" s="2484"/>
      <c r="L83" s="2485"/>
      <c r="M83" s="2484"/>
      <c r="N83" s="2484"/>
      <c r="O83" s="2485"/>
      <c r="P83" s="2484"/>
      <c r="Q83" s="2484"/>
      <c r="R83" s="2486"/>
    </row>
    <row r="84" spans="2:18" s="795" customFormat="1">
      <c r="B84" s="2484"/>
      <c r="C84" s="2484"/>
      <c r="D84" s="2484"/>
      <c r="E84" s="2484"/>
      <c r="F84" s="2484"/>
      <c r="G84" s="2485"/>
      <c r="H84" s="2484"/>
      <c r="I84" s="2485"/>
      <c r="J84" s="2484"/>
      <c r="K84" s="2484"/>
      <c r="L84" s="2485"/>
      <c r="M84" s="2484"/>
      <c r="N84" s="2484"/>
      <c r="O84" s="2485"/>
      <c r="P84" s="2484"/>
      <c r="Q84" s="2484"/>
      <c r="R84" s="2486"/>
    </row>
    <row r="85" spans="2:18" s="795" customFormat="1">
      <c r="B85" s="2484"/>
      <c r="C85" s="2484"/>
      <c r="D85" s="2484"/>
      <c r="E85" s="2484"/>
      <c r="F85" s="2484"/>
      <c r="G85" s="2485"/>
      <c r="H85" s="2484"/>
      <c r="I85" s="2485"/>
      <c r="J85" s="2484"/>
      <c r="K85" s="2484"/>
      <c r="L85" s="2485"/>
      <c r="M85" s="2484"/>
      <c r="N85" s="2484"/>
      <c r="O85" s="2485"/>
      <c r="P85" s="2484"/>
      <c r="Q85" s="2484"/>
      <c r="R85" s="2486"/>
    </row>
    <row r="86" spans="2:18" s="795" customFormat="1">
      <c r="B86" s="2484"/>
      <c r="C86" s="2484"/>
      <c r="D86" s="2484"/>
      <c r="E86" s="2484"/>
      <c r="F86" s="2484"/>
      <c r="G86" s="2485"/>
      <c r="H86" s="2484"/>
      <c r="I86" s="2485"/>
      <c r="J86" s="2484"/>
      <c r="K86" s="2484"/>
      <c r="L86" s="2485"/>
      <c r="M86" s="2484"/>
      <c r="N86" s="2484"/>
      <c r="O86" s="2485"/>
      <c r="P86" s="2484"/>
      <c r="Q86" s="2484"/>
      <c r="R86" s="2486"/>
    </row>
    <row r="87" spans="2:18" s="795" customFormat="1">
      <c r="B87" s="2484"/>
      <c r="C87" s="2484"/>
      <c r="D87" s="2484"/>
      <c r="E87" s="2484"/>
      <c r="F87" s="2484"/>
      <c r="G87" s="2485"/>
      <c r="H87" s="2484"/>
      <c r="I87" s="2485"/>
      <c r="J87" s="2484"/>
      <c r="K87" s="2484"/>
      <c r="L87" s="2485"/>
      <c r="M87" s="2484"/>
      <c r="N87" s="2484"/>
      <c r="O87" s="2485"/>
      <c r="P87" s="2484"/>
      <c r="Q87" s="2484"/>
      <c r="R87" s="2486"/>
    </row>
    <row r="88" spans="2:18" s="795" customFormat="1">
      <c r="B88" s="2484"/>
      <c r="C88" s="2484"/>
      <c r="D88" s="2484"/>
      <c r="E88" s="2484"/>
      <c r="F88" s="2484"/>
      <c r="G88" s="2485"/>
      <c r="H88" s="2484"/>
      <c r="I88" s="2485"/>
      <c r="J88" s="2484"/>
      <c r="K88" s="2484"/>
      <c r="L88" s="2485"/>
      <c r="M88" s="2484"/>
      <c r="N88" s="2484"/>
      <c r="O88" s="2485"/>
      <c r="P88" s="2484"/>
      <c r="Q88" s="2484"/>
      <c r="R88" s="2486"/>
    </row>
    <row r="89" spans="2:18" s="795" customFormat="1">
      <c r="B89" s="2484"/>
      <c r="C89" s="2484"/>
      <c r="D89" s="2484"/>
      <c r="E89" s="2484"/>
      <c r="F89" s="2484"/>
      <c r="G89" s="2485"/>
      <c r="H89" s="2484"/>
      <c r="I89" s="2485"/>
      <c r="J89" s="2484"/>
      <c r="K89" s="2484"/>
      <c r="L89" s="2485"/>
      <c r="M89" s="2484"/>
      <c r="N89" s="2484"/>
      <c r="O89" s="2485"/>
      <c r="P89" s="2484"/>
      <c r="Q89" s="2484"/>
      <c r="R89" s="2486"/>
    </row>
    <row r="90" spans="2:18" s="795" customFormat="1">
      <c r="B90" s="2484"/>
      <c r="C90" s="2484"/>
      <c r="D90" s="2484"/>
      <c r="E90" s="2484"/>
      <c r="F90" s="2484"/>
      <c r="G90" s="2485"/>
      <c r="H90" s="2484"/>
      <c r="I90" s="2485"/>
      <c r="J90" s="2484"/>
      <c r="K90" s="2484"/>
      <c r="L90" s="2485"/>
      <c r="M90" s="2484"/>
      <c r="N90" s="2484"/>
      <c r="O90" s="2485"/>
      <c r="P90" s="2484"/>
      <c r="Q90" s="2484"/>
      <c r="R90" s="2486"/>
    </row>
    <row r="91" spans="2:18" s="795" customFormat="1">
      <c r="B91" s="2484"/>
      <c r="C91" s="2484"/>
      <c r="D91" s="2484"/>
      <c r="E91" s="2484"/>
      <c r="F91" s="2484"/>
      <c r="G91" s="2485"/>
      <c r="H91" s="2484"/>
      <c r="I91" s="2485"/>
      <c r="J91" s="2484"/>
      <c r="K91" s="2484"/>
      <c r="L91" s="2485"/>
      <c r="M91" s="2484"/>
      <c r="N91" s="2484"/>
      <c r="O91" s="2485"/>
      <c r="P91" s="2484"/>
      <c r="Q91" s="2484"/>
      <c r="R91" s="2486"/>
    </row>
    <row r="92" spans="2:18" s="795" customFormat="1">
      <c r="B92" s="2484"/>
      <c r="C92" s="2484"/>
      <c r="D92" s="2484"/>
      <c r="E92" s="2484"/>
      <c r="F92" s="2484"/>
      <c r="G92" s="2485"/>
      <c r="H92" s="2484"/>
      <c r="I92" s="2485"/>
      <c r="J92" s="2484"/>
      <c r="K92" s="2484"/>
      <c r="L92" s="2485"/>
      <c r="M92" s="2484"/>
      <c r="N92" s="2484"/>
      <c r="O92" s="2485"/>
      <c r="P92" s="2484"/>
      <c r="Q92" s="2484"/>
      <c r="R92" s="2486"/>
    </row>
    <row r="93" spans="2:18" s="795" customFormat="1">
      <c r="B93" s="2484"/>
      <c r="C93" s="2484"/>
      <c r="D93" s="2484"/>
      <c r="E93" s="2484"/>
      <c r="F93" s="2484"/>
      <c r="G93" s="2485"/>
      <c r="H93" s="2484"/>
      <c r="I93" s="2485"/>
      <c r="J93" s="2484"/>
      <c r="K93" s="2484"/>
      <c r="L93" s="2485"/>
      <c r="M93" s="2484"/>
      <c r="N93" s="2484"/>
      <c r="O93" s="2485"/>
      <c r="P93" s="2484"/>
      <c r="Q93" s="2484"/>
      <c r="R93" s="2486"/>
    </row>
    <row r="94" spans="2:18" s="795" customFormat="1">
      <c r="B94" s="2484"/>
      <c r="C94" s="2484"/>
      <c r="D94" s="2484"/>
      <c r="E94" s="2484"/>
      <c r="F94" s="2484"/>
      <c r="G94" s="2485"/>
      <c r="H94" s="2484"/>
      <c r="I94" s="2485"/>
      <c r="J94" s="2484"/>
      <c r="K94" s="2484"/>
      <c r="L94" s="2485"/>
      <c r="M94" s="2484"/>
      <c r="N94" s="2484"/>
      <c r="O94" s="2485"/>
      <c r="P94" s="2484"/>
      <c r="Q94" s="2484"/>
      <c r="R94" s="2486"/>
    </row>
    <row r="95" spans="2:18" s="795" customFormat="1">
      <c r="B95" s="2484"/>
      <c r="C95" s="2484"/>
      <c r="D95" s="2484"/>
      <c r="E95" s="2484"/>
      <c r="F95" s="2484"/>
      <c r="G95" s="2485"/>
      <c r="H95" s="2484"/>
      <c r="I95" s="2485"/>
      <c r="J95" s="2484"/>
      <c r="K95" s="2484"/>
      <c r="L95" s="2485"/>
      <c r="M95" s="2484"/>
      <c r="N95" s="2484"/>
      <c r="O95" s="2485"/>
      <c r="P95" s="2484"/>
      <c r="Q95" s="2484"/>
      <c r="R95" s="2486"/>
    </row>
    <row r="96" spans="2:18" s="795" customFormat="1">
      <c r="B96" s="2484"/>
      <c r="C96" s="2484"/>
      <c r="D96" s="2484"/>
      <c r="E96" s="2484"/>
      <c r="F96" s="2484"/>
      <c r="G96" s="2485"/>
      <c r="H96" s="2484"/>
      <c r="I96" s="2485"/>
      <c r="J96" s="2484"/>
      <c r="K96" s="2484"/>
      <c r="L96" s="2485"/>
      <c r="M96" s="2484"/>
      <c r="N96" s="2484"/>
      <c r="O96" s="2485"/>
      <c r="P96" s="2484"/>
      <c r="Q96" s="2484"/>
      <c r="R96" s="2486"/>
    </row>
    <row r="97" spans="2:18" s="795" customFormat="1">
      <c r="B97" s="2484"/>
      <c r="C97" s="2484"/>
      <c r="D97" s="2484"/>
      <c r="E97" s="2484"/>
      <c r="F97" s="2484"/>
      <c r="G97" s="2485"/>
      <c r="H97" s="2484"/>
      <c r="I97" s="2485"/>
      <c r="J97" s="2484"/>
      <c r="K97" s="2484"/>
      <c r="L97" s="2485"/>
      <c r="M97" s="2484"/>
      <c r="N97" s="2484"/>
      <c r="O97" s="2485"/>
      <c r="P97" s="2484"/>
      <c r="Q97" s="2484"/>
      <c r="R97" s="2486"/>
    </row>
    <row r="98" spans="2:18" s="795" customFormat="1">
      <c r="B98" s="2484"/>
      <c r="C98" s="2484"/>
      <c r="D98" s="2484"/>
      <c r="E98" s="2484"/>
      <c r="F98" s="2484"/>
      <c r="G98" s="2485"/>
      <c r="H98" s="2484"/>
      <c r="I98" s="2485"/>
      <c r="J98" s="2484"/>
      <c r="K98" s="2484"/>
      <c r="L98" s="2485"/>
      <c r="M98" s="2484"/>
      <c r="N98" s="2484"/>
      <c r="O98" s="2485"/>
      <c r="P98" s="2484"/>
      <c r="Q98" s="2484"/>
      <c r="R98" s="2486"/>
    </row>
    <row r="99" spans="2:18" s="795" customFormat="1">
      <c r="B99" s="2484"/>
      <c r="C99" s="2484"/>
      <c r="D99" s="2484"/>
      <c r="E99" s="2484"/>
      <c r="F99" s="2484"/>
      <c r="G99" s="2485"/>
      <c r="H99" s="2484"/>
      <c r="I99" s="2485"/>
      <c r="J99" s="2484"/>
      <c r="K99" s="2484"/>
      <c r="L99" s="2485"/>
      <c r="M99" s="2484"/>
      <c r="N99" s="2484"/>
      <c r="O99" s="2485"/>
      <c r="P99" s="2484"/>
      <c r="Q99" s="2484"/>
      <c r="R99" s="2486"/>
    </row>
    <row r="100" spans="2:18" s="795" customFormat="1">
      <c r="B100" s="2484"/>
      <c r="C100" s="2484"/>
      <c r="D100" s="2484"/>
      <c r="E100" s="2484"/>
      <c r="F100" s="2484"/>
      <c r="G100" s="2485"/>
      <c r="H100" s="2484"/>
      <c r="I100" s="2485"/>
      <c r="J100" s="2484"/>
      <c r="K100" s="2484"/>
      <c r="L100" s="2485"/>
      <c r="M100" s="2484"/>
      <c r="N100" s="2484"/>
      <c r="O100" s="2485"/>
      <c r="P100" s="2484"/>
      <c r="Q100" s="2484"/>
      <c r="R100" s="2486"/>
    </row>
    <row r="101" spans="2:18" s="795" customFormat="1">
      <c r="B101" s="2484"/>
      <c r="C101" s="2484"/>
      <c r="D101" s="2484"/>
      <c r="E101" s="2484"/>
      <c r="F101" s="2484"/>
      <c r="G101" s="2485"/>
      <c r="H101" s="2484"/>
      <c r="I101" s="2485"/>
      <c r="J101" s="2484"/>
      <c r="K101" s="2484"/>
      <c r="L101" s="2485"/>
      <c r="M101" s="2484"/>
      <c r="N101" s="2484"/>
      <c r="O101" s="2485"/>
      <c r="P101" s="2484"/>
      <c r="Q101" s="2484"/>
      <c r="R101" s="2486"/>
    </row>
    <row r="102" spans="2:18" s="795" customFormat="1">
      <c r="B102" s="2484"/>
      <c r="C102" s="2484"/>
      <c r="D102" s="2484"/>
      <c r="E102" s="2484"/>
      <c r="F102" s="2484"/>
      <c r="G102" s="2485"/>
      <c r="H102" s="2484"/>
      <c r="I102" s="2485"/>
      <c r="J102" s="2484"/>
      <c r="K102" s="2484"/>
      <c r="L102" s="2485"/>
      <c r="M102" s="2484"/>
      <c r="N102" s="2484"/>
      <c r="O102" s="2485"/>
      <c r="P102" s="2484"/>
      <c r="Q102" s="2484"/>
      <c r="R102" s="2486"/>
    </row>
    <row r="103" spans="2:18" s="795" customFormat="1">
      <c r="B103" s="2484"/>
      <c r="C103" s="2484"/>
      <c r="D103" s="2484"/>
      <c r="E103" s="2484"/>
      <c r="F103" s="2484"/>
      <c r="G103" s="2485"/>
      <c r="H103" s="2484"/>
      <c r="I103" s="2485"/>
      <c r="J103" s="2484"/>
      <c r="K103" s="2484"/>
      <c r="L103" s="2485"/>
      <c r="M103" s="2484"/>
      <c r="N103" s="2484"/>
      <c r="O103" s="2485"/>
      <c r="P103" s="2484"/>
      <c r="Q103" s="2484"/>
      <c r="R103" s="2486"/>
    </row>
    <row r="104" spans="2:18" s="795" customFormat="1">
      <c r="B104" s="2484"/>
      <c r="C104" s="2484"/>
      <c r="D104" s="2484"/>
      <c r="E104" s="2484"/>
      <c r="F104" s="2484"/>
      <c r="G104" s="2485"/>
      <c r="H104" s="2484"/>
      <c r="I104" s="2485"/>
      <c r="J104" s="2484"/>
      <c r="K104" s="2484"/>
      <c r="L104" s="2485"/>
      <c r="M104" s="2484"/>
      <c r="N104" s="2484"/>
      <c r="O104" s="2485"/>
      <c r="P104" s="2484"/>
      <c r="Q104" s="2484"/>
      <c r="R104" s="2486"/>
    </row>
    <row r="105" spans="2:18" s="795" customFormat="1">
      <c r="B105" s="2484"/>
      <c r="C105" s="2484"/>
      <c r="D105" s="2484"/>
      <c r="E105" s="2484"/>
      <c r="F105" s="2484"/>
      <c r="G105" s="2485"/>
      <c r="H105" s="2484"/>
      <c r="I105" s="2485"/>
      <c r="J105" s="2484"/>
      <c r="K105" s="2484"/>
      <c r="L105" s="2485"/>
      <c r="M105" s="2484"/>
      <c r="N105" s="2484"/>
      <c r="O105" s="2485"/>
      <c r="P105" s="2484"/>
      <c r="Q105" s="2484"/>
      <c r="R105" s="2486"/>
    </row>
    <row r="106" spans="2:18" s="795" customFormat="1">
      <c r="B106" s="2484"/>
      <c r="C106" s="2484"/>
      <c r="D106" s="2484"/>
      <c r="E106" s="2484"/>
      <c r="F106" s="2484"/>
      <c r="G106" s="2485"/>
      <c r="H106" s="2484"/>
      <c r="I106" s="2485"/>
      <c r="J106" s="2484"/>
      <c r="K106" s="2484"/>
      <c r="L106" s="2485"/>
      <c r="M106" s="2484"/>
      <c r="N106" s="2484"/>
      <c r="O106" s="2485"/>
      <c r="P106" s="2484"/>
      <c r="Q106" s="2484"/>
      <c r="R106" s="2486"/>
    </row>
    <row r="107" spans="2:18" s="795" customFormat="1">
      <c r="B107" s="2484"/>
      <c r="C107" s="2484"/>
      <c r="D107" s="2484"/>
      <c r="E107" s="2484"/>
      <c r="F107" s="2484"/>
      <c r="G107" s="2485"/>
      <c r="H107" s="2484"/>
      <c r="I107" s="2485"/>
      <c r="J107" s="2484"/>
      <c r="K107" s="2484"/>
      <c r="L107" s="2485"/>
      <c r="M107" s="2484"/>
      <c r="N107" s="2484"/>
      <c r="O107" s="2485"/>
      <c r="P107" s="2484"/>
      <c r="Q107" s="2484"/>
      <c r="R107" s="2486"/>
    </row>
    <row r="108" spans="2:18" s="795" customFormat="1">
      <c r="B108" s="2484"/>
      <c r="C108" s="2484"/>
      <c r="D108" s="2484"/>
      <c r="E108" s="2484"/>
      <c r="F108" s="2484"/>
      <c r="G108" s="2485"/>
      <c r="H108" s="2484"/>
      <c r="I108" s="2485"/>
      <c r="J108" s="2484"/>
      <c r="K108" s="2484"/>
      <c r="L108" s="2485"/>
      <c r="M108" s="2484"/>
      <c r="N108" s="2484"/>
      <c r="O108" s="2485"/>
      <c r="P108" s="2484"/>
      <c r="Q108" s="2484"/>
      <c r="R108" s="2486"/>
    </row>
    <row r="109" spans="2:18" s="795" customFormat="1">
      <c r="B109" s="2484"/>
      <c r="C109" s="2484"/>
      <c r="D109" s="2484"/>
      <c r="E109" s="2484"/>
      <c r="F109" s="2484"/>
      <c r="G109" s="2485"/>
      <c r="H109" s="2484"/>
      <c r="I109" s="2485"/>
      <c r="J109" s="2484"/>
      <c r="K109" s="2484"/>
      <c r="L109" s="2485"/>
      <c r="M109" s="2484"/>
      <c r="N109" s="2484"/>
      <c r="O109" s="2485"/>
      <c r="P109" s="2484"/>
      <c r="Q109" s="2484"/>
      <c r="R109" s="2486"/>
    </row>
    <row r="110" spans="2:18" s="795" customFormat="1">
      <c r="B110" s="2484"/>
      <c r="C110" s="2484"/>
      <c r="D110" s="2484"/>
      <c r="E110" s="2484"/>
      <c r="F110" s="2484"/>
      <c r="G110" s="2485"/>
      <c r="H110" s="2484"/>
      <c r="I110" s="2485"/>
      <c r="J110" s="2484"/>
      <c r="K110" s="2484"/>
      <c r="L110" s="2485"/>
      <c r="M110" s="2484"/>
      <c r="N110" s="2484"/>
      <c r="O110" s="2485"/>
      <c r="P110" s="2484"/>
      <c r="Q110" s="2484"/>
      <c r="R110" s="2486"/>
    </row>
    <row r="111" spans="2:18" s="795" customFormat="1">
      <c r="B111" s="2484"/>
      <c r="C111" s="2484"/>
      <c r="D111" s="2484"/>
      <c r="E111" s="2484"/>
      <c r="F111" s="2484"/>
      <c r="G111" s="2485"/>
      <c r="H111" s="2484"/>
      <c r="I111" s="2485"/>
      <c r="J111" s="2484"/>
      <c r="K111" s="2484"/>
      <c r="L111" s="2485"/>
      <c r="M111" s="2484"/>
      <c r="N111" s="2484"/>
      <c r="O111" s="2485"/>
      <c r="P111" s="2484"/>
      <c r="Q111" s="2484"/>
      <c r="R111" s="2486"/>
    </row>
    <row r="112" spans="2:18" s="795" customFormat="1">
      <c r="B112" s="2484"/>
      <c r="C112" s="2484"/>
      <c r="D112" s="2484"/>
      <c r="E112" s="2484"/>
      <c r="F112" s="2484"/>
      <c r="G112" s="2485"/>
      <c r="H112" s="2484"/>
      <c r="I112" s="2485"/>
      <c r="J112" s="2484"/>
      <c r="K112" s="2484"/>
      <c r="L112" s="2485"/>
      <c r="M112" s="2484"/>
      <c r="N112" s="2484"/>
      <c r="O112" s="2485"/>
      <c r="P112" s="2484"/>
      <c r="Q112" s="2484"/>
      <c r="R112" s="2486"/>
    </row>
    <row r="113" spans="2:18" s="795" customFormat="1">
      <c r="B113" s="2484"/>
      <c r="C113" s="2484"/>
      <c r="D113" s="2484"/>
      <c r="E113" s="2484"/>
      <c r="F113" s="2484"/>
      <c r="G113" s="2485"/>
      <c r="H113" s="2484"/>
      <c r="I113" s="2485"/>
      <c r="J113" s="2484"/>
      <c r="K113" s="2484"/>
      <c r="L113" s="2485"/>
      <c r="M113" s="2484"/>
      <c r="N113" s="2484"/>
      <c r="O113" s="2485"/>
      <c r="P113" s="2484"/>
      <c r="Q113" s="2484"/>
      <c r="R113" s="2486"/>
    </row>
    <row r="114" spans="2:18" s="795" customFormat="1">
      <c r="B114" s="2484"/>
      <c r="C114" s="2484"/>
      <c r="D114" s="2484"/>
      <c r="E114" s="2484"/>
      <c r="F114" s="2484"/>
      <c r="G114" s="2485"/>
      <c r="H114" s="2484"/>
      <c r="I114" s="2485"/>
      <c r="J114" s="2484"/>
      <c r="K114" s="2484"/>
      <c r="L114" s="2485"/>
      <c r="M114" s="2484"/>
      <c r="N114" s="2484"/>
      <c r="O114" s="2485"/>
      <c r="P114" s="2484"/>
      <c r="Q114" s="2484"/>
      <c r="R114" s="2486"/>
    </row>
    <row r="115" spans="2:18" s="795" customFormat="1">
      <c r="B115" s="2484"/>
      <c r="C115" s="2484"/>
      <c r="D115" s="2484"/>
      <c r="E115" s="2484"/>
      <c r="F115" s="2484"/>
      <c r="G115" s="2485"/>
      <c r="H115" s="2484"/>
      <c r="I115" s="2485"/>
      <c r="J115" s="2484"/>
      <c r="K115" s="2484"/>
      <c r="L115" s="2485"/>
      <c r="M115" s="2484"/>
      <c r="N115" s="2484"/>
      <c r="O115" s="2485"/>
      <c r="P115" s="2484"/>
      <c r="Q115" s="2484"/>
      <c r="R115" s="2486"/>
    </row>
    <row r="116" spans="2:18" s="795" customFormat="1">
      <c r="B116" s="2484"/>
      <c r="C116" s="2484"/>
      <c r="D116" s="2484"/>
      <c r="E116" s="2484"/>
      <c r="F116" s="2484"/>
      <c r="G116" s="2485"/>
      <c r="H116" s="2484"/>
      <c r="I116" s="2485"/>
      <c r="J116" s="2484"/>
      <c r="K116" s="2484"/>
      <c r="L116" s="2485"/>
      <c r="M116" s="2484"/>
      <c r="N116" s="2484"/>
      <c r="O116" s="2485"/>
      <c r="P116" s="2484"/>
      <c r="Q116" s="2484"/>
      <c r="R116" s="2486"/>
    </row>
    <row r="117" spans="2:18" s="795" customFormat="1">
      <c r="B117" s="2484"/>
      <c r="C117" s="2484"/>
      <c r="D117" s="2484"/>
      <c r="E117" s="2484"/>
      <c r="F117" s="2484"/>
      <c r="G117" s="2485"/>
      <c r="H117" s="2484"/>
      <c r="I117" s="2485"/>
      <c r="J117" s="2484"/>
      <c r="K117" s="2484"/>
      <c r="L117" s="2485"/>
      <c r="M117" s="2484"/>
      <c r="N117" s="2484"/>
      <c r="O117" s="2485"/>
      <c r="P117" s="2484"/>
      <c r="Q117" s="2484"/>
      <c r="R117" s="2486"/>
    </row>
    <row r="118" spans="2:18" s="795" customFormat="1">
      <c r="B118" s="2484"/>
      <c r="C118" s="2484"/>
      <c r="D118" s="2484"/>
      <c r="E118" s="2484"/>
      <c r="F118" s="2484"/>
      <c r="G118" s="2485"/>
      <c r="H118" s="2484"/>
      <c r="I118" s="2485"/>
      <c r="J118" s="2484"/>
      <c r="K118" s="2484"/>
      <c r="L118" s="2485"/>
      <c r="M118" s="2484"/>
      <c r="N118" s="2484"/>
      <c r="O118" s="2485"/>
      <c r="P118" s="2484"/>
      <c r="Q118" s="2484"/>
      <c r="R118" s="2486"/>
    </row>
    <row r="119" spans="2:18" s="795" customFormat="1">
      <c r="B119" s="2484"/>
      <c r="C119" s="2484"/>
      <c r="D119" s="2484"/>
      <c r="E119" s="2484"/>
      <c r="F119" s="2484"/>
      <c r="G119" s="2485"/>
      <c r="H119" s="2484"/>
      <c r="I119" s="2485"/>
      <c r="J119" s="2484"/>
      <c r="K119" s="2484"/>
      <c r="L119" s="2485"/>
      <c r="M119" s="2484"/>
      <c r="N119" s="2484"/>
      <c r="O119" s="2485"/>
      <c r="P119" s="2484"/>
      <c r="Q119" s="2484"/>
      <c r="R119" s="2486"/>
    </row>
    <row r="120" spans="2:18" s="795" customFormat="1">
      <c r="B120" s="2484"/>
      <c r="C120" s="2484"/>
      <c r="D120" s="2484"/>
      <c r="E120" s="2484"/>
      <c r="F120" s="2484"/>
      <c r="G120" s="2485"/>
      <c r="H120" s="2484"/>
      <c r="I120" s="2485"/>
      <c r="J120" s="2484"/>
      <c r="K120" s="2484"/>
      <c r="L120" s="2485"/>
      <c r="M120" s="2484"/>
      <c r="N120" s="2484"/>
      <c r="O120" s="2485"/>
      <c r="P120" s="2484"/>
      <c r="Q120" s="2484"/>
      <c r="R120" s="2486"/>
    </row>
    <row r="121" spans="2:18" s="795" customFormat="1">
      <c r="B121" s="2484"/>
      <c r="C121" s="2484"/>
      <c r="D121" s="2484"/>
      <c r="E121" s="2484"/>
      <c r="F121" s="2484"/>
      <c r="G121" s="2485"/>
      <c r="H121" s="2484"/>
      <c r="I121" s="2485"/>
      <c r="J121" s="2484"/>
      <c r="K121" s="2484"/>
      <c r="L121" s="2485"/>
      <c r="M121" s="2484"/>
      <c r="N121" s="2484"/>
      <c r="O121" s="2485"/>
      <c r="P121" s="2484"/>
      <c r="Q121" s="2484"/>
      <c r="R121" s="2486"/>
    </row>
    <row r="122" spans="2:18" s="795" customFormat="1">
      <c r="B122" s="2484"/>
      <c r="C122" s="2484"/>
      <c r="D122" s="2484"/>
      <c r="E122" s="2484"/>
      <c r="F122" s="2484"/>
      <c r="G122" s="2485"/>
      <c r="H122" s="2484"/>
      <c r="I122" s="2485"/>
      <c r="J122" s="2484"/>
      <c r="K122" s="2484"/>
      <c r="L122" s="2485"/>
      <c r="M122" s="2484"/>
      <c r="N122" s="2484"/>
      <c r="O122" s="2485"/>
      <c r="P122" s="2484"/>
      <c r="Q122" s="2484"/>
      <c r="R122" s="2486"/>
    </row>
    <row r="123" spans="2:18" s="795" customFormat="1">
      <c r="B123" s="2484"/>
      <c r="C123" s="2484"/>
      <c r="D123" s="2484"/>
      <c r="E123" s="2484"/>
      <c r="F123" s="2484"/>
      <c r="G123" s="2485"/>
      <c r="H123" s="2484"/>
      <c r="I123" s="2485"/>
      <c r="J123" s="2484"/>
      <c r="K123" s="2484"/>
      <c r="L123" s="2485"/>
      <c r="M123" s="2484"/>
      <c r="N123" s="2484"/>
      <c r="O123" s="2485"/>
      <c r="P123" s="2484"/>
      <c r="Q123" s="2484"/>
      <c r="R123" s="2486"/>
    </row>
    <row r="124" spans="2:18" s="795" customFormat="1">
      <c r="B124" s="2484"/>
      <c r="C124" s="2484"/>
      <c r="D124" s="2484"/>
      <c r="E124" s="2484"/>
      <c r="F124" s="2484"/>
      <c r="G124" s="2485"/>
      <c r="H124" s="2484"/>
      <c r="I124" s="2485"/>
      <c r="J124" s="2484"/>
      <c r="K124" s="2484"/>
      <c r="L124" s="2485"/>
      <c r="M124" s="2484"/>
      <c r="N124" s="2484"/>
      <c r="O124" s="2485"/>
      <c r="P124" s="2484"/>
      <c r="Q124" s="2484"/>
      <c r="R124" s="2486"/>
    </row>
    <row r="125" spans="2:18" s="795" customFormat="1">
      <c r="B125" s="2484"/>
      <c r="C125" s="2484"/>
      <c r="D125" s="2484"/>
      <c r="E125" s="2484"/>
      <c r="F125" s="2484"/>
      <c r="G125" s="2485"/>
      <c r="H125" s="2484"/>
      <c r="I125" s="2485"/>
      <c r="J125" s="2484"/>
      <c r="K125" s="2484"/>
      <c r="L125" s="2485"/>
      <c r="M125" s="2484"/>
      <c r="N125" s="2484"/>
      <c r="O125" s="2485"/>
      <c r="P125" s="2484"/>
      <c r="Q125" s="2484"/>
      <c r="R125" s="2486"/>
    </row>
    <row r="126" spans="2:18" s="795" customFormat="1">
      <c r="B126" s="2484"/>
      <c r="C126" s="2484"/>
      <c r="D126" s="2484"/>
      <c r="E126" s="2484"/>
      <c r="F126" s="2484"/>
      <c r="G126" s="2485"/>
      <c r="H126" s="2484"/>
      <c r="I126" s="2485"/>
      <c r="J126" s="2484"/>
      <c r="K126" s="2484"/>
      <c r="L126" s="2485"/>
      <c r="M126" s="2484"/>
      <c r="N126" s="2484"/>
      <c r="O126" s="2485"/>
      <c r="P126" s="2484"/>
      <c r="Q126" s="2484"/>
      <c r="R126" s="2486"/>
    </row>
    <row r="127" spans="2:18" s="795" customFormat="1">
      <c r="B127" s="2484"/>
      <c r="C127" s="2484"/>
      <c r="D127" s="2484"/>
      <c r="E127" s="2484"/>
      <c r="F127" s="2484"/>
      <c r="G127" s="2485"/>
      <c r="H127" s="2484"/>
      <c r="I127" s="2485"/>
      <c r="J127" s="2484"/>
      <c r="K127" s="2484"/>
      <c r="L127" s="2485"/>
      <c r="M127" s="2484"/>
      <c r="N127" s="2484"/>
      <c r="O127" s="2485"/>
      <c r="P127" s="2484"/>
      <c r="Q127" s="2484"/>
      <c r="R127" s="2486"/>
    </row>
    <row r="128" spans="2:18" s="795" customFormat="1">
      <c r="B128" s="2484"/>
      <c r="C128" s="2484"/>
      <c r="D128" s="2484"/>
      <c r="E128" s="2484"/>
      <c r="F128" s="2484"/>
      <c r="G128" s="2485"/>
      <c r="H128" s="2484"/>
      <c r="I128" s="2485"/>
      <c r="J128" s="2484"/>
      <c r="K128" s="2484"/>
      <c r="L128" s="2485"/>
      <c r="M128" s="2484"/>
      <c r="N128" s="2484"/>
      <c r="O128" s="2485"/>
      <c r="P128" s="2484"/>
      <c r="Q128" s="2484"/>
      <c r="R128" s="2486"/>
    </row>
    <row r="129" spans="2:18" s="795" customFormat="1">
      <c r="B129" s="2484"/>
      <c r="C129" s="2484"/>
      <c r="D129" s="2484"/>
      <c r="E129" s="2484"/>
      <c r="F129" s="2484"/>
      <c r="G129" s="2485"/>
      <c r="H129" s="2484"/>
      <c r="I129" s="2485"/>
      <c r="J129" s="2484"/>
      <c r="K129" s="2484"/>
      <c r="L129" s="2485"/>
      <c r="M129" s="2484"/>
      <c r="N129" s="2484"/>
      <c r="O129" s="2485"/>
      <c r="P129" s="2484"/>
      <c r="Q129" s="2484"/>
      <c r="R129" s="2486"/>
    </row>
    <row r="130" spans="2:18" s="795" customFormat="1">
      <c r="B130" s="2484"/>
      <c r="C130" s="2484"/>
      <c r="D130" s="2484"/>
      <c r="E130" s="2484"/>
      <c r="F130" s="2484"/>
      <c r="G130" s="2485"/>
      <c r="H130" s="2484"/>
      <c r="I130" s="2485"/>
      <c r="J130" s="2484"/>
      <c r="K130" s="2484"/>
      <c r="L130" s="2485"/>
      <c r="M130" s="2484"/>
      <c r="N130" s="2484"/>
      <c r="O130" s="2485"/>
      <c r="P130" s="2484"/>
      <c r="Q130" s="2484"/>
      <c r="R130" s="2486"/>
    </row>
    <row r="131" spans="2:18" s="795" customFormat="1">
      <c r="B131" s="2484"/>
      <c r="C131" s="2484"/>
      <c r="D131" s="2484"/>
      <c r="E131" s="2484"/>
      <c r="F131" s="2484"/>
      <c r="G131" s="2485"/>
      <c r="H131" s="2484"/>
      <c r="I131" s="2485"/>
      <c r="J131" s="2484"/>
      <c r="K131" s="2484"/>
      <c r="L131" s="2485"/>
      <c r="M131" s="2484"/>
      <c r="N131" s="2484"/>
      <c r="O131" s="2485"/>
      <c r="P131" s="2484"/>
      <c r="Q131" s="2484"/>
      <c r="R131" s="2486"/>
    </row>
    <row r="132" spans="2:18" s="795" customFormat="1">
      <c r="B132" s="2484"/>
      <c r="C132" s="2484"/>
      <c r="D132" s="2484"/>
      <c r="E132" s="2484"/>
      <c r="F132" s="2484"/>
      <c r="G132" s="2485"/>
      <c r="H132" s="2484"/>
      <c r="I132" s="2485"/>
      <c r="J132" s="2484"/>
      <c r="K132" s="2484"/>
      <c r="L132" s="2485"/>
      <c r="M132" s="2484"/>
      <c r="N132" s="2484"/>
      <c r="O132" s="2485"/>
      <c r="P132" s="2484"/>
      <c r="Q132" s="2484"/>
      <c r="R132" s="2486"/>
    </row>
    <row r="133" spans="2:18" s="795" customFormat="1">
      <c r="B133" s="2484"/>
      <c r="C133" s="2484"/>
      <c r="D133" s="2484"/>
      <c r="E133" s="2484"/>
      <c r="F133" s="2484"/>
      <c r="G133" s="2485"/>
      <c r="H133" s="2484"/>
      <c r="I133" s="2485"/>
      <c r="J133" s="2484"/>
      <c r="K133" s="2484"/>
      <c r="L133" s="2485"/>
      <c r="M133" s="2484"/>
      <c r="N133" s="2484"/>
      <c r="O133" s="2485"/>
      <c r="P133" s="2484"/>
      <c r="Q133" s="2484"/>
      <c r="R133" s="2486"/>
    </row>
    <row r="134" spans="2:18" s="795" customFormat="1">
      <c r="B134" s="2484"/>
      <c r="C134" s="2484"/>
      <c r="D134" s="2484"/>
      <c r="E134" s="2484"/>
      <c r="F134" s="2484"/>
      <c r="G134" s="2485"/>
      <c r="H134" s="2484"/>
      <c r="I134" s="2485"/>
      <c r="J134" s="2484"/>
      <c r="K134" s="2484"/>
      <c r="L134" s="2485"/>
      <c r="M134" s="2484"/>
      <c r="N134" s="2484"/>
      <c r="O134" s="2485"/>
      <c r="P134" s="2484"/>
      <c r="Q134" s="2484"/>
      <c r="R134" s="2486"/>
    </row>
    <row r="135" spans="2:18" s="795" customFormat="1">
      <c r="B135" s="2484"/>
      <c r="C135" s="2484"/>
      <c r="D135" s="2484"/>
      <c r="E135" s="2484"/>
      <c r="F135" s="2484"/>
      <c r="G135" s="2485"/>
      <c r="H135" s="2484"/>
      <c r="I135" s="2485"/>
      <c r="J135" s="2484"/>
      <c r="K135" s="2484"/>
      <c r="L135" s="2485"/>
      <c r="M135" s="2484"/>
      <c r="N135" s="2484"/>
      <c r="O135" s="2485"/>
      <c r="P135" s="2484"/>
      <c r="Q135" s="2484"/>
      <c r="R135" s="2486"/>
    </row>
    <row r="136" spans="2:18" s="795" customFormat="1">
      <c r="B136" s="2484"/>
      <c r="C136" s="2484"/>
      <c r="D136" s="2484"/>
      <c r="E136" s="2484"/>
      <c r="F136" s="2484"/>
      <c r="G136" s="2485"/>
      <c r="H136" s="2484"/>
      <c r="I136" s="2485"/>
      <c r="J136" s="2484"/>
      <c r="K136" s="2484"/>
      <c r="L136" s="2485"/>
      <c r="M136" s="2484"/>
      <c r="N136" s="2484"/>
      <c r="O136" s="2485"/>
      <c r="P136" s="2484"/>
      <c r="Q136" s="2484"/>
      <c r="R136" s="2486"/>
    </row>
    <row r="137" spans="2:18" s="795" customFormat="1">
      <c r="B137" s="2484"/>
      <c r="C137" s="2484"/>
      <c r="D137" s="2484"/>
      <c r="E137" s="2484"/>
      <c r="F137" s="2484"/>
      <c r="G137" s="2485"/>
      <c r="H137" s="2484"/>
      <c r="I137" s="2485"/>
      <c r="J137" s="2484"/>
      <c r="K137" s="2484"/>
      <c r="L137" s="2485"/>
      <c r="M137" s="2484"/>
      <c r="N137" s="2484"/>
      <c r="O137" s="2485"/>
      <c r="P137" s="2484"/>
      <c r="Q137" s="2484"/>
      <c r="R137" s="2486"/>
    </row>
    <row r="138" spans="2:18" s="795" customFormat="1">
      <c r="B138" s="2484"/>
      <c r="C138" s="2484"/>
      <c r="D138" s="2484"/>
      <c r="E138" s="2484"/>
      <c r="F138" s="2484"/>
      <c r="G138" s="2485"/>
      <c r="H138" s="2484"/>
      <c r="I138" s="2485"/>
      <c r="J138" s="2484"/>
      <c r="K138" s="2484"/>
      <c r="L138" s="2485"/>
      <c r="M138" s="2484"/>
      <c r="N138" s="2484"/>
      <c r="O138" s="2485"/>
      <c r="P138" s="2484"/>
      <c r="Q138" s="2484"/>
      <c r="R138" s="2486"/>
    </row>
    <row r="139" spans="2:18" s="795" customFormat="1">
      <c r="B139" s="2484"/>
      <c r="C139" s="2484"/>
      <c r="D139" s="2484"/>
      <c r="E139" s="2484"/>
      <c r="F139" s="2484"/>
      <c r="G139" s="2485"/>
      <c r="H139" s="2484"/>
      <c r="I139" s="2485"/>
      <c r="J139" s="2484"/>
      <c r="K139" s="2484"/>
      <c r="L139" s="2485"/>
      <c r="M139" s="2484"/>
      <c r="N139" s="2484"/>
      <c r="O139" s="2485"/>
      <c r="P139" s="2484"/>
      <c r="Q139" s="2484"/>
      <c r="R139" s="2486"/>
    </row>
    <row r="140" spans="2:18" s="795" customFormat="1">
      <c r="B140" s="2484"/>
      <c r="C140" s="2484"/>
      <c r="D140" s="2484"/>
      <c r="E140" s="2484"/>
      <c r="F140" s="2484"/>
      <c r="G140" s="2485"/>
      <c r="H140" s="2484"/>
      <c r="I140" s="2485"/>
      <c r="J140" s="2484"/>
      <c r="K140" s="2484"/>
      <c r="L140" s="2485"/>
      <c r="M140" s="2484"/>
      <c r="N140" s="2484"/>
      <c r="O140" s="2485"/>
      <c r="P140" s="2484"/>
      <c r="Q140" s="2484"/>
      <c r="R140" s="2486"/>
    </row>
    <row r="141" spans="2:18" s="795" customFormat="1">
      <c r="B141" s="2484"/>
      <c r="C141" s="2484"/>
      <c r="D141" s="2484"/>
      <c r="E141" s="2484"/>
      <c r="F141" s="2484"/>
      <c r="G141" s="2485"/>
      <c r="H141" s="2484"/>
      <c r="I141" s="2485"/>
      <c r="J141" s="2484"/>
      <c r="K141" s="2484"/>
      <c r="L141" s="2485"/>
      <c r="M141" s="2484"/>
      <c r="N141" s="2484"/>
      <c r="O141" s="2485"/>
      <c r="P141" s="2484"/>
      <c r="Q141" s="2484"/>
      <c r="R141" s="2486"/>
    </row>
    <row r="142" spans="2:18" s="795" customFormat="1">
      <c r="B142" s="2484"/>
      <c r="C142" s="2484"/>
      <c r="D142" s="2484"/>
      <c r="E142" s="2484"/>
      <c r="F142" s="2484"/>
      <c r="G142" s="2485"/>
      <c r="H142" s="2484"/>
      <c r="I142" s="2485"/>
      <c r="J142" s="2484"/>
      <c r="K142" s="2484"/>
      <c r="L142" s="2485"/>
      <c r="M142" s="2484"/>
      <c r="N142" s="2484"/>
      <c r="O142" s="2485"/>
      <c r="P142" s="2484"/>
      <c r="Q142" s="2484"/>
      <c r="R142" s="2486"/>
    </row>
    <row r="143" spans="2:18" s="795" customFormat="1">
      <c r="B143" s="2484"/>
      <c r="C143" s="2484"/>
      <c r="D143" s="2484"/>
      <c r="E143" s="2484"/>
      <c r="F143" s="2484"/>
      <c r="G143" s="2485"/>
      <c r="H143" s="2484"/>
      <c r="I143" s="2485"/>
      <c r="J143" s="2484"/>
      <c r="K143" s="2484"/>
      <c r="L143" s="2485"/>
      <c r="M143" s="2484"/>
      <c r="N143" s="2484"/>
      <c r="O143" s="2485"/>
      <c r="P143" s="2484"/>
      <c r="Q143" s="2484"/>
      <c r="R143" s="2486"/>
    </row>
    <row r="144" spans="2:18" s="795" customFormat="1">
      <c r="B144" s="2484"/>
      <c r="C144" s="2484"/>
      <c r="D144" s="2484"/>
      <c r="E144" s="2484"/>
      <c r="F144" s="2484"/>
      <c r="G144" s="2485"/>
      <c r="H144" s="2484"/>
      <c r="I144" s="2485"/>
      <c r="J144" s="2484"/>
      <c r="K144" s="2484"/>
      <c r="L144" s="2485"/>
      <c r="M144" s="2484"/>
      <c r="N144" s="2484"/>
      <c r="O144" s="2485"/>
      <c r="P144" s="2484"/>
      <c r="Q144" s="2484"/>
      <c r="R144" s="2486"/>
    </row>
    <row r="145" spans="2:18" s="795" customFormat="1">
      <c r="B145" s="2484"/>
      <c r="C145" s="2484"/>
      <c r="D145" s="2484"/>
      <c r="E145" s="2484"/>
      <c r="F145" s="2484"/>
      <c r="G145" s="2485"/>
      <c r="H145" s="2484"/>
      <c r="I145" s="2485"/>
      <c r="J145" s="2484"/>
      <c r="K145" s="2484"/>
      <c r="L145" s="2485"/>
      <c r="M145" s="2484"/>
      <c r="N145" s="2484"/>
      <c r="O145" s="2485"/>
      <c r="P145" s="2484"/>
      <c r="Q145" s="2484"/>
      <c r="R145" s="2486"/>
    </row>
    <row r="146" spans="2:18" s="795" customFormat="1">
      <c r="B146" s="2484"/>
      <c r="C146" s="2484"/>
      <c r="D146" s="2484"/>
      <c r="E146" s="2484"/>
      <c r="F146" s="2484"/>
      <c r="G146" s="2485"/>
      <c r="H146" s="2484"/>
      <c r="I146" s="2485"/>
      <c r="J146" s="2484"/>
      <c r="K146" s="2484"/>
      <c r="L146" s="2485"/>
      <c r="M146" s="2484"/>
      <c r="N146" s="2484"/>
      <c r="O146" s="2485"/>
      <c r="P146" s="2484"/>
      <c r="Q146" s="2484"/>
      <c r="R146" s="2486"/>
    </row>
    <row r="147" spans="2:18" s="795" customFormat="1">
      <c r="B147" s="2484"/>
      <c r="C147" s="2484"/>
      <c r="D147" s="2484"/>
      <c r="E147" s="2484"/>
      <c r="F147" s="2484"/>
      <c r="G147" s="2485"/>
      <c r="H147" s="2484"/>
      <c r="I147" s="2485"/>
      <c r="J147" s="2484"/>
      <c r="K147" s="2484"/>
      <c r="L147" s="2485"/>
      <c r="M147" s="2484"/>
      <c r="N147" s="2484"/>
      <c r="O147" s="2485"/>
      <c r="P147" s="2484"/>
      <c r="Q147" s="2484"/>
      <c r="R147" s="2486"/>
    </row>
    <row r="148" spans="2:18" s="795" customFormat="1">
      <c r="B148" s="2484"/>
      <c r="C148" s="2484"/>
      <c r="D148" s="2484"/>
      <c r="E148" s="2484"/>
      <c r="F148" s="2484"/>
      <c r="G148" s="2485"/>
      <c r="H148" s="2484"/>
      <c r="I148" s="2485"/>
      <c r="J148" s="2484"/>
      <c r="K148" s="2484"/>
      <c r="L148" s="2485"/>
      <c r="M148" s="2484"/>
      <c r="N148" s="2484"/>
      <c r="O148" s="2485"/>
      <c r="P148" s="2484"/>
      <c r="Q148" s="2484"/>
      <c r="R148" s="2486"/>
    </row>
    <row r="149" spans="2:18" s="795" customFormat="1">
      <c r="B149" s="2484"/>
      <c r="C149" s="2484"/>
      <c r="D149" s="2484"/>
      <c r="E149" s="2484"/>
      <c r="F149" s="2484"/>
      <c r="G149" s="2485"/>
      <c r="H149" s="2484"/>
      <c r="I149" s="2485"/>
      <c r="J149" s="2484"/>
      <c r="K149" s="2484"/>
      <c r="L149" s="2485"/>
      <c r="M149" s="2484"/>
      <c r="N149" s="2484"/>
      <c r="O149" s="2485"/>
      <c r="P149" s="2484"/>
      <c r="Q149" s="2484"/>
      <c r="R149" s="2486"/>
    </row>
    <row r="150" spans="2:18" s="795" customFormat="1">
      <c r="B150" s="2484"/>
      <c r="C150" s="2484"/>
      <c r="D150" s="2484"/>
      <c r="E150" s="2484"/>
      <c r="F150" s="2484"/>
      <c r="G150" s="2485"/>
      <c r="H150" s="2484"/>
      <c r="I150" s="2485"/>
      <c r="J150" s="2484"/>
      <c r="K150" s="2484"/>
      <c r="L150" s="2485"/>
      <c r="M150" s="2484"/>
      <c r="N150" s="2484"/>
      <c r="O150" s="2485"/>
      <c r="P150" s="2484"/>
      <c r="Q150" s="2484"/>
      <c r="R150" s="2486"/>
    </row>
    <row r="151" spans="2:18" s="795" customFormat="1">
      <c r="B151" s="2484"/>
      <c r="C151" s="2484"/>
      <c r="D151" s="2484"/>
      <c r="E151" s="2484"/>
      <c r="F151" s="2484"/>
      <c r="G151" s="2485"/>
      <c r="H151" s="2484"/>
      <c r="I151" s="2485"/>
      <c r="J151" s="2484"/>
      <c r="K151" s="2484"/>
      <c r="L151" s="2485"/>
      <c r="M151" s="2484"/>
      <c r="N151" s="2484"/>
      <c r="O151" s="2485"/>
      <c r="P151" s="2484"/>
      <c r="Q151" s="2484"/>
      <c r="R151" s="2486"/>
    </row>
    <row r="152" spans="2:18" s="795" customFormat="1">
      <c r="B152" s="2484"/>
      <c r="C152" s="2484"/>
      <c r="D152" s="2484"/>
      <c r="E152" s="2484"/>
      <c r="F152" s="2484"/>
      <c r="G152" s="2485"/>
      <c r="H152" s="2484"/>
      <c r="I152" s="2485"/>
      <c r="J152" s="2484"/>
      <c r="K152" s="2484"/>
      <c r="L152" s="2485"/>
      <c r="M152" s="2484"/>
      <c r="N152" s="2484"/>
      <c r="O152" s="2485"/>
      <c r="P152" s="2484"/>
      <c r="Q152" s="2484"/>
      <c r="R152" s="2486"/>
    </row>
    <row r="153" spans="2:18" s="795" customFormat="1">
      <c r="B153" s="2484"/>
      <c r="C153" s="2484"/>
      <c r="D153" s="2484"/>
      <c r="E153" s="2484"/>
      <c r="F153" s="2484"/>
      <c r="G153" s="2485"/>
      <c r="H153" s="2484"/>
      <c r="I153" s="2485"/>
      <c r="J153" s="2484"/>
      <c r="K153" s="2484"/>
      <c r="L153" s="2485"/>
      <c r="M153" s="2484"/>
      <c r="N153" s="2484"/>
      <c r="O153" s="2485"/>
      <c r="P153" s="2484"/>
      <c r="Q153" s="2484"/>
      <c r="R153" s="2486"/>
    </row>
    <row r="154" spans="2:18" s="795" customFormat="1">
      <c r="B154" s="2484"/>
      <c r="C154" s="2484"/>
      <c r="D154" s="2484"/>
      <c r="E154" s="2484"/>
      <c r="F154" s="2484"/>
      <c r="G154" s="2485"/>
      <c r="H154" s="2484"/>
      <c r="I154" s="2485"/>
      <c r="J154" s="2484"/>
      <c r="K154" s="2484"/>
      <c r="L154" s="2485"/>
      <c r="M154" s="2484"/>
      <c r="N154" s="2484"/>
      <c r="O154" s="2485"/>
      <c r="P154" s="2484"/>
      <c r="Q154" s="2484"/>
      <c r="R154" s="2486"/>
    </row>
    <row r="155" spans="2:18" s="795" customFormat="1">
      <c r="B155" s="2484"/>
      <c r="C155" s="2484"/>
      <c r="D155" s="2484"/>
      <c r="E155" s="2484"/>
      <c r="F155" s="2484"/>
      <c r="G155" s="2485"/>
      <c r="H155" s="2484"/>
      <c r="I155" s="2485"/>
      <c r="J155" s="2484"/>
      <c r="K155" s="2484"/>
      <c r="L155" s="2485"/>
      <c r="M155" s="2484"/>
      <c r="N155" s="2484"/>
      <c r="O155" s="2485"/>
      <c r="P155" s="2484"/>
      <c r="Q155" s="2484"/>
      <c r="R155" s="2486"/>
    </row>
    <row r="156" spans="2:18" s="795" customFormat="1">
      <c r="B156" s="2484"/>
      <c r="C156" s="2484"/>
      <c r="D156" s="2484"/>
      <c r="E156" s="2484"/>
      <c r="F156" s="2484"/>
      <c r="G156" s="2485"/>
      <c r="H156" s="2484"/>
      <c r="I156" s="2485"/>
      <c r="J156" s="2484"/>
      <c r="K156" s="2484"/>
      <c r="L156" s="2485"/>
      <c r="M156" s="2484"/>
      <c r="N156" s="2484"/>
      <c r="O156" s="2485"/>
      <c r="P156" s="2484"/>
      <c r="Q156" s="2484"/>
      <c r="R156" s="2486"/>
    </row>
    <row r="157" spans="2:18" s="795" customFormat="1">
      <c r="B157" s="2484"/>
      <c r="C157" s="2484"/>
      <c r="D157" s="2484"/>
      <c r="E157" s="2484"/>
      <c r="F157" s="2484"/>
      <c r="G157" s="2485"/>
      <c r="H157" s="2484"/>
      <c r="I157" s="2485"/>
      <c r="J157" s="2484"/>
      <c r="K157" s="2484"/>
      <c r="L157" s="2485"/>
      <c r="M157" s="2484"/>
      <c r="N157" s="2484"/>
      <c r="O157" s="2485"/>
      <c r="P157" s="2484"/>
      <c r="Q157" s="2484"/>
      <c r="R157" s="2486"/>
    </row>
    <row r="158" spans="2:18" s="795" customFormat="1">
      <c r="B158" s="2484"/>
      <c r="C158" s="2484"/>
      <c r="D158" s="2484"/>
      <c r="E158" s="2484"/>
      <c r="F158" s="2484"/>
      <c r="G158" s="2485"/>
      <c r="H158" s="2484"/>
      <c r="I158" s="2485"/>
      <c r="J158" s="2484"/>
      <c r="K158" s="2484"/>
      <c r="L158" s="2485"/>
      <c r="M158" s="2484"/>
      <c r="N158" s="2484"/>
      <c r="O158" s="2485"/>
      <c r="P158" s="2484"/>
      <c r="Q158" s="2484"/>
      <c r="R158" s="2486"/>
    </row>
    <row r="159" spans="2:18" s="795" customFormat="1">
      <c r="B159" s="2484"/>
      <c r="C159" s="2484"/>
      <c r="D159" s="2484"/>
      <c r="E159" s="2484"/>
      <c r="F159" s="2484"/>
      <c r="G159" s="2485"/>
      <c r="H159" s="2484"/>
      <c r="I159" s="2485"/>
      <c r="J159" s="2484"/>
      <c r="K159" s="2484"/>
      <c r="L159" s="2485"/>
      <c r="M159" s="2484"/>
      <c r="N159" s="2484"/>
      <c r="O159" s="2485"/>
      <c r="P159" s="2484"/>
      <c r="Q159" s="2484"/>
      <c r="R159" s="2486"/>
    </row>
    <row r="160" spans="2:18" s="795" customFormat="1">
      <c r="B160" s="2484"/>
      <c r="C160" s="2484"/>
      <c r="D160" s="2484"/>
      <c r="E160" s="2484"/>
      <c r="F160" s="2484"/>
      <c r="G160" s="2485"/>
      <c r="H160" s="2484"/>
      <c r="I160" s="2485"/>
      <c r="J160" s="2484"/>
      <c r="K160" s="2484"/>
      <c r="L160" s="2485"/>
      <c r="M160" s="2484"/>
      <c r="N160" s="2484"/>
      <c r="O160" s="2485"/>
      <c r="P160" s="2484"/>
      <c r="Q160" s="2484"/>
      <c r="R160" s="2486"/>
    </row>
    <row r="161" spans="2:18" s="795" customFormat="1">
      <c r="B161" s="2484"/>
      <c r="C161" s="2484"/>
      <c r="D161" s="2484"/>
      <c r="E161" s="2484"/>
      <c r="F161" s="2484"/>
      <c r="G161" s="2485"/>
      <c r="H161" s="2484"/>
      <c r="I161" s="2485"/>
      <c r="J161" s="2484"/>
      <c r="K161" s="2484"/>
      <c r="L161" s="2485"/>
      <c r="M161" s="2484"/>
      <c r="N161" s="2484"/>
      <c r="O161" s="2485"/>
      <c r="P161" s="2484"/>
      <c r="Q161" s="2484"/>
      <c r="R161" s="2486"/>
    </row>
    <row r="162" spans="2:18" s="795" customFormat="1">
      <c r="B162" s="2484"/>
      <c r="C162" s="2484"/>
      <c r="D162" s="2484"/>
      <c r="E162" s="2484"/>
      <c r="F162" s="2484"/>
      <c r="G162" s="2485"/>
      <c r="H162" s="2484"/>
      <c r="I162" s="2485"/>
      <c r="J162" s="2484"/>
      <c r="K162" s="2484"/>
      <c r="L162" s="2485"/>
      <c r="M162" s="2484"/>
      <c r="N162" s="2484"/>
      <c r="O162" s="2485"/>
      <c r="P162" s="2484"/>
      <c r="Q162" s="2484"/>
      <c r="R162" s="2486"/>
    </row>
    <row r="163" spans="2:18" s="795" customFormat="1">
      <c r="B163" s="2484"/>
      <c r="C163" s="2484"/>
      <c r="D163" s="2484"/>
      <c r="E163" s="2484"/>
      <c r="F163" s="2484"/>
      <c r="G163" s="2485"/>
      <c r="H163" s="2484"/>
      <c r="I163" s="2485"/>
      <c r="J163" s="2484"/>
      <c r="K163" s="2484"/>
      <c r="L163" s="2485"/>
      <c r="M163" s="2484"/>
      <c r="N163" s="2484"/>
      <c r="O163" s="2485"/>
      <c r="P163" s="2484"/>
      <c r="Q163" s="2484"/>
      <c r="R163" s="2486"/>
    </row>
    <row r="164" spans="2:18" s="795" customFormat="1">
      <c r="B164" s="2484"/>
      <c r="C164" s="2484"/>
      <c r="D164" s="2484"/>
      <c r="E164" s="2484"/>
      <c r="F164" s="2484"/>
      <c r="G164" s="2485"/>
      <c r="H164" s="2484"/>
      <c r="I164" s="2485"/>
      <c r="J164" s="2484"/>
      <c r="K164" s="2484"/>
      <c r="L164" s="2485"/>
      <c r="M164" s="2484"/>
      <c r="N164" s="2484"/>
      <c r="O164" s="2485"/>
      <c r="P164" s="2484"/>
      <c r="Q164" s="2484"/>
      <c r="R164" s="2486"/>
    </row>
    <row r="165" spans="2:18" s="795" customFormat="1">
      <c r="B165" s="2484"/>
      <c r="C165" s="2484"/>
      <c r="D165" s="2484"/>
      <c r="E165" s="2484"/>
      <c r="F165" s="2484"/>
      <c r="G165" s="2485"/>
      <c r="H165" s="2484"/>
      <c r="I165" s="2485"/>
      <c r="J165" s="2484"/>
      <c r="K165" s="2484"/>
      <c r="L165" s="2485"/>
      <c r="M165" s="2484"/>
      <c r="N165" s="2484"/>
      <c r="O165" s="2485"/>
      <c r="P165" s="2484"/>
      <c r="Q165" s="2484"/>
      <c r="R165" s="2486"/>
    </row>
    <row r="166" spans="2:18" s="795" customFormat="1">
      <c r="B166" s="2484"/>
      <c r="C166" s="2484"/>
      <c r="D166" s="2484"/>
      <c r="E166" s="2484"/>
      <c r="F166" s="2484"/>
      <c r="G166" s="2485"/>
      <c r="H166" s="2484"/>
      <c r="I166" s="2485"/>
      <c r="J166" s="2484"/>
      <c r="K166" s="2484"/>
      <c r="L166" s="2485"/>
      <c r="M166" s="2484"/>
      <c r="N166" s="2484"/>
      <c r="O166" s="2485"/>
      <c r="P166" s="2484"/>
      <c r="Q166" s="2484"/>
      <c r="R166" s="2486"/>
    </row>
    <row r="167" spans="2:18" s="795" customFormat="1">
      <c r="B167" s="2484"/>
      <c r="C167" s="2484"/>
      <c r="D167" s="2484"/>
      <c r="E167" s="2484"/>
      <c r="F167" s="2484"/>
      <c r="G167" s="2485"/>
      <c r="H167" s="2484"/>
      <c r="I167" s="2485"/>
      <c r="J167" s="2484"/>
      <c r="K167" s="2484"/>
      <c r="L167" s="2485"/>
      <c r="M167" s="2484"/>
      <c r="N167" s="2484"/>
      <c r="O167" s="2485"/>
      <c r="P167" s="2484"/>
      <c r="Q167" s="2484"/>
      <c r="R167" s="2486"/>
    </row>
    <row r="168" spans="2:18" s="795" customFormat="1">
      <c r="B168" s="2484"/>
      <c r="C168" s="2484"/>
      <c r="D168" s="2484"/>
      <c r="E168" s="2484"/>
      <c r="F168" s="2484"/>
      <c r="G168" s="2485"/>
      <c r="H168" s="2484"/>
      <c r="I168" s="2485"/>
      <c r="J168" s="2484"/>
      <c r="K168" s="2484"/>
      <c r="L168" s="2485"/>
      <c r="M168" s="2484"/>
      <c r="N168" s="2484"/>
      <c r="O168" s="2485"/>
      <c r="P168" s="2484"/>
      <c r="Q168" s="2484"/>
      <c r="R168" s="2486"/>
    </row>
    <row r="169" spans="2:18" s="795" customFormat="1">
      <c r="B169" s="2484"/>
      <c r="C169" s="2484"/>
      <c r="D169" s="2484"/>
      <c r="E169" s="2484"/>
      <c r="F169" s="2484"/>
      <c r="G169" s="2485"/>
      <c r="H169" s="2484"/>
      <c r="I169" s="2485"/>
      <c r="J169" s="2484"/>
      <c r="K169" s="2484"/>
      <c r="L169" s="2485"/>
      <c r="M169" s="2484"/>
      <c r="N169" s="2484"/>
      <c r="O169" s="2485"/>
      <c r="P169" s="2484"/>
      <c r="Q169" s="2484"/>
      <c r="R169" s="2486"/>
    </row>
    <row r="170" spans="2:18" s="795" customFormat="1">
      <c r="B170" s="2484"/>
      <c r="C170" s="2484"/>
      <c r="D170" s="2484"/>
      <c r="E170" s="2484"/>
      <c r="F170" s="2484"/>
      <c r="G170" s="2485"/>
      <c r="H170" s="2484"/>
      <c r="I170" s="2485"/>
      <c r="J170" s="2484"/>
      <c r="K170" s="2484"/>
      <c r="L170" s="2485"/>
      <c r="M170" s="2484"/>
      <c r="N170" s="2484"/>
      <c r="O170" s="2485"/>
      <c r="P170" s="2484"/>
      <c r="Q170" s="2484"/>
      <c r="R170" s="2486"/>
    </row>
    <row r="171" spans="2:18" s="795" customFormat="1">
      <c r="B171" s="2484"/>
      <c r="C171" s="2484"/>
      <c r="D171" s="2484"/>
      <c r="E171" s="2484"/>
      <c r="F171" s="2484"/>
      <c r="G171" s="2485"/>
      <c r="H171" s="2484"/>
      <c r="I171" s="2485"/>
      <c r="J171" s="2484"/>
      <c r="K171" s="2484"/>
      <c r="L171" s="2485"/>
      <c r="M171" s="2484"/>
      <c r="N171" s="2484"/>
      <c r="O171" s="2485"/>
      <c r="P171" s="2484"/>
      <c r="Q171" s="2484"/>
      <c r="R171" s="2486"/>
    </row>
    <row r="172" spans="2:18" s="795" customFormat="1">
      <c r="B172" s="2484"/>
      <c r="C172" s="2484"/>
      <c r="D172" s="2484"/>
      <c r="E172" s="2484"/>
      <c r="F172" s="2484"/>
      <c r="G172" s="2485"/>
      <c r="H172" s="2484"/>
      <c r="I172" s="2485"/>
      <c r="J172" s="2484"/>
      <c r="K172" s="2484"/>
      <c r="L172" s="2485"/>
      <c r="M172" s="2484"/>
      <c r="N172" s="2484"/>
      <c r="O172" s="2485"/>
      <c r="P172" s="2484"/>
      <c r="Q172" s="2484"/>
      <c r="R172" s="2486"/>
    </row>
    <row r="173" spans="2:18" s="795" customFormat="1">
      <c r="B173" s="2484"/>
      <c r="C173" s="2484"/>
      <c r="D173" s="2484"/>
      <c r="E173" s="2484"/>
      <c r="F173" s="2484"/>
      <c r="G173" s="2485"/>
      <c r="H173" s="2484"/>
      <c r="I173" s="2485"/>
      <c r="J173" s="2484"/>
      <c r="K173" s="2484"/>
      <c r="L173" s="2485"/>
      <c r="M173" s="2484"/>
      <c r="N173" s="2484"/>
      <c r="O173" s="2485"/>
      <c r="P173" s="2484"/>
      <c r="Q173" s="2484"/>
      <c r="R173" s="2486"/>
    </row>
    <row r="174" spans="2:18" s="795" customFormat="1">
      <c r="B174" s="2484"/>
      <c r="C174" s="2484"/>
      <c r="D174" s="2484"/>
      <c r="E174" s="2484"/>
      <c r="F174" s="2484"/>
      <c r="G174" s="2485"/>
      <c r="H174" s="2484"/>
      <c r="I174" s="2485"/>
      <c r="J174" s="2484"/>
      <c r="K174" s="2484"/>
      <c r="L174" s="2485"/>
      <c r="M174" s="2484"/>
      <c r="N174" s="2484"/>
      <c r="O174" s="2485"/>
      <c r="P174" s="2484"/>
      <c r="Q174" s="2484"/>
      <c r="R174" s="2486"/>
    </row>
    <row r="175" spans="2:18" s="795" customFormat="1">
      <c r="B175" s="2484"/>
      <c r="C175" s="2484"/>
      <c r="D175" s="2484"/>
      <c r="E175" s="2484"/>
      <c r="F175" s="2484"/>
      <c r="G175" s="2485"/>
      <c r="H175" s="2484"/>
      <c r="I175" s="2485"/>
      <c r="J175" s="2484"/>
      <c r="K175" s="2484"/>
      <c r="L175" s="2485"/>
      <c r="M175" s="2484"/>
      <c r="N175" s="2484"/>
      <c r="O175" s="2485"/>
      <c r="P175" s="2484"/>
      <c r="Q175" s="2484"/>
      <c r="R175" s="2486"/>
    </row>
    <row r="176" spans="2:18" s="795" customFormat="1">
      <c r="B176" s="2484"/>
      <c r="C176" s="2484"/>
      <c r="D176" s="2484"/>
      <c r="E176" s="2484"/>
      <c r="F176" s="2484"/>
      <c r="G176" s="2485"/>
      <c r="H176" s="2484"/>
      <c r="I176" s="2485"/>
      <c r="J176" s="2484"/>
      <c r="K176" s="2484"/>
      <c r="L176" s="2485"/>
      <c r="M176" s="2484"/>
      <c r="N176" s="2484"/>
      <c r="O176" s="2485"/>
      <c r="P176" s="2484"/>
      <c r="Q176" s="2484"/>
      <c r="R176" s="2486"/>
    </row>
    <row r="177" spans="1:18" s="795" customFormat="1">
      <c r="B177" s="2484"/>
      <c r="C177" s="2484"/>
      <c r="D177" s="2484"/>
      <c r="E177" s="2484"/>
      <c r="F177" s="2484"/>
      <c r="G177" s="2485"/>
      <c r="H177" s="2484"/>
      <c r="I177" s="2485"/>
      <c r="J177" s="2484"/>
      <c r="K177" s="2484"/>
      <c r="L177" s="2485"/>
      <c r="M177" s="2484"/>
      <c r="N177" s="2484"/>
      <c r="O177" s="2485"/>
      <c r="P177" s="2484"/>
      <c r="Q177" s="2484"/>
      <c r="R177" s="2486"/>
    </row>
    <row r="178" spans="1:18" s="795" customFormat="1">
      <c r="B178" s="2484"/>
      <c r="C178" s="2484"/>
      <c r="D178" s="2484"/>
      <c r="E178" s="2484"/>
      <c r="F178" s="2484"/>
      <c r="G178" s="2485"/>
      <c r="H178" s="2484"/>
      <c r="I178" s="2485"/>
      <c r="J178" s="2484"/>
      <c r="K178" s="2484"/>
      <c r="L178" s="2485"/>
      <c r="M178" s="2484"/>
      <c r="N178" s="2484"/>
      <c r="O178" s="2485"/>
      <c r="P178" s="2484"/>
      <c r="Q178" s="2484"/>
      <c r="R178" s="2486"/>
    </row>
    <row r="179" spans="1:18" s="795" customFormat="1">
      <c r="B179" s="2484"/>
      <c r="C179" s="2484"/>
      <c r="D179" s="2484"/>
      <c r="E179" s="2484"/>
      <c r="F179" s="2484"/>
      <c r="G179" s="2485"/>
      <c r="H179" s="2484"/>
      <c r="I179" s="2485"/>
      <c r="J179" s="2484"/>
      <c r="K179" s="2484"/>
      <c r="L179" s="2485"/>
      <c r="M179" s="2484"/>
      <c r="N179" s="2484"/>
      <c r="O179" s="2485"/>
      <c r="P179" s="2484"/>
      <c r="Q179" s="2484"/>
      <c r="R179" s="2486"/>
    </row>
    <row r="180" spans="1:18" s="795" customFormat="1">
      <c r="B180" s="2484"/>
      <c r="C180" s="2484"/>
      <c r="D180" s="2484"/>
      <c r="E180" s="2484"/>
      <c r="F180" s="2484"/>
      <c r="G180" s="2485"/>
      <c r="H180" s="2484"/>
      <c r="I180" s="2485"/>
      <c r="J180" s="2484"/>
      <c r="K180" s="2484"/>
      <c r="L180" s="2485"/>
      <c r="M180" s="2484"/>
      <c r="N180" s="2484"/>
      <c r="O180" s="2485"/>
      <c r="P180" s="2484"/>
      <c r="Q180" s="2484"/>
      <c r="R180" s="2486"/>
    </row>
    <row r="181" spans="1:18" s="795" customFormat="1">
      <c r="B181" s="2484"/>
      <c r="C181" s="2484"/>
      <c r="D181" s="2484"/>
      <c r="E181" s="2484"/>
      <c r="F181" s="2484"/>
      <c r="G181" s="2485"/>
      <c r="H181" s="2484"/>
      <c r="I181" s="2485"/>
      <c r="J181" s="2484"/>
      <c r="K181" s="2484"/>
      <c r="L181" s="2485"/>
      <c r="M181" s="2484"/>
      <c r="N181" s="2484"/>
      <c r="O181" s="2485"/>
      <c r="P181" s="2484"/>
      <c r="Q181" s="2484"/>
      <c r="R181" s="2486"/>
    </row>
    <row r="182" spans="1:18" s="795" customFormat="1">
      <c r="B182" s="2484"/>
      <c r="C182" s="2484"/>
      <c r="D182" s="2484"/>
      <c r="E182" s="2484"/>
      <c r="F182" s="2484"/>
      <c r="G182" s="2485"/>
      <c r="H182" s="2484"/>
      <c r="I182" s="2485"/>
      <c r="J182" s="2484"/>
      <c r="K182" s="2484"/>
      <c r="L182" s="2485"/>
      <c r="M182" s="2484"/>
      <c r="N182" s="2484"/>
      <c r="O182" s="2485"/>
      <c r="P182" s="2484"/>
      <c r="Q182" s="2484"/>
      <c r="R182" s="2486"/>
    </row>
    <row r="183" spans="1:18" s="795" customFormat="1">
      <c r="B183" s="2484"/>
      <c r="C183" s="2484"/>
      <c r="D183" s="2484"/>
      <c r="E183" s="2484"/>
      <c r="F183" s="2484"/>
      <c r="G183" s="2485"/>
      <c r="H183" s="2484"/>
      <c r="I183" s="2485"/>
      <c r="J183" s="2484"/>
      <c r="K183" s="2484"/>
      <c r="L183" s="2485"/>
      <c r="M183" s="2484"/>
      <c r="N183" s="2484"/>
      <c r="O183" s="2485"/>
      <c r="P183" s="2484"/>
      <c r="Q183" s="2484"/>
      <c r="R183" s="2486"/>
    </row>
    <row r="184" spans="1:18" s="795" customFormat="1">
      <c r="B184" s="2484"/>
      <c r="C184" s="2484"/>
      <c r="D184" s="2484"/>
      <c r="E184" s="2484"/>
      <c r="F184" s="2484"/>
      <c r="G184" s="2485"/>
      <c r="H184" s="2484"/>
      <c r="I184" s="2485"/>
      <c r="J184" s="2484"/>
      <c r="K184" s="2484"/>
      <c r="L184" s="2485"/>
      <c r="M184" s="2484"/>
      <c r="N184" s="2484"/>
      <c r="O184" s="2485"/>
      <c r="P184" s="2484"/>
      <c r="Q184" s="2484"/>
      <c r="R184" s="2486"/>
    </row>
    <row r="185" spans="1:18" s="795"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5"/>
      <c r="B186" s="2484"/>
      <c r="C186" s="2484"/>
      <c r="E186" s="2484"/>
      <c r="F186" s="2484"/>
      <c r="G186" s="2485"/>
    </row>
    <row r="187" spans="1:18">
      <c r="A187" s="795"/>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view="pageBreakPreview" zoomScale="80" zoomScaleNormal="80" zoomScaleSheetLayoutView="80" workbookViewId="0">
      <selection activeCell="F41" sqref="F41"/>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198.18</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45485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608</v>
      </c>
      <c r="C5" s="2505">
        <f ca="1">IF(B5=D14,'结果表-307'!H102,ROUND(B5*10000/$B$1,0))</f>
        <v>30704</v>
      </c>
      <c r="D5" s="2505" t="e">
        <f ca="1">ROUND(B5*10000/$B$2,0)</f>
        <v>#DIV/0!</v>
      </c>
      <c r="E5" s="2679"/>
      <c r="F5" s="2680"/>
      <c r="G5" s="2680"/>
      <c r="H5" s="2681"/>
      <c r="I5" s="2681"/>
      <c r="J5" s="2681"/>
      <c r="K5" s="2681"/>
    </row>
    <row r="6" spans="1:11" ht="16.5">
      <c r="A6" s="2505" t="s">
        <v>656</v>
      </c>
      <c r="B6" s="2505">
        <f ca="1">SUM(G14:G23)</f>
        <v>608</v>
      </c>
      <c r="C6" s="2505">
        <f ca="1">IF(B6=G14,'结果表-307'!H108,ROUND(B6*10000/$B$1,0))</f>
        <v>30704</v>
      </c>
      <c r="D6" s="2505" t="e">
        <f ca="1">ROUND(B6*10000/$B$2,0)</f>
        <v>#DIV/0!</v>
      </c>
      <c r="E6" s="2679"/>
      <c r="F6" s="2680"/>
      <c r="G6" s="2680"/>
      <c r="H6" s="2681"/>
      <c r="I6" s="2681"/>
      <c r="J6" s="2681"/>
      <c r="K6" s="2681"/>
    </row>
    <row r="7" spans="1:11" ht="16.5">
      <c r="A7" s="2505" t="s">
        <v>664</v>
      </c>
      <c r="B7" s="2505">
        <f>SUM(H14:H23)</f>
        <v>0</v>
      </c>
      <c r="C7" s="2505" t="str">
        <f>IF(B7=H14,'结果表-307'!H110,ROUND(B7*10000/$B$1,0))</f>
        <v>——</v>
      </c>
      <c r="D7" s="2505" t="e">
        <f>ROUND(B7*10000/$B$2,0)</f>
        <v>#DIV/0!</v>
      </c>
      <c r="E7" s="2679"/>
      <c r="F7" s="2680"/>
      <c r="G7" s="2680"/>
      <c r="H7" s="2681"/>
      <c r="I7" s="2681"/>
      <c r="J7" s="2681"/>
      <c r="K7" s="2681"/>
    </row>
    <row r="8" spans="1:11" ht="16.5">
      <c r="A8" s="2505" t="s">
        <v>587</v>
      </c>
      <c r="B8" s="2505">
        <f>SUM(I14:I23)</f>
        <v>0</v>
      </c>
      <c r="C8" s="2505" t="str">
        <f>IF(B8=I14,'结果表-307'!H112,ROUND(B8*10000/$B$1,0))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3349</v>
      </c>
      <c r="D10" s="2505" t="s">
        <v>3350</v>
      </c>
      <c r="E10" s="3434"/>
      <c r="F10" s="3438" t="s">
        <v>3351</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B30</f>
        <v>198.18</v>
      </c>
      <c r="C14" s="2511"/>
      <c r="D14" s="2511">
        <f ca="1">D30</f>
        <v>608</v>
      </c>
      <c r="E14" s="2511">
        <f ca="1">ROUND(D14*10000/B14,0)</f>
        <v>30679</v>
      </c>
      <c r="F14" s="2511" t="e">
        <f ca="1">ROUND(D14*10000/C14,0)</f>
        <v>#DIV/0!</v>
      </c>
      <c r="G14" s="2511">
        <f ca="1">G30</f>
        <v>608</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7"/>
      <c r="H15" s="1327"/>
      <c r="I15" s="2512"/>
      <c r="J15" s="2680"/>
      <c r="K15" s="2681"/>
    </row>
    <row r="16" spans="1:11" ht="16.5">
      <c r="A16" s="2510" t="s">
        <v>648</v>
      </c>
      <c r="B16" s="2512"/>
      <c r="C16" s="2512"/>
      <c r="D16" s="2512"/>
      <c r="E16" s="2511" t="e">
        <f t="shared" si="0"/>
        <v>#DIV/0!</v>
      </c>
      <c r="F16" s="2511" t="e">
        <f t="shared" si="1"/>
        <v>#DIV/0!</v>
      </c>
      <c r="G16" s="1327"/>
      <c r="H16" s="1327"/>
      <c r="I16" s="2512"/>
      <c r="J16" s="2681"/>
      <c r="K16" s="2681"/>
    </row>
    <row r="17" spans="1:11" ht="16.5">
      <c r="A17" s="2510" t="s">
        <v>647</v>
      </c>
      <c r="B17" s="2512"/>
      <c r="C17" s="2512"/>
      <c r="D17" s="2512"/>
      <c r="E17" s="2511" t="e">
        <f t="shared" si="0"/>
        <v>#DIV/0!</v>
      </c>
      <c r="F17" s="2511" t="e">
        <f t="shared" si="1"/>
        <v>#DIV/0!</v>
      </c>
      <c r="G17" s="1327"/>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9" spans="1:11">
      <c r="A29" s="2506" t="str">
        <f>A13</f>
        <v>项目名称</v>
      </c>
      <c r="B29" s="2506" t="str">
        <f>B13</f>
        <v>（规划）建筑面积（m2）</v>
      </c>
      <c r="D29" s="2506" t="str">
        <f>D13</f>
        <v>市场价值（万元）</v>
      </c>
      <c r="E29" s="2506" t="str">
        <f>E13</f>
        <v>楼面单价（元/平方米）</v>
      </c>
      <c r="G29" s="2506" t="str">
        <f>G13</f>
        <v>抵押价值（万元）</v>
      </c>
    </row>
    <row r="30" spans="1:11">
      <c r="A30" s="3488">
        <v>307</v>
      </c>
      <c r="B30" s="3488">
        <f>'数据-基础表'!I13</f>
        <v>198.18</v>
      </c>
      <c r="C30" s="3488"/>
      <c r="D30" s="3488">
        <f ca="1">'结果表-307'!H101</f>
        <v>608</v>
      </c>
      <c r="E30" s="3488">
        <f ca="1">'结果表-307'!H102</f>
        <v>30704</v>
      </c>
      <c r="F30" s="3488"/>
      <c r="G30" s="3488">
        <f ca="1">'结果表-307'!H107</f>
        <v>608</v>
      </c>
    </row>
    <row r="31" spans="1:11">
      <c r="A31" s="2506">
        <v>505</v>
      </c>
      <c r="B31" s="2506">
        <f>'数据-基础表'!I14</f>
        <v>199.67</v>
      </c>
      <c r="D31" s="2506">
        <f ca="1">'结果表-505'!H101</f>
        <v>613</v>
      </c>
      <c r="E31" s="2506">
        <f ca="1">'结果表-505'!H102</f>
        <v>30704</v>
      </c>
      <c r="G31" s="2506">
        <f ca="1">'结果表-505'!H107</f>
        <v>613</v>
      </c>
    </row>
    <row r="32" spans="1:11">
      <c r="A32" s="2506">
        <v>905</v>
      </c>
      <c r="B32" s="2506">
        <f>'数据-基础表'!I15</f>
        <v>199.72</v>
      </c>
      <c r="D32" s="2506">
        <f ca="1">'结果表-905'!H101</f>
        <v>629</v>
      </c>
      <c r="E32" s="2506">
        <f ca="1">'结果表-905'!H102</f>
        <v>31480</v>
      </c>
      <c r="G32" s="2506">
        <f ca="1">'结果表-905'!H107</f>
        <v>629</v>
      </c>
    </row>
    <row r="33" spans="1:7">
      <c r="A33" s="2506">
        <v>911</v>
      </c>
      <c r="B33" s="2506">
        <f>'数据-基础表'!I16</f>
        <v>179.5</v>
      </c>
      <c r="D33" s="2506">
        <f ca="1">'结果表-911'!H101</f>
        <v>565</v>
      </c>
      <c r="E33" s="2506">
        <f ca="1">'结果表-911'!H102</f>
        <v>31480</v>
      </c>
      <c r="G33" s="2506">
        <f ca="1">'结果表-911'!H107</f>
        <v>565</v>
      </c>
    </row>
    <row r="34" spans="1:7">
      <c r="A34" s="2506">
        <v>1012</v>
      </c>
      <c r="B34" s="2506">
        <f>'数据-基础表'!I17</f>
        <v>194.79</v>
      </c>
      <c r="D34" s="2506">
        <f ca="1">'结果表-1012'!H101</f>
        <v>613</v>
      </c>
      <c r="E34" s="2506">
        <f ca="1">'结果表-1012'!H102</f>
        <v>31480</v>
      </c>
      <c r="G34" s="2506">
        <f ca="1">'结果表-1012'!H107</f>
        <v>613</v>
      </c>
    </row>
    <row r="35" spans="1:7">
      <c r="B35" s="2506">
        <f>SUM(B30:B34)</f>
        <v>971.86</v>
      </c>
      <c r="E35" s="2506">
        <f ca="1">ROUND(G35*10000/B35,0)</f>
        <v>31157</v>
      </c>
      <c r="G35" s="2506">
        <f ca="1">SUM(G30:G34)</f>
        <v>3028</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I27" sqref="I27"/>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3471</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3497</v>
      </c>
      <c r="D4" s="1752" t="s">
        <v>3499</v>
      </c>
      <c r="E4" s="3654" t="s">
        <v>1265</v>
      </c>
      <c r="F4" s="3655"/>
      <c r="G4" s="3655"/>
      <c r="H4" s="3655"/>
      <c r="I4" s="3656"/>
      <c r="K4" s="146" t="str">
        <f>IF(ISNUMBER(FIND("比较法",'结果表-307'!C4)),"比较法",IF(ISNUMBER(FIND("成本法",'结果表-307'!C4)),"成本法",IF(ISNUMBER(FIND("假设开发法",'结果表-307'!C4)),"假设开发法",IF(ISNUMBER(FIND("收益法",'结果表-307'!C4)),"收益法","基准地价系数修正法"))))</f>
        <v>比较法</v>
      </c>
      <c r="L4" s="146" t="str">
        <f>IF(ISNUMBER(FIND("比较法",'结果表-307'!D4)),"比较法",IF(ISNUMBER(FIND("成本法",'结果表-307'!D4)),"成本法",IF(ISNUMBER(FIND("假设开发法",'结果表-307'!D4)),"假设开发法",IF(ISNUMBER(FIND("收益法",'结果表-307'!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198.18</v>
      </c>
      <c r="M18" s="302">
        <f>IF(C1="",'数据-汇总表'!E3,SUMIF(项目类型,C1,'数据-汇总表'!E17:E26))</f>
        <v>198.18</v>
      </c>
    </row>
    <row r="19" spans="1:36" ht="15">
      <c r="A19" s="1757" t="s">
        <v>1288</v>
      </c>
      <c r="B19" s="1758" t="s">
        <v>1289</v>
      </c>
      <c r="C19" s="134">
        <f ca="1">SUMIF(INDIRECT("'"&amp;C4&amp;"'"&amp;"!A:A"),'结果表-307'!B19,INDIRECT("'"&amp;C4&amp;"'"&amp;"!B:B"))</f>
        <v>675.81359999999995</v>
      </c>
      <c r="D19" s="135">
        <f ca="1">SUMIF(INDIRECT("'"&amp;D4&amp;"'"&amp;"!A:A"),'结果表-307'!B19,INDIRECT("'"&amp;D4&amp;"'"&amp;"!B:B"))</f>
        <v>451.39609999999999</v>
      </c>
      <c r="E19" s="1757" t="s">
        <v>1290</v>
      </c>
      <c r="F19" s="1758" t="s">
        <v>1289</v>
      </c>
      <c r="G19" s="136">
        <f ca="1">ROUND(C19*$C$18+D19*$D$18,0)</f>
        <v>608</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SUMIF(INDIRECT("'"&amp;C4&amp;"'"&amp;"!A:A"),'结果表-307'!B20,INDIRECT("'"&amp;C4&amp;"'"&amp;"!B:B"))</f>
        <v>34101</v>
      </c>
      <c r="D20" s="138">
        <f ca="1">SUMIF(INDIRECT("'"&amp;D4&amp;"'"&amp;"!A:A"),'结果表-307'!B20,INDIRECT("'"&amp;D4&amp;"'"&amp;"!B:B"))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0.49716313455078587</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608</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2516">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2516">
        <v>2</v>
      </c>
      <c r="K47" s="3581" t="s">
        <v>1335</v>
      </c>
      <c r="L47" s="3581"/>
      <c r="M47" s="3583">
        <f>'数据-取费表'!B2</f>
        <v>45485</v>
      </c>
      <c r="N47" s="3583"/>
      <c r="O47" s="3583"/>
    </row>
    <row r="48" spans="1:15" ht="25.5" hidden="1">
      <c r="A48" s="3643" t="s">
        <v>1336</v>
      </c>
      <c r="B48" s="3644"/>
      <c r="C48" s="3644"/>
      <c r="D48" s="2320" t="b">
        <f>IF(H48="情况1",0,IF(H48="情况2",D52,IF(H48="情况3",D53,IF(H48="情况4",D54))))</f>
        <v>0</v>
      </c>
      <c r="E48" s="2330" t="str">
        <f>IF(H48="情况4","(销售额-原购置价)×税（费）率","销售额×税（费）率")</f>
        <v>销售额×税（费）率</v>
      </c>
      <c r="F48" s="2541">
        <f>IF(H48="情况1","免征",'数据-取费表'!B41)</f>
        <v>5.6000000000000001E-2</v>
      </c>
      <c r="G48" s="2542" t="s">
        <v>1337</v>
      </c>
      <c r="H48" s="2543"/>
      <c r="I48" s="1802"/>
      <c r="J48" s="2516">
        <v>3</v>
      </c>
      <c r="K48" s="3581" t="s">
        <v>1338</v>
      </c>
      <c r="L48" s="3581"/>
      <c r="M48" s="3584">
        <f ca="1">H101</f>
        <v>608</v>
      </c>
      <c r="N48" s="3584"/>
      <c r="O48" s="3584"/>
    </row>
    <row r="49" spans="1:35" ht="25.5" hidden="1" customHeight="1">
      <c r="A49" s="2329" t="s">
        <v>1339</v>
      </c>
      <c r="B49" s="3629" t="s">
        <v>1340</v>
      </c>
      <c r="C49" s="3629"/>
      <c r="D49" s="1586">
        <v>0</v>
      </c>
      <c r="E49" s="324" t="s">
        <v>1341</v>
      </c>
      <c r="F49" s="2419" t="s">
        <v>28</v>
      </c>
      <c r="G49" s="3612"/>
      <c r="H49" s="2306" t="s">
        <v>2132</v>
      </c>
      <c r="I49" s="2307"/>
      <c r="J49" s="2516">
        <v>4</v>
      </c>
      <c r="K49" s="3581" t="str">
        <f>IF(项目基本情况!E8="房地产抵押价值","房地产抵押价值","抵押担保权已注销时的房地产抵押价值")</f>
        <v>房地产抵押价值</v>
      </c>
      <c r="L49" s="3581"/>
      <c r="M49" s="3584">
        <f ca="1">IF(项目基本情况!E8="房地产抵押价值",H107,H109)</f>
        <v>608</v>
      </c>
      <c r="N49" s="3584"/>
      <c r="O49" s="3584"/>
    </row>
    <row r="50" spans="1:35" ht="25.5" hidden="1" customHeight="1">
      <c r="A50" s="2544"/>
      <c r="B50" s="3629" t="s">
        <v>1342</v>
      </c>
      <c r="C50" s="3629"/>
      <c r="D50" s="2545"/>
      <c r="E50" s="332"/>
      <c r="F50" s="2419"/>
      <c r="G50" s="3613"/>
      <c r="H50" s="2308" t="s">
        <v>2133</v>
      </c>
      <c r="I50" s="2307"/>
      <c r="J50" s="3580" t="s">
        <v>1343</v>
      </c>
      <c r="K50" s="3580"/>
      <c r="L50" s="3580"/>
      <c r="M50" s="3580"/>
      <c r="N50" s="3580"/>
      <c r="O50" s="3580"/>
    </row>
    <row r="51" spans="1:35" ht="20.45" hidden="1" customHeight="1">
      <c r="A51" s="2546"/>
      <c r="B51" s="3629" t="s">
        <v>1344</v>
      </c>
      <c r="C51" s="3629"/>
      <c r="D51" s="1083"/>
      <c r="E51" s="327"/>
      <c r="F51" s="2419"/>
      <c r="G51" s="3614"/>
      <c r="H51" s="2308" t="s">
        <v>2134</v>
      </c>
      <c r="I51" s="2307"/>
      <c r="J51" s="2517" t="s">
        <v>1345</v>
      </c>
      <c r="K51" s="3581" t="s">
        <v>1346</v>
      </c>
      <c r="L51" s="3581"/>
      <c r="M51" s="2517" t="s">
        <v>1347</v>
      </c>
      <c r="N51" s="2517" t="s">
        <v>1348</v>
      </c>
      <c r="O51" s="2517" t="s">
        <v>1349</v>
      </c>
    </row>
    <row r="52" spans="1:35" ht="24" hidden="1" customHeight="1">
      <c r="A52" s="2331" t="s">
        <v>1350</v>
      </c>
      <c r="B52" s="3629" t="s">
        <v>1351</v>
      </c>
      <c r="C52" s="3629"/>
      <c r="D52" s="1083">
        <f ca="1">ROUND(D45*'数据-取费表'!B41/(1+'数据-取费表'!C42),0)</f>
        <v>32</v>
      </c>
      <c r="E52" s="2330" t="s">
        <v>1352</v>
      </c>
      <c r="F52" s="2547">
        <f>'数据-取费表'!B41</f>
        <v>5.6000000000000001E-2</v>
      </c>
      <c r="G52" s="2548"/>
      <c r="H52" s="2537"/>
      <c r="I52" s="1803"/>
      <c r="J52" s="2516">
        <v>1</v>
      </c>
      <c r="K52" s="3606" t="s">
        <v>1353</v>
      </c>
      <c r="L52" s="3606"/>
      <c r="M52" s="2518" t="b">
        <f>D48</f>
        <v>0</v>
      </c>
      <c r="N52" s="2516" t="str">
        <f>E48</f>
        <v>销售额×税（费）率</v>
      </c>
      <c r="O52" s="2519">
        <f>F48</f>
        <v>5.6000000000000001E-2</v>
      </c>
    </row>
    <row r="53" spans="1:35" ht="12" hidden="1" customHeight="1">
      <c r="A53" s="2331" t="s">
        <v>1354</v>
      </c>
      <c r="B53" s="3630" t="s">
        <v>2282</v>
      </c>
      <c r="C53" s="3631"/>
      <c r="D53" s="1083">
        <f ca="1">ROUND(D45*'数据-取费表'!B41/(1+'数据-取费表'!C42),0)</f>
        <v>32</v>
      </c>
      <c r="E53" s="2330" t="s">
        <v>1352</v>
      </c>
      <c r="F53" s="2547">
        <f>'数据-取费表'!B41</f>
        <v>5.6000000000000001E-2</v>
      </c>
      <c r="G53" s="2548"/>
      <c r="H53" s="2537"/>
      <c r="I53" s="1803"/>
      <c r="J53" s="2516">
        <v>2</v>
      </c>
      <c r="K53" s="3606" t="s">
        <v>1355</v>
      </c>
      <c r="L53" s="3606"/>
      <c r="M53" s="2518">
        <f t="shared" ref="M53:O54" ca="1" si="0">D55</f>
        <v>0</v>
      </c>
      <c r="N53" s="2516" t="str">
        <f t="shared" si="0"/>
        <v>销售额×税（费）率</v>
      </c>
      <c r="O53" s="2519" t="str">
        <f t="shared" si="0"/>
        <v>免征</v>
      </c>
    </row>
    <row r="54" spans="1:35" ht="12" hidden="1" customHeight="1">
      <c r="A54" s="2331" t="s">
        <v>1356</v>
      </c>
      <c r="B54" s="3630" t="s">
        <v>2283</v>
      </c>
      <c r="C54" s="3631"/>
      <c r="D54" s="1083">
        <f ca="1">C68</f>
        <v>32</v>
      </c>
      <c r="E54" s="327" t="s">
        <v>1357</v>
      </c>
      <c r="F54" s="2547">
        <f>'数据-取费表'!B41</f>
        <v>5.6000000000000001E-2</v>
      </c>
      <c r="G54" s="2548"/>
      <c r="H54" s="2549"/>
      <c r="I54" s="1803"/>
      <c r="J54" s="2516">
        <v>3</v>
      </c>
      <c r="K54" s="3606" t="s">
        <v>1358</v>
      </c>
      <c r="L54" s="3606"/>
      <c r="M54" s="2518">
        <f t="shared" ca="1" si="0"/>
        <v>345</v>
      </c>
      <c r="N54" s="2516" t="str">
        <f t="shared" si="0"/>
        <v>增值额×税（费）率</v>
      </c>
      <c r="O54" s="2520" t="str">
        <f t="shared" si="0"/>
        <v>免征</v>
      </c>
    </row>
    <row r="55" spans="1:35" ht="24" hidden="1" customHeight="1">
      <c r="A55" s="3666" t="s">
        <v>1359</v>
      </c>
      <c r="B55" s="3644"/>
      <c r="C55" s="3644"/>
      <c r="D55" s="2320">
        <f ca="1">IF(H55="个人住宅",0,ROUND(D45*I55,0))</f>
        <v>0</v>
      </c>
      <c r="E55" s="2330" t="s">
        <v>1360</v>
      </c>
      <c r="F55" s="2547" t="str">
        <f>IF(H55="正常",I55,"免征")</f>
        <v>免征</v>
      </c>
      <c r="G55" s="2548"/>
      <c r="H55" s="2543"/>
      <c r="I55" s="165">
        <f>'数据-取费表'!B49</f>
        <v>5.0000000000000001E-4</v>
      </c>
      <c r="J55" s="2516">
        <f>IF(H59="非个人房产","",4)</f>
        <v>4</v>
      </c>
      <c r="K55" s="3606" t="str">
        <f>IF(H59="非个人房产","——","个人所得税")</f>
        <v>个人所得税</v>
      </c>
      <c r="L55" s="3606"/>
      <c r="M55" s="2521">
        <f ca="1">D59</f>
        <v>6</v>
      </c>
      <c r="N55" s="2036" t="str">
        <f>E59</f>
        <v>差额计税</v>
      </c>
      <c r="O55" s="2522">
        <f>F59</f>
        <v>0.01</v>
      </c>
    </row>
    <row r="56" spans="1:35" ht="24.75" hidden="1">
      <c r="A56" s="3666" t="s">
        <v>1361</v>
      </c>
      <c r="B56" s="3644"/>
      <c r="C56" s="3644"/>
      <c r="D56" s="2320">
        <f ca="1">IF(H56="个人住宅",D57,D58)</f>
        <v>345</v>
      </c>
      <c r="E56" s="2330" t="s">
        <v>1362</v>
      </c>
      <c r="F56" s="2547" t="str">
        <f>IF(H56="正常",F58,"免征")</f>
        <v>免征</v>
      </c>
      <c r="G56" s="2550" t="s">
        <v>1363</v>
      </c>
      <c r="H56" s="2551"/>
      <c r="I56" s="1804"/>
      <c r="J56" s="2516"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2331" t="s">
        <v>1339</v>
      </c>
      <c r="B57" s="3630" t="s">
        <v>1364</v>
      </c>
      <c r="C57" s="3631"/>
      <c r="D57" s="1586">
        <v>0</v>
      </c>
      <c r="E57" s="324" t="s">
        <v>1341</v>
      </c>
      <c r="F57" s="302"/>
      <c r="G57" s="2548"/>
      <c r="H57" s="2552"/>
      <c r="I57" s="1804"/>
      <c r="J57" s="3606">
        <f>IF(AND(J55="",J56=""),4,IF(项目基本情况!K6="上海银行",'结果表-307'!J56+1,'结果表-307'!J55+1))</f>
        <v>5</v>
      </c>
      <c r="K57" s="3606" t="s">
        <v>1365</v>
      </c>
      <c r="L57" s="2523" t="s">
        <v>1366</v>
      </c>
      <c r="M57" s="2524"/>
      <c r="N57" s="2525">
        <f ca="1">SUMIF(M52:M56,"&lt;9e307")</f>
        <v>351</v>
      </c>
      <c r="O57" s="2526"/>
      <c r="P57" s="2683">
        <f ca="1">N57/M49</f>
        <v>0.57730263157894735</v>
      </c>
    </row>
    <row r="58" spans="1:35" ht="24.75" hidden="1">
      <c r="A58" s="2331" t="s">
        <v>1350</v>
      </c>
      <c r="B58" s="3630" t="s">
        <v>1367</v>
      </c>
      <c r="C58" s="3629"/>
      <c r="D58" s="2320">
        <f ca="1">IF(H58="转让取得",C81,C97)</f>
        <v>345</v>
      </c>
      <c r="E58" s="2330" t="s">
        <v>1362</v>
      </c>
      <c r="F58" s="302" t="s">
        <v>28</v>
      </c>
      <c r="G58" s="2548"/>
      <c r="H58" s="2551"/>
      <c r="I58" s="1804"/>
      <c r="J58" s="3606"/>
      <c r="K58" s="3606"/>
      <c r="L58" s="2523" t="s">
        <v>1368</v>
      </c>
      <c r="M58" s="2527"/>
      <c r="N58" s="2528" t="str">
        <f ca="1">NUMBERSTRING(INT(N57*10000),2)&amp;"元整"</f>
        <v>叁佰伍拾壹万元整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2516" t="s">
        <v>1366</v>
      </c>
      <c r="M59" s="2530"/>
      <c r="N59" s="2531">
        <f ca="1">M49-N57</f>
        <v>257</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贰佰伍拾柒万元整</v>
      </c>
      <c r="O60" s="2529"/>
    </row>
    <row r="61" spans="1:35" ht="13.5" hidden="1" thickBot="1">
      <c r="A61" s="3665" t="s">
        <v>1371</v>
      </c>
      <c r="B61" s="3665"/>
      <c r="C61" s="3665"/>
      <c r="D61" s="3665"/>
      <c r="E61" s="3665"/>
      <c r="F61" s="1804"/>
      <c r="G61" s="1804"/>
      <c r="H61" s="1806"/>
      <c r="I61" s="129"/>
      <c r="J61" s="2516">
        <f>J59+1</f>
        <v>7</v>
      </c>
      <c r="K61" s="3606" t="s">
        <v>1372</v>
      </c>
      <c r="L61" s="3606"/>
      <c r="M61" s="2533"/>
      <c r="N61" s="2534">
        <f ca="1">ROUND(N59*10000/'数据-汇总表'!E3,0)</f>
        <v>2644</v>
      </c>
      <c r="O61" s="2535"/>
    </row>
    <row r="62" spans="1:35" ht="12.75" hidden="1">
      <c r="A62" s="3625" t="s">
        <v>1373</v>
      </c>
      <c r="B62" s="3626"/>
      <c r="C62" s="2017"/>
      <c r="D62" s="2017" t="s">
        <v>1374</v>
      </c>
      <c r="E62" s="166" t="s">
        <v>1375</v>
      </c>
      <c r="F62" s="1804"/>
      <c r="G62" s="1804"/>
      <c r="H62" s="1806"/>
      <c r="I62" s="129"/>
    </row>
    <row r="63" spans="1:35" ht="12.75" hidden="1">
      <c r="A63" s="173" t="s">
        <v>330</v>
      </c>
      <c r="B63" s="167" t="s">
        <v>1376</v>
      </c>
      <c r="C63" s="2557">
        <f ca="1">ROUND((C64+C65)/(1+'数据-取费表'!C42),0)</f>
        <v>579</v>
      </c>
      <c r="D63" s="167"/>
      <c r="E63" s="168"/>
      <c r="F63" s="1804"/>
      <c r="G63" s="1804"/>
      <c r="H63" s="1806"/>
      <c r="I63" s="129"/>
      <c r="J63" s="3589" t="s">
        <v>1377</v>
      </c>
      <c r="K63" s="1328" t="s">
        <v>1378</v>
      </c>
      <c r="L63" s="1328">
        <f ca="1">IF(M49&gt;10000,M49*0.5%,IF(AND(M49&gt;1000,M49&lt;=10000),M49*1%,IF(AND(M49&gt;100,M49&lt;=1000),M49*3%,IF(AND(M49&gt;10,M49&lt;=100),M49*5%,M49*8%))))</f>
        <v>18.239999999999998</v>
      </c>
      <c r="M63" s="302">
        <f ca="1">ROUND(L63,1)</f>
        <v>18.2</v>
      </c>
      <c r="N63" s="2536"/>
      <c r="Z63" s="1748"/>
      <c r="AI63" s="1749"/>
    </row>
    <row r="64" spans="1:35" ht="14.25" hidden="1" customHeight="1">
      <c r="A64" s="169" t="s">
        <v>325</v>
      </c>
      <c r="B64" s="170" t="s">
        <v>1379</v>
      </c>
      <c r="C64" s="2558">
        <f ca="1">D45</f>
        <v>608</v>
      </c>
      <c r="D64" s="170" t="s">
        <v>26</v>
      </c>
      <c r="E64" s="172"/>
      <c r="F64" s="1804"/>
      <c r="G64" s="1804"/>
      <c r="H64" s="1806"/>
      <c r="I64" s="129"/>
      <c r="J64" s="3589"/>
      <c r="K64" s="1328" t="s">
        <v>1380</v>
      </c>
      <c r="L64" s="1328">
        <f ca="1">IF(M49&gt;2000,M49*0.5%,IF(AND(M49&gt;1000,M49&lt;=2000),M49*0.6%,IF(AND(M49&gt;500,M49&lt;=1000),M49*0.7%,IF(AND(M49&gt;200,M49&lt;=500),M49*0.8%,IF(AND(M49&gt;100,M49&lt;=200),M49*0.9%,IF(AND(M49&gt;50,M49&lt;=100),M49*1%,IF(AND(M49&gt;20,M49&lt;=50),M49*1.5%,IF(AND(M49&gt;10,M49&lt;=20),M49*2%,IF(AND(M49&gt;1,M49&lt;=10),M49*2.5%)))))))))</f>
        <v>4.2559999999999993</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1328" t="s">
        <v>1383</v>
      </c>
      <c r="L65" s="1328">
        <f ca="1">IF(M49&gt;1000,M49*0.1%,IF(AND(M49&gt;500,M49&lt;=1000),M49*0.5%,IF(AND(M49&gt;50,M49&lt;=500),M49*1%,IF(AND(M49&gt;1,M49&lt;=50),M49*1.5%))))</f>
        <v>3.04</v>
      </c>
      <c r="M65" s="302">
        <f t="shared" ca="1" si="1"/>
        <v>3</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1328" t="s">
        <v>1385</v>
      </c>
      <c r="L66" s="1328">
        <f ca="1">M49*0.5%</f>
        <v>3.04</v>
      </c>
      <c r="M66" s="302">
        <f ca="1">IF(L66&gt;0.5,0.5,ROUND(L66,0))</f>
        <v>0.5</v>
      </c>
      <c r="N66" s="2537" t="s">
        <v>1386</v>
      </c>
      <c r="Z66" s="1748"/>
      <c r="AI66" s="1749"/>
    </row>
    <row r="67" spans="1:35" ht="14.25" hidden="1" customHeight="1">
      <c r="A67" s="173" t="s">
        <v>328</v>
      </c>
      <c r="B67" s="174" t="s">
        <v>1387</v>
      </c>
      <c r="C67" s="2561">
        <f ca="1">C63-C66</f>
        <v>579</v>
      </c>
      <c r="D67" s="170" t="s">
        <v>26</v>
      </c>
      <c r="E67" s="172"/>
      <c r="F67" s="1804"/>
      <c r="G67" s="1804"/>
      <c r="H67" s="1806"/>
      <c r="I67" s="129"/>
      <c r="J67" s="3589"/>
      <c r="K67" s="1328" t="s">
        <v>1388</v>
      </c>
      <c r="L67" s="1328">
        <f ca="1">IF(M49&gt;=10000,(8.25+(M49-10000)*0.01%),IF(AND(M49&gt;=8000,M49&lt;10000),(7.85+(M49-8000)*0.02%),IF(AND(M49&gt;=5000,M49&lt;8000),(6.65+(M49-5000)*0.04%),IF(AND(M49&gt;=2000,M49&lt;5000),(4.25+(PM49-2000)*0.08%),IF(AND(M49&gt;=1000,M49&lt;2000),(2.75+(M49-1000)*0.15%),IF(AND(M49&gt;=100,M49&lt;1000),(0.5+(M49-100)*0.25%),IF(AND(M49&gt;0,M49&lt;100),M49*0.5%)))))))</f>
        <v>1.77</v>
      </c>
      <c r="M67" s="302">
        <f ca="1">ROUND(L67*0.9,1)</f>
        <v>1.6</v>
      </c>
      <c r="N67" s="2536"/>
      <c r="Z67" s="1748"/>
      <c r="AI67" s="1749"/>
    </row>
    <row r="68" spans="1:35" ht="14.25" hidden="1" customHeight="1" thickBot="1">
      <c r="A68" s="176" t="s">
        <v>329</v>
      </c>
      <c r="B68" s="177" t="s">
        <v>1389</v>
      </c>
      <c r="C68" s="2562">
        <f ca="1">IF(C67&lt;=0,0,ROUND(C67*D68,0))</f>
        <v>32</v>
      </c>
      <c r="D68" s="2563">
        <f>'数据-取费表'!B41</f>
        <v>5.6000000000000001E-2</v>
      </c>
      <c r="E68" s="178"/>
      <c r="F68" s="1804"/>
      <c r="G68" s="1804"/>
      <c r="H68" s="1806"/>
      <c r="I68" s="129"/>
      <c r="J68" s="3589"/>
      <c r="K68" s="1328" t="s">
        <v>1390</v>
      </c>
      <c r="L68" s="1328">
        <f ca="1">IF(M49&gt;10000,M49*0.5%,IF(AND(M49&gt;5000,M49&lt;=10000),M49*1%,IF(AND(M49&gt;1000,M49&lt;=5000),M49*2%,IF(AND(M49&gt;200,M49&lt;=1000),M49*3%,M49*5%))))</f>
        <v>18.239999999999998</v>
      </c>
      <c r="M68" s="302">
        <f ca="1">ROUND(L68,1)</f>
        <v>18.2</v>
      </c>
      <c r="N68" s="2536"/>
      <c r="Z68" s="1748"/>
      <c r="AI68" s="1749"/>
    </row>
    <row r="69" spans="1:35" s="1768" customFormat="1" ht="16.5" hidden="1" customHeight="1">
      <c r="A69" s="1807"/>
      <c r="B69" s="1808"/>
      <c r="C69" s="1809"/>
      <c r="D69" s="1810"/>
      <c r="E69" s="1811"/>
      <c r="F69" s="1574"/>
      <c r="G69" s="1574"/>
      <c r="H69" s="1573"/>
      <c r="I69" s="1743"/>
      <c r="J69" s="3589"/>
      <c r="K69" s="1328" t="s">
        <v>1391</v>
      </c>
      <c r="L69" s="1328"/>
      <c r="M69" s="302">
        <f ca="1">ROUND(SUM(M63:M68),0)</f>
        <v>46</v>
      </c>
      <c r="N69" s="2538">
        <f ca="1">M69/M49</f>
        <v>7.5657894736842105E-2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hidden="1" thickBot="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2017"/>
      <c r="D71" s="201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579</v>
      </c>
      <c r="D72" s="170" t="s">
        <v>26</v>
      </c>
      <c r="E72" s="2327"/>
      <c r="F72" s="2326"/>
      <c r="G72" s="232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61">
        <f ca="1">C72-C73</f>
        <v>576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192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2017"/>
      <c r="D84" s="201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579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2323"/>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2323"/>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61">
        <f ca="1">ROUND(C85-C86,0)</f>
        <v>576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192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比较法-307</v>
      </c>
      <c r="D101" s="2579" t="str">
        <f>D4</f>
        <v>收益法-307</v>
      </c>
      <c r="E101" s="3585" t="s">
        <v>1429</v>
      </c>
      <c r="F101" s="3586"/>
      <c r="G101" s="1823" t="s">
        <v>1430</v>
      </c>
      <c r="H101" s="2588">
        <f ca="1">H118</f>
        <v>608</v>
      </c>
      <c r="I101" s="129"/>
    </row>
    <row r="102" spans="1:35" ht="18.75" customHeight="1">
      <c r="A102" s="3617" t="s">
        <v>1431</v>
      </c>
      <c r="B102" s="2577" t="s">
        <v>1430</v>
      </c>
      <c r="C102" s="2578">
        <f ca="1">IF(D32="楼面单价",ROUND(C19,0),C19)</f>
        <v>676</v>
      </c>
      <c r="D102" s="2579">
        <f ca="1">IF(D32="楼面单价",ROUND(D19,0),D19)</f>
        <v>451</v>
      </c>
      <c r="E102" s="3585"/>
      <c r="F102" s="3586"/>
      <c r="G102" s="1823" t="s">
        <v>1432</v>
      </c>
      <c r="H102" s="2548">
        <f ca="1">I118</f>
        <v>30704</v>
      </c>
      <c r="I102" s="129"/>
    </row>
    <row r="103" spans="1:35" ht="42.75" customHeight="1">
      <c r="A103" s="3617"/>
      <c r="B103" s="2577" t="s">
        <v>1432</v>
      </c>
      <c r="C103" s="2580">
        <f ca="1">C20</f>
        <v>34101</v>
      </c>
      <c r="D103" s="2581">
        <f ca="1">D20</f>
        <v>22777</v>
      </c>
      <c r="E103" s="3578" t="s">
        <v>1433</v>
      </c>
      <c r="F103" s="3579"/>
      <c r="G103" s="1824" t="s">
        <v>1434</v>
      </c>
      <c r="H103" s="2588">
        <f>IF(D36="正常操作",H104+H105+H106,H105+H106)</f>
        <v>0</v>
      </c>
      <c r="I103" s="129"/>
    </row>
    <row r="104" spans="1:35" ht="18.75" customHeight="1">
      <c r="A104" s="3617" t="s">
        <v>1435</v>
      </c>
      <c r="B104" s="2582" t="s">
        <v>1430</v>
      </c>
      <c r="C104" s="2583">
        <f ca="1">H118</f>
        <v>608</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608</v>
      </c>
      <c r="I107" s="129"/>
    </row>
    <row r="108" spans="1:35" ht="18.75" customHeight="1">
      <c r="A108" s="129"/>
      <c r="B108" s="129"/>
      <c r="C108" s="129"/>
      <c r="D108" s="129"/>
      <c r="E108" s="3618"/>
      <c r="F108" s="3586"/>
      <c r="G108" s="1823" t="s">
        <v>1432</v>
      </c>
      <c r="H108" s="2548">
        <f ca="1">IF(H107=H101,H102,ROUND(H107*10000/'数据-汇总表'!E3,0))</f>
        <v>30704</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2325" t="s">
        <v>1447</v>
      </c>
      <c r="E117" s="2325" t="s">
        <v>1448</v>
      </c>
      <c r="F117" s="2325" t="s">
        <v>1447</v>
      </c>
      <c r="G117" s="2325" t="s">
        <v>1449</v>
      </c>
      <c r="H117" s="2325" t="s">
        <v>1447</v>
      </c>
      <c r="I117" s="2325" t="s">
        <v>1449</v>
      </c>
    </row>
    <row r="118" spans="1:27" ht="24.75" customHeight="1">
      <c r="A118" s="2593" t="str">
        <f>项目基本情况!S2</f>
        <v>北京市朝阳区东三环南路98号1幢3层307房地产</v>
      </c>
      <c r="B118" s="2325">
        <f>M18</f>
        <v>198.18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ROUND(IF(D32="总价",C32,I118*B118/10000),0)</f>
        <v>608</v>
      </c>
      <c r="I118" s="2325">
        <f ca="1">ROUND(IF(D32="楼面单价",C32,H118*10000/B118),0)</f>
        <v>30704</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陆佰零捌万元整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608</v>
      </c>
      <c r="E122" s="3595"/>
      <c r="F122" s="3595"/>
      <c r="G122" s="3595"/>
      <c r="H122" s="3595"/>
      <c r="I122" s="3596"/>
      <c r="AA122" s="725"/>
    </row>
    <row r="123" spans="1:27" ht="18.75" customHeight="1">
      <c r="A123" s="3593" t="s">
        <v>1450</v>
      </c>
      <c r="B123" s="3593"/>
      <c r="C123" s="3593"/>
      <c r="D123" s="3599" t="str">
        <f ca="1">NUMBERSTRING(INT(D122*10000),2)&amp;"元整"</f>
        <v>陆佰零捌万元整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316" priority="21" stopIfTrue="1" operator="equal">
      <formula>25</formula>
    </cfRule>
  </conditionalFormatting>
  <conditionalFormatting sqref="C8:C9">
    <cfRule type="cellIs" dxfId="315" priority="19" stopIfTrue="1" operator="equal">
      <formula>15</formula>
    </cfRule>
  </conditionalFormatting>
  <conditionalFormatting sqref="C14:C16">
    <cfRule type="cellIs" dxfId="314" priority="13" stopIfTrue="1" operator="equal">
      <formula>30</formula>
    </cfRule>
  </conditionalFormatting>
  <conditionalFormatting sqref="D5:D7">
    <cfRule type="cellIs" dxfId="313" priority="10" stopIfTrue="1" operator="equal">
      <formula>25</formula>
    </cfRule>
  </conditionalFormatting>
  <conditionalFormatting sqref="D8:D9">
    <cfRule type="cellIs" dxfId="312" priority="9" stopIfTrue="1" operator="equal">
      <formula>15</formula>
    </cfRule>
  </conditionalFormatting>
  <conditionalFormatting sqref="C10:D13">
    <cfRule type="cellIs" dxfId="311" priority="8" stopIfTrue="1" operator="equal">
      <formula>15</formula>
    </cfRule>
  </conditionalFormatting>
  <conditionalFormatting sqref="D14:D16">
    <cfRule type="cellIs" dxfId="310" priority="6" stopIfTrue="1" operator="equal">
      <formula>30</formula>
    </cfRule>
  </conditionalFormatting>
  <conditionalFormatting sqref="C90">
    <cfRule type="expression" dxfId="309" priority="3" stopIfTrue="1">
      <formula>$H$88&lt;&gt;"仅含出让金"</formula>
    </cfRule>
  </conditionalFormatting>
  <conditionalFormatting sqref="C91">
    <cfRule type="expression" dxfId="308" priority="2" stopIfTrue="1">
      <formula>$H$91="由企业提供"</formula>
    </cfRule>
  </conditionalFormatting>
  <conditionalFormatting sqref="E36">
    <cfRule type="expression" dxfId="3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11</v>
      </c>
    </row>
    <row r="2" spans="1:9" s="200" customFormat="1" ht="18" customHeight="1">
      <c r="A2" s="201" t="s">
        <v>1460</v>
      </c>
      <c r="B2" s="202">
        <f ca="1">IF(D2="——",C52,C52-E2)</f>
        <v>533</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5484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IF(G8="已包含在土地购买价格中","0",IF(B1="",'数据-取费表'!B29,IF(G9="全部缴纳",C9+C10,H9)))</f>
        <v>0</v>
      </c>
      <c r="D8" s="222"/>
      <c r="E8" s="220"/>
      <c r="F8" s="221"/>
      <c r="G8" s="1852"/>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19</v>
      </c>
      <c r="D10" s="841">
        <f ca="1">IF(B1="",'数据-汇总表'!E6,IF(INDIRECT("'数据-取费表'!c"&amp;$G$1)="住宅",INDIRECT("'数据-取费表'!s"&amp;$G$1),INDIRECT("'数据-取费表'!k"&amp;$G$1)+INDIRECT("'数据-取费表'!s"&amp;$G$1)))</f>
        <v>971.86</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f ca="1">IF(G19="已包含在土地取得成本中","0",ROUND(D19*E19/10000,0))</f>
        <v>19</v>
      </c>
      <c r="D19" s="845">
        <f ca="1">D9+D10</f>
        <v>971.86</v>
      </c>
      <c r="E19" s="211">
        <f>'数据-取费表'!B31</f>
        <v>200</v>
      </c>
      <c r="F19" s="231"/>
      <c r="G19" s="1852"/>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1</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1</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3</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479</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438</v>
      </c>
      <c r="D34" s="217"/>
      <c r="E34" s="220"/>
      <c r="F34" s="257">
        <f ca="1">IF('数据-取费表'!B24=0,1,IF(B1="",'数据-取费表'!N16,INDIRECT("'数据-取费表'!n"&amp;$G$1)))</f>
        <v>1</v>
      </c>
      <c r="G34" s="219" t="s">
        <v>1524</v>
      </c>
    </row>
    <row r="35" spans="1:7" ht="13.5" customHeight="1">
      <c r="A35" s="776" t="s">
        <v>351</v>
      </c>
      <c r="B35" s="215" t="s">
        <v>1525</v>
      </c>
      <c r="C35" s="220">
        <f ca="1">ROUND(C34*F35,0)</f>
        <v>13</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19</v>
      </c>
      <c r="D37" s="217">
        <f ca="1">D19</f>
        <v>971.86</v>
      </c>
      <c r="E37" s="249">
        <f>'数据-取费表'!B35</f>
        <v>200</v>
      </c>
      <c r="F37" s="259"/>
      <c r="G37" s="261" t="s">
        <v>1530</v>
      </c>
    </row>
    <row r="38" spans="1:7" ht="13.5" customHeight="1">
      <c r="A38" s="776" t="s">
        <v>354</v>
      </c>
      <c r="B38" s="215" t="s">
        <v>1531</v>
      </c>
      <c r="C38" s="220">
        <f ca="1">ROUND(C34*F38,0)</f>
        <v>9</v>
      </c>
      <c r="D38" s="220"/>
      <c r="E38" s="220"/>
      <c r="F38" s="259">
        <f>'数据-取费表'!B36</f>
        <v>0.02</v>
      </c>
      <c r="G38" s="219" t="s">
        <v>1526</v>
      </c>
    </row>
    <row r="39" spans="1:7" s="214" customFormat="1" ht="13.5" customHeight="1">
      <c r="A39" s="255" t="s">
        <v>1532</v>
      </c>
      <c r="B39" s="210" t="s">
        <v>1533</v>
      </c>
      <c r="C39" s="232">
        <f ca="1">ROUND(C33*F20,0)</f>
        <v>10</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17</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17</v>
      </c>
      <c r="D42" s="238"/>
      <c r="E42" s="238"/>
      <c r="F42" s="239"/>
      <c r="G42" s="3672" t="s">
        <v>1542</v>
      </c>
    </row>
    <row r="43" spans="1:7" ht="13.5" customHeight="1">
      <c r="A43" s="776" t="s">
        <v>347</v>
      </c>
      <c r="B43" s="215" t="s">
        <v>1543</v>
      </c>
      <c r="C43" s="238">
        <f ca="1">ROUND(IF('数据-取费表'!B22&lt;=1,C39*F22*'数据-取费表'!B21/2,C39*(POWER((1+F22),'数据-取费表'!B21/2)-1)),0)</f>
        <v>0</v>
      </c>
      <c r="D43" s="238"/>
      <c r="E43" s="238"/>
      <c r="F43" s="239"/>
      <c r="G43" s="3673"/>
    </row>
    <row r="44" spans="1:7" ht="13.5" customHeight="1">
      <c r="A44" s="776" t="s">
        <v>348</v>
      </c>
      <c r="B44" s="215" t="s">
        <v>1544</v>
      </c>
      <c r="C44" s="238">
        <f ca="1">ROUND(IF('数据-取费表'!B22&lt;=1,C40*F22*'数据-取费表'!B21/2,C40*(POWER((1+F22),'数据-取费表'!B21/2)-1)),4)</f>
        <v>6.9999999999999999E-4</v>
      </c>
      <c r="D44" s="238"/>
      <c r="E44" s="238"/>
      <c r="F44" s="239"/>
      <c r="G44" s="3674"/>
    </row>
    <row r="45" spans="1:7" s="214" customFormat="1" ht="13.5" customHeight="1">
      <c r="A45" s="255" t="s">
        <v>1545</v>
      </c>
      <c r="B45" s="244" t="s">
        <v>1511</v>
      </c>
      <c r="C45" s="245">
        <f ca="1">C46</f>
        <v>73</v>
      </c>
      <c r="D45" s="235">
        <f ca="1">C47</f>
        <v>3.0000000000000001E-3</v>
      </c>
      <c r="E45" s="236" t="s">
        <v>1537</v>
      </c>
      <c r="F45" s="246">
        <f ca="1">F27</f>
        <v>0.15</v>
      </c>
      <c r="G45" s="247" t="s">
        <v>1546</v>
      </c>
    </row>
    <row r="46" spans="1:7" s="214" customFormat="1" ht="13.5" customHeight="1">
      <c r="A46" s="776" t="s">
        <v>346</v>
      </c>
      <c r="B46" s="248" t="s">
        <v>1547</v>
      </c>
      <c r="C46" s="249">
        <f ca="1">ROUND((C33+C39)*F27,0)</f>
        <v>73</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627</v>
      </c>
      <c r="D49" s="232"/>
      <c r="E49" s="232"/>
      <c r="F49" s="264"/>
      <c r="G49" s="234" t="s">
        <v>1552</v>
      </c>
    </row>
    <row r="50" spans="1:7" s="258" customFormat="1" ht="24">
      <c r="A50" s="255" t="s">
        <v>1553</v>
      </c>
      <c r="B50" s="210" t="s">
        <v>1554</v>
      </c>
      <c r="C50" s="232"/>
      <c r="D50" s="232"/>
      <c r="E50" s="232"/>
      <c r="F50" s="264">
        <f>IF('数据-取费表'!B24=0,'数据-取费表'!N16,1)</f>
        <v>0.81</v>
      </c>
      <c r="G50" s="247" t="s">
        <v>1555</v>
      </c>
    </row>
    <row r="51" spans="1:7" ht="16.5" customHeight="1">
      <c r="A51" s="255" t="s">
        <v>1556</v>
      </c>
      <c r="B51" s="210" t="s">
        <v>1557</v>
      </c>
      <c r="C51" s="232">
        <f ca="1">ROUND(C49*F50,0)</f>
        <v>508</v>
      </c>
      <c r="D51" s="232"/>
      <c r="E51" s="232"/>
      <c r="F51" s="264"/>
      <c r="G51" s="234" t="s">
        <v>1558</v>
      </c>
    </row>
    <row r="52" spans="1:7" s="208" customFormat="1" ht="16.5" thickBot="1">
      <c r="A52" s="265" t="s">
        <v>1559</v>
      </c>
      <c r="B52" s="266"/>
      <c r="C52" s="267">
        <f ca="1">C31+C51</f>
        <v>533</v>
      </c>
      <c r="D52" s="266"/>
      <c r="E52" s="266"/>
      <c r="F52" s="266"/>
      <c r="G52" s="268"/>
    </row>
    <row r="55" spans="1:7" ht="15">
      <c r="B55" s="270" t="s">
        <v>1560</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89" t="str">
        <f>项目基本情况!B1</f>
        <v>北京市朝阳区东三环南路98号1幢3层307房地产抵押价值预评估</v>
      </c>
      <c r="C37" s="3489"/>
      <c r="D37" s="3489"/>
      <c r="E37" s="3489"/>
      <c r="F37" s="3489"/>
      <c r="G37" s="3489"/>
      <c r="H37" s="3489"/>
      <c r="I37" s="3489"/>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9"/>
      <c r="F1" s="2799"/>
      <c r="G1" s="2664"/>
      <c r="H1" s="2799"/>
      <c r="I1" s="2799"/>
      <c r="J1" s="2799"/>
      <c r="K1" s="2800">
        <f>MATCH(C1,'数据-取费表'!A6:A16,0)+5</f>
        <v>11</v>
      </c>
    </row>
    <row r="2" spans="1:33" ht="18" customHeight="1">
      <c r="A2" s="201" t="s">
        <v>1460</v>
      </c>
      <c r="B2" s="204">
        <f ca="1">C32</f>
        <v>-21</v>
      </c>
      <c r="C2" s="276" t="s">
        <v>1593</v>
      </c>
      <c r="D2" s="276"/>
      <c r="E2" s="2799"/>
      <c r="F2" s="2799"/>
      <c r="G2" s="2799"/>
      <c r="H2" s="2799"/>
      <c r="I2" s="2799"/>
      <c r="J2" s="2799"/>
      <c r="K2" s="2799"/>
    </row>
    <row r="3" spans="1:33" ht="18" customHeight="1" thickBot="1">
      <c r="A3" s="203" t="s">
        <v>1462</v>
      </c>
      <c r="B3" s="204">
        <f ca="1">ROUND(B2*10000/IF(C1="",'数据-汇总表'!E3,INDIRECT("'数据-取费表'!K"&amp;$K$1)),0)</f>
        <v>-216</v>
      </c>
      <c r="C3" s="276" t="s">
        <v>1594</v>
      </c>
      <c r="D3" s="276"/>
      <c r="E3" s="2799"/>
      <c r="F3" s="2799"/>
      <c r="G3" s="2799"/>
      <c r="H3" s="2799"/>
      <c r="I3" s="2799"/>
      <c r="J3" s="2799"/>
      <c r="K3" s="2799"/>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971.86</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0.02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971.86</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19</v>
      </c>
      <c r="D18" s="842"/>
      <c r="E18" s="21"/>
      <c r="F18" s="800"/>
      <c r="G18" s="1858"/>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19</v>
      </c>
      <c r="D20" s="842">
        <f ca="1">IF(C1="",'数据-汇总表'!E6,IF(INDIRECT("'数据-取费表'!c"&amp;$K$1)="住宅",INDIRECT("'数据-取费表'!s"&amp;$K$1),INDIRECT("'数据-取费表'!k"&amp;$K$1)+INDIRECT("'数据-取费表'!s"&amp;$K$1)))</f>
        <v>971.86</v>
      </c>
      <c r="E20" s="21">
        <f>'数据-取费表'!B28</f>
        <v>200</v>
      </c>
      <c r="F20" s="800"/>
      <c r="G20" s="12"/>
      <c r="H20" s="805"/>
      <c r="I20" s="805"/>
      <c r="J20" s="805"/>
      <c r="K20" s="806"/>
    </row>
    <row r="21" spans="1:33" s="799" customFormat="1" ht="13.5" customHeight="1">
      <c r="A21" s="786" t="s">
        <v>357</v>
      </c>
      <c r="B21" s="809" t="s">
        <v>1626</v>
      </c>
      <c r="C21" s="810">
        <f ca="1">C16+C17+C18</f>
        <v>19</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3</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3</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-21</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11</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699"/>
      <c r="H2" s="2688"/>
      <c r="I2" s="2688"/>
      <c r="J2" s="2688"/>
      <c r="K2" s="2689"/>
      <c r="L2" s="2688"/>
      <c r="M2" s="2688"/>
    </row>
    <row r="3" spans="1:37" ht="18" customHeight="1" thickBot="1">
      <c r="A3" s="1386" t="s">
        <v>806</v>
      </c>
      <c r="B3" s="1387">
        <f ca="1">IF(ISERROR(B2*10000/F43),0,ROUND(B2*10000/F43,0))</f>
        <v>0</v>
      </c>
      <c r="C3" s="1383" t="s">
        <v>807</v>
      </c>
      <c r="D3" s="1383"/>
      <c r="E3" s="1384"/>
      <c r="F3" s="1385"/>
      <c r="G3" s="2699"/>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77" t="s">
        <v>694</v>
      </c>
      <c r="C6" s="1070">
        <f ca="1">ROUND(F6*F8*F7*(1-F9)/10000,0)</f>
        <v>0</v>
      </c>
      <c r="D6" s="155" t="s">
        <v>2107</v>
      </c>
      <c r="E6" s="302" t="s">
        <v>696</v>
      </c>
      <c r="F6" s="303">
        <f ca="1">INDIRECT("'数据-取费表'!u"&amp;$G$1)</f>
        <v>0</v>
      </c>
      <c r="G6" s="1380"/>
      <c r="H6" s="1065" t="s">
        <v>398</v>
      </c>
      <c r="I6" s="3677" t="s">
        <v>694</v>
      </c>
      <c r="J6" s="301">
        <f ca="1">ROUND(M6*M8*M7*(1-M9)/10000,0)</f>
        <v>0</v>
      </c>
      <c r="K6" s="155" t="s">
        <v>2106</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0</v>
      </c>
      <c r="G7" s="1380"/>
      <c r="H7" s="304"/>
      <c r="I7" s="3678"/>
      <c r="J7" s="306"/>
      <c r="K7" s="307"/>
      <c r="L7" s="302" t="s">
        <v>697</v>
      </c>
      <c r="M7" s="303">
        <f ca="1">F7</f>
        <v>0</v>
      </c>
    </row>
    <row r="8" spans="1:37" ht="18" customHeight="1">
      <c r="A8" s="304"/>
      <c r="B8" s="3678"/>
      <c r="C8" s="306"/>
      <c r="D8" s="307"/>
      <c r="E8" s="302" t="s">
        <v>698</v>
      </c>
      <c r="F8" s="303">
        <f ca="1">INDIRECT("'数据-取费表'!ai"&amp;$G$1)</f>
        <v>0</v>
      </c>
      <c r="G8" s="1380"/>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c r="G10" s="1380"/>
      <c r="H10" s="1065" t="s">
        <v>402</v>
      </c>
      <c r="I10" s="1361" t="s">
        <v>700</v>
      </c>
      <c r="J10" s="301">
        <f ca="1">ROUND(IF(M10="押一",J6/12*M11,IF(M10="押二",J6/12*2*M11,IF(M10="押三",J6/12*3*M11,J11*M11))),0)</f>
        <v>0</v>
      </c>
      <c r="K10" s="1362" t="s">
        <v>2114</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3329</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IF(项目基本情况!B11="自然人","——",ROUND(C6*F32/(1+'数据-取费表'!C42),2))</f>
        <v>0</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IF(项目基本情况!B11="自然人","——",ROUND(F34*F35/10000,2))</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ROUND(C29*F36,2)</f>
        <v>0</v>
      </c>
      <c r="D36" s="1340" t="s">
        <v>771</v>
      </c>
      <c r="E36" s="302" t="s">
        <v>712</v>
      </c>
      <c r="F36" s="328">
        <f ca="1">INDIRECT("'数据-取费表'!Ak"&amp;$G$1)</f>
        <v>0</v>
      </c>
      <c r="G36" s="1380"/>
      <c r="H36" s="2693"/>
      <c r="I36" s="1394"/>
      <c r="J36" s="1395"/>
      <c r="K36" s="2537"/>
      <c r="L36" s="2693"/>
      <c r="M36" s="2693"/>
    </row>
    <row r="37" spans="1:18" ht="18" customHeight="1">
      <c r="A37" s="978" t="s">
        <v>437</v>
      </c>
      <c r="B37" s="302" t="s">
        <v>742</v>
      </c>
      <c r="C37" s="21">
        <f ca="1">ROUND(C13*F37,2)</f>
        <v>0</v>
      </c>
      <c r="D37" s="1340" t="s">
        <v>743</v>
      </c>
      <c r="E37" s="302" t="s">
        <v>744</v>
      </c>
      <c r="F37" s="330">
        <f ca="1">INDIRECT("'数据-取费表'!Al"&amp;$G$1)</f>
        <v>0</v>
      </c>
      <c r="G37" s="1380"/>
      <c r="H37" s="2693"/>
      <c r="I37" s="1394"/>
      <c r="J37" s="1395"/>
      <c r="K37" s="2537"/>
      <c r="L37" s="2693"/>
      <c r="M37" s="2693"/>
    </row>
    <row r="38" spans="1:18" ht="18" customHeight="1" thickBot="1">
      <c r="A38" s="1085" t="s">
        <v>684</v>
      </c>
      <c r="B38" s="1086" t="s">
        <v>728</v>
      </c>
      <c r="C38" s="1087">
        <f ca="1">ROUND(C5*F38,2)</f>
        <v>0</v>
      </c>
      <c r="D38" s="1088" t="s">
        <v>748</v>
      </c>
      <c r="E38" s="1086" t="s">
        <v>744</v>
      </c>
      <c r="F38" s="1082">
        <f ca="1">INDIRECT("'数据-取费表'!Am"&amp;$G$1)</f>
        <v>0</v>
      </c>
      <c r="G38" s="1380"/>
      <c r="H38" s="2693"/>
      <c r="I38" s="1394"/>
      <c r="J38" s="1395"/>
      <c r="K38" s="2697"/>
      <c r="L38" s="2693"/>
      <c r="M38" s="2693"/>
    </row>
    <row r="39" spans="1:18" ht="24.6" customHeight="1" thickTop="1">
      <c r="A39" s="1075" t="s">
        <v>394</v>
      </c>
      <c r="B39" s="1090" t="s">
        <v>772</v>
      </c>
      <c r="C39" s="310">
        <f ca="1">C5-C30</f>
        <v>0</v>
      </c>
      <c r="D39" s="1091" t="s">
        <v>773</v>
      </c>
      <c r="E39" s="1092"/>
      <c r="F39" s="1093"/>
      <c r="G39" s="1380"/>
      <c r="H39" s="2693"/>
      <c r="I39" s="1394"/>
      <c r="J39" s="1395"/>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7"/>
      <c r="L41" s="1187"/>
      <c r="M41" s="1187"/>
    </row>
    <row r="42" spans="1:18" ht="18" customHeight="1">
      <c r="A42" s="308"/>
      <c r="B42" s="309"/>
      <c r="C42" s="310"/>
      <c r="D42" s="327"/>
      <c r="E42" s="302" t="s">
        <v>766</v>
      </c>
      <c r="F42" s="312">
        <f ca="1">INDIRECT("'数据-取费表'!v"&amp;$G$1)</f>
        <v>0</v>
      </c>
      <c r="G42" s="1380"/>
      <c r="H42" s="1187"/>
      <c r="I42" s="1394"/>
      <c r="J42" s="1395"/>
      <c r="K42" s="2537"/>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8"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0</v>
      </c>
      <c r="K53" s="3675" t="s">
        <v>837</v>
      </c>
      <c r="L53" s="3676"/>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306" priority="56">
      <formula>$L$48&gt;$J$51</formula>
    </cfRule>
  </conditionalFormatting>
  <conditionalFormatting sqref="I55 I60">
    <cfRule type="expression" dxfId="305" priority="57">
      <formula>$J$51&gt;$L$48</formula>
    </cfRule>
  </conditionalFormatting>
  <conditionalFormatting sqref="C11">
    <cfRule type="expression" dxfId="304" priority="3">
      <formula>$F$10="自定义"</formula>
    </cfRule>
  </conditionalFormatting>
  <conditionalFormatting sqref="J11">
    <cfRule type="expression" dxfId="303" priority="2">
      <formula>$M$10="自定义"</formula>
    </cfRule>
  </conditionalFormatting>
  <conditionalFormatting sqref="C54">
    <cfRule type="expression" dxfId="3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3410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675.81359999999995</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1766</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05" t="s">
        <v>1773</v>
      </c>
      <c r="Q4" s="3706"/>
      <c r="R4" s="3685" t="s">
        <v>1769</v>
      </c>
      <c r="S4" s="3686"/>
      <c r="T4" s="3685" t="s">
        <v>1770</v>
      </c>
      <c r="U4" s="3686"/>
      <c r="V4" s="3713" t="s">
        <v>1771</v>
      </c>
      <c r="W4" s="3713"/>
      <c r="X4" s="1954"/>
      <c r="Y4" s="3685" t="s">
        <v>1773</v>
      </c>
      <c r="Z4" s="3686"/>
      <c r="AA4" s="3680" t="s">
        <v>1769</v>
      </c>
      <c r="AB4" s="3680" t="s">
        <v>1770</v>
      </c>
      <c r="AC4" s="3698" t="s">
        <v>1771</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1351"/>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1351"/>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1339"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1955">
        <f t="shared" si="5"/>
        <v>1</v>
      </c>
    </row>
    <row r="12" spans="1:29" s="108" customFormat="1" ht="15" hidden="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1955">
        <f>D12/J12</f>
        <v>1</v>
      </c>
    </row>
    <row r="13" spans="1:29" ht="15" hidden="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1348" t="str">
        <f t="shared" si="6"/>
        <v>办公集聚程度</v>
      </c>
      <c r="R15" s="705" t="s">
        <v>14</v>
      </c>
      <c r="S15" s="706">
        <f t="shared" si="0"/>
        <v>100</v>
      </c>
      <c r="T15" s="705" t="s">
        <v>14</v>
      </c>
      <c r="U15" s="706">
        <f t="shared" si="1"/>
        <v>100</v>
      </c>
      <c r="V15" s="705" t="s">
        <v>14</v>
      </c>
      <c r="W15" s="706">
        <f t="shared" si="2"/>
        <v>100</v>
      </c>
      <c r="X15" s="1351"/>
      <c r="Y15" s="3719" t="s">
        <v>1689</v>
      </c>
      <c r="Z15" s="1352" t="str">
        <f t="shared" si="7"/>
        <v>办公集聚程度</v>
      </c>
      <c r="AA15" s="1349">
        <f t="shared" si="3"/>
        <v>1</v>
      </c>
      <c r="AB15" s="1349">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1348"/>
      <c r="R16" s="705"/>
      <c r="S16" s="706"/>
      <c r="T16" s="705"/>
      <c r="U16" s="706"/>
      <c r="V16" s="705"/>
      <c r="W16" s="706"/>
      <c r="X16" s="1351"/>
      <c r="Y16" s="3720"/>
      <c r="Z16" s="1352"/>
      <c r="AA16" s="1349">
        <v>1</v>
      </c>
      <c r="AB16" s="1349">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1348"/>
      <c r="R18" s="705"/>
      <c r="S18" s="706"/>
      <c r="T18" s="705"/>
      <c r="U18" s="706"/>
      <c r="V18" s="705"/>
      <c r="W18" s="706"/>
      <c r="X18" s="1351"/>
      <c r="Y18" s="3720"/>
      <c r="Z18" s="1352"/>
      <c r="AA18" s="1349">
        <v>1</v>
      </c>
      <c r="AB18" s="1349">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1348"/>
      <c r="R20" s="705"/>
      <c r="S20" s="706"/>
      <c r="T20" s="705"/>
      <c r="U20" s="706"/>
      <c r="V20" s="705"/>
      <c r="W20" s="706"/>
      <c r="X20" s="1351"/>
      <c r="Y20" s="3720"/>
      <c r="Z20" s="1352"/>
      <c r="AA20" s="1349">
        <v>1</v>
      </c>
      <c r="AB20" s="1349">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1348"/>
      <c r="R22" s="705"/>
      <c r="S22" s="706"/>
      <c r="T22" s="705"/>
      <c r="U22" s="706"/>
      <c r="V22" s="705"/>
      <c r="W22" s="706"/>
      <c r="X22" s="1351"/>
      <c r="Y22" s="3720"/>
      <c r="Z22" s="1352"/>
      <c r="AA22" s="1349">
        <v>1</v>
      </c>
      <c r="AB22" s="1349">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1348" t="str">
        <f>B23</f>
        <v>环境质量</v>
      </c>
      <c r="R23" s="705" t="s">
        <v>14</v>
      </c>
      <c r="S23" s="706">
        <f>F23</f>
        <v>100</v>
      </c>
      <c r="T23" s="705" t="s">
        <v>14</v>
      </c>
      <c r="U23" s="706">
        <f>H23</f>
        <v>100</v>
      </c>
      <c r="V23" s="705" t="s">
        <v>14</v>
      </c>
      <c r="W23" s="706">
        <f>J23</f>
        <v>100</v>
      </c>
      <c r="X23" s="1351"/>
      <c r="Y23" s="3720"/>
      <c r="Z23" s="1352" t="str">
        <f>Q23</f>
        <v>环境质量</v>
      </c>
      <c r="AA23" s="1349">
        <f t="shared" si="3"/>
        <v>1</v>
      </c>
      <c r="AB23" s="1349">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1348"/>
      <c r="R24" s="705"/>
      <c r="S24" s="706"/>
      <c r="T24" s="705"/>
      <c r="U24" s="706"/>
      <c r="V24" s="705"/>
      <c r="W24" s="706"/>
      <c r="X24" s="1351"/>
      <c r="Y24" s="3720"/>
      <c r="Z24" s="1352"/>
      <c r="AA24" s="1349">
        <v>1</v>
      </c>
      <c r="AB24" s="1349">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1348" t="str">
        <f>B25</f>
        <v>毗邻道路的类型与等级</v>
      </c>
      <c r="R25" s="705" t="s">
        <v>14</v>
      </c>
      <c r="S25" s="706">
        <f>F25</f>
        <v>100</v>
      </c>
      <c r="T25" s="705" t="s">
        <v>14</v>
      </c>
      <c r="U25" s="706">
        <f>H25</f>
        <v>100</v>
      </c>
      <c r="V25" s="705" t="s">
        <v>14</v>
      </c>
      <c r="W25" s="706">
        <f>J25</f>
        <v>100</v>
      </c>
      <c r="X25" s="1351"/>
      <c r="Y25" s="3720"/>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1348"/>
      <c r="R26" s="705"/>
      <c r="S26" s="706"/>
      <c r="T26" s="705"/>
      <c r="U26" s="706"/>
      <c r="V26" s="705"/>
      <c r="W26" s="706"/>
      <c r="X26" s="1351"/>
      <c r="Y26" s="3720"/>
      <c r="Z26" s="1352"/>
      <c r="AA26" s="1349">
        <v>1</v>
      </c>
      <c r="AB26" s="1349">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718"/>
      <c r="Q27" s="1348" t="str">
        <f t="shared" ref="Q27:Q47" si="11">B27</f>
        <v>楼层</v>
      </c>
      <c r="R27" s="705" t="s">
        <v>14</v>
      </c>
      <c r="S27" s="706">
        <f>F27</f>
        <v>102</v>
      </c>
      <c r="T27" s="705" t="s">
        <v>14</v>
      </c>
      <c r="U27" s="706">
        <f>H27</f>
        <v>104</v>
      </c>
      <c r="V27" s="705" t="s">
        <v>14</v>
      </c>
      <c r="W27" s="706">
        <f>J27</f>
        <v>102</v>
      </c>
      <c r="X27" s="1351"/>
      <c r="Y27" s="3720"/>
      <c r="Z27" s="1352" t="str">
        <f>Q27</f>
        <v>楼层</v>
      </c>
      <c r="AA27" s="1349">
        <f t="shared" si="3"/>
        <v>0.98039215686274506</v>
      </c>
      <c r="AB27" s="1349">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1339" t="str">
        <f t="shared" si="11"/>
        <v>朝向</v>
      </c>
      <c r="R28" s="701" t="s">
        <v>14</v>
      </c>
      <c r="S28" s="702">
        <f>F28</f>
        <v>100</v>
      </c>
      <c r="T28" s="701" t="s">
        <v>14</v>
      </c>
      <c r="U28" s="702">
        <f>H28</f>
        <v>100</v>
      </c>
      <c r="V28" s="701" t="s">
        <v>14</v>
      </c>
      <c r="W28" s="702">
        <f>J28</f>
        <v>100</v>
      </c>
      <c r="X28" s="703"/>
      <c r="Y28" s="3720"/>
      <c r="Z28" s="52" t="str">
        <f>Q28</f>
        <v>朝向</v>
      </c>
      <c r="AA28" s="1349">
        <f>D28/F28</f>
        <v>1</v>
      </c>
      <c r="AB28" s="1349">
        <f>D28/H28</f>
        <v>1</v>
      </c>
      <c r="AC28" s="1958">
        <f>D28/J28</f>
        <v>1</v>
      </c>
    </row>
    <row r="29" spans="1:29" ht="15" hidden="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1348">
        <f t="shared" si="11"/>
        <v>111</v>
      </c>
      <c r="R29" s="705" t="s">
        <v>14</v>
      </c>
      <c r="S29" s="706">
        <f t="shared" ref="S29:S47" si="12">F29</f>
        <v>100</v>
      </c>
      <c r="T29" s="705" t="s">
        <v>14</v>
      </c>
      <c r="U29" s="706">
        <f t="shared" ref="U29:U47" si="13">H29</f>
        <v>100</v>
      </c>
      <c r="V29" s="705" t="s">
        <v>14</v>
      </c>
      <c r="W29" s="706">
        <f t="shared" ref="W29:W47" si="14">J29</f>
        <v>100</v>
      </c>
      <c r="X29" s="1351"/>
      <c r="Y29" s="3720"/>
      <c r="Z29" s="1352">
        <f t="shared" ref="Z29:Z47" si="15">Q29</f>
        <v>111</v>
      </c>
      <c r="AA29" s="1349">
        <f t="shared" si="3"/>
        <v>1</v>
      </c>
      <c r="AB29" s="1349">
        <f t="shared" si="4"/>
        <v>1</v>
      </c>
      <c r="AC29" s="1958">
        <f t="shared" si="5"/>
        <v>1</v>
      </c>
    </row>
    <row r="30" spans="1:29" ht="15" hidden="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1348">
        <f t="shared" si="11"/>
        <v>111</v>
      </c>
      <c r="R30" s="705" t="s">
        <v>14</v>
      </c>
      <c r="S30" s="706">
        <f t="shared" si="12"/>
        <v>100</v>
      </c>
      <c r="T30" s="705" t="s">
        <v>14</v>
      </c>
      <c r="U30" s="706">
        <f t="shared" si="13"/>
        <v>100</v>
      </c>
      <c r="V30" s="705" t="s">
        <v>14</v>
      </c>
      <c r="W30" s="706">
        <f t="shared" si="14"/>
        <v>100</v>
      </c>
      <c r="X30" s="1351"/>
      <c r="Y30" s="3720"/>
      <c r="Z30" s="1352">
        <f t="shared" si="15"/>
        <v>111</v>
      </c>
      <c r="AA30" s="1349">
        <f t="shared" si="3"/>
        <v>1</v>
      </c>
      <c r="AB30" s="1349">
        <f t="shared" si="4"/>
        <v>1</v>
      </c>
      <c r="AC30" s="1958">
        <f t="shared" si="5"/>
        <v>1</v>
      </c>
    </row>
    <row r="31" spans="1:29" ht="15" hidden="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1348">
        <f t="shared" si="11"/>
        <v>111</v>
      </c>
      <c r="R31" s="705" t="s">
        <v>14</v>
      </c>
      <c r="S31" s="706">
        <f t="shared" si="12"/>
        <v>100</v>
      </c>
      <c r="T31" s="705" t="s">
        <v>14</v>
      </c>
      <c r="U31" s="706">
        <f t="shared" si="13"/>
        <v>100</v>
      </c>
      <c r="V31" s="705" t="s">
        <v>14</v>
      </c>
      <c r="W31" s="706">
        <f t="shared" si="14"/>
        <v>100</v>
      </c>
      <c r="X31" s="1351"/>
      <c r="Y31" s="3720"/>
      <c r="Z31" s="1352">
        <f t="shared" si="15"/>
        <v>111</v>
      </c>
      <c r="AA31" s="1349">
        <f t="shared" si="3"/>
        <v>1</v>
      </c>
      <c r="AB31" s="1349">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1348">
        <f t="shared" si="11"/>
        <v>111</v>
      </c>
      <c r="R32" s="705" t="s">
        <v>14</v>
      </c>
      <c r="S32" s="706">
        <f t="shared" si="12"/>
        <v>100</v>
      </c>
      <c r="T32" s="705" t="s">
        <v>14</v>
      </c>
      <c r="U32" s="706">
        <f t="shared" si="13"/>
        <v>100</v>
      </c>
      <c r="V32" s="705" t="s">
        <v>14</v>
      </c>
      <c r="W32" s="706">
        <f t="shared" si="14"/>
        <v>100</v>
      </c>
      <c r="X32" s="1351"/>
      <c r="Y32" s="3720"/>
      <c r="Z32" s="1352">
        <f t="shared" si="15"/>
        <v>111</v>
      </c>
      <c r="AA32" s="1349">
        <f t="shared" si="3"/>
        <v>1</v>
      </c>
      <c r="AB32" s="1349">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1348" t="str">
        <f t="shared" si="11"/>
        <v>建筑类型</v>
      </c>
      <c r="R33" s="705" t="s">
        <v>14</v>
      </c>
      <c r="S33" s="706">
        <f t="shared" si="12"/>
        <v>100</v>
      </c>
      <c r="T33" s="705" t="s">
        <v>14</v>
      </c>
      <c r="U33" s="706">
        <f t="shared" si="13"/>
        <v>100</v>
      </c>
      <c r="V33" s="705" t="s">
        <v>14</v>
      </c>
      <c r="W33" s="706">
        <f t="shared" si="14"/>
        <v>100</v>
      </c>
      <c r="X33" s="1351"/>
      <c r="Y33" s="3724" t="s">
        <v>1694</v>
      </c>
      <c r="Z33" s="1352" t="str">
        <f t="shared" si="15"/>
        <v>建筑类型</v>
      </c>
      <c r="AA33" s="1349">
        <f t="shared" si="3"/>
        <v>1</v>
      </c>
      <c r="AB33" s="1349">
        <f t="shared" si="4"/>
        <v>1</v>
      </c>
      <c r="AC33" s="1958">
        <f t="shared" si="5"/>
        <v>1</v>
      </c>
    </row>
    <row r="34" spans="1:29" s="422" customFormat="1" ht="15">
      <c r="A34" s="419"/>
      <c r="B34" s="375" t="s">
        <v>1695</v>
      </c>
      <c r="C34" s="420">
        <f>'数据-汇总表'!F19</f>
        <v>198.18</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1349">
        <f t="shared" si="3"/>
        <v>1</v>
      </c>
      <c r="AB34" s="1349">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1348" t="str">
        <f t="shared" si="11"/>
        <v>建筑结构</v>
      </c>
      <c r="R35" s="705" t="s">
        <v>14</v>
      </c>
      <c r="S35" s="706">
        <f t="shared" si="12"/>
        <v>100</v>
      </c>
      <c r="T35" s="705" t="s">
        <v>14</v>
      </c>
      <c r="U35" s="706">
        <f t="shared" si="13"/>
        <v>100</v>
      </c>
      <c r="V35" s="705" t="s">
        <v>14</v>
      </c>
      <c r="W35" s="706">
        <f t="shared" si="14"/>
        <v>100</v>
      </c>
      <c r="X35" s="1351"/>
      <c r="Y35" s="3724"/>
      <c r="Z35" s="1352" t="str">
        <f t="shared" si="15"/>
        <v>建筑结构</v>
      </c>
      <c r="AA35" s="1349">
        <f t="shared" si="3"/>
        <v>1</v>
      </c>
      <c r="AB35" s="1349">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1348" t="str">
        <f t="shared" si="11"/>
        <v>公共部分装修</v>
      </c>
      <c r="R36" s="705" t="s">
        <v>14</v>
      </c>
      <c r="S36" s="706">
        <f t="shared" si="12"/>
        <v>100</v>
      </c>
      <c r="T36" s="705" t="s">
        <v>14</v>
      </c>
      <c r="U36" s="706">
        <f t="shared" si="13"/>
        <v>100</v>
      </c>
      <c r="V36" s="705" t="s">
        <v>14</v>
      </c>
      <c r="W36" s="706">
        <f t="shared" si="14"/>
        <v>100</v>
      </c>
      <c r="X36" s="1351"/>
      <c r="Y36" s="3724"/>
      <c r="Z36" s="1352" t="str">
        <f t="shared" si="15"/>
        <v>公共部分装修</v>
      </c>
      <c r="AA36" s="1349">
        <f t="shared" si="3"/>
        <v>1</v>
      </c>
      <c r="AB36" s="1349">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1348" t="str">
        <f t="shared" si="11"/>
        <v>成新度</v>
      </c>
      <c r="R37" s="705" t="s">
        <v>14</v>
      </c>
      <c r="S37" s="706">
        <f t="shared" si="12"/>
        <v>100</v>
      </c>
      <c r="T37" s="705" t="s">
        <v>14</v>
      </c>
      <c r="U37" s="706">
        <f t="shared" si="13"/>
        <v>100</v>
      </c>
      <c r="V37" s="705" t="s">
        <v>14</v>
      </c>
      <c r="W37" s="706">
        <f t="shared" si="14"/>
        <v>99</v>
      </c>
      <c r="X37" s="1351"/>
      <c r="Y37" s="3724"/>
      <c r="Z37" s="1352" t="str">
        <f t="shared" si="15"/>
        <v>成新度</v>
      </c>
      <c r="AA37" s="1349">
        <f t="shared" si="3"/>
        <v>1</v>
      </c>
      <c r="AB37" s="1349">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1339"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1348" t="str">
        <f t="shared" si="11"/>
        <v>物业管理</v>
      </c>
      <c r="R39" s="705" t="s">
        <v>14</v>
      </c>
      <c r="S39" s="706">
        <f t="shared" si="12"/>
        <v>100</v>
      </c>
      <c r="T39" s="705" t="s">
        <v>14</v>
      </c>
      <c r="U39" s="706">
        <f t="shared" si="13"/>
        <v>100</v>
      </c>
      <c r="V39" s="705" t="s">
        <v>14</v>
      </c>
      <c r="W39" s="706">
        <f t="shared" si="14"/>
        <v>100</v>
      </c>
      <c r="X39" s="1351"/>
      <c r="Y39" s="3724" t="s">
        <v>1694</v>
      </c>
      <c r="Z39" s="1352" t="str">
        <f t="shared" si="15"/>
        <v>物业管理</v>
      </c>
      <c r="AA39" s="1349">
        <f t="shared" si="3"/>
        <v>1</v>
      </c>
      <c r="AB39" s="1349">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1348" t="str">
        <f t="shared" si="11"/>
        <v>市政基础设施</v>
      </c>
      <c r="R40" s="705" t="s">
        <v>14</v>
      </c>
      <c r="S40" s="706">
        <f t="shared" si="12"/>
        <v>100</v>
      </c>
      <c r="T40" s="705" t="s">
        <v>14</v>
      </c>
      <c r="U40" s="706">
        <f t="shared" si="13"/>
        <v>100</v>
      </c>
      <c r="V40" s="705" t="s">
        <v>14</v>
      </c>
      <c r="W40" s="706">
        <f t="shared" si="14"/>
        <v>100</v>
      </c>
      <c r="X40" s="1351"/>
      <c r="Y40" s="3724"/>
      <c r="Z40" s="1352" t="str">
        <f t="shared" si="15"/>
        <v>市政基础设施</v>
      </c>
      <c r="AA40" s="1349">
        <f t="shared" si="3"/>
        <v>1</v>
      </c>
      <c r="AB40" s="1349">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1348" t="str">
        <f t="shared" si="11"/>
        <v>层高</v>
      </c>
      <c r="R41" s="705" t="s">
        <v>14</v>
      </c>
      <c r="S41" s="706">
        <f t="shared" si="12"/>
        <v>100</v>
      </c>
      <c r="T41" s="705" t="s">
        <v>14</v>
      </c>
      <c r="U41" s="706">
        <f t="shared" si="13"/>
        <v>100</v>
      </c>
      <c r="V41" s="705" t="s">
        <v>14</v>
      </c>
      <c r="W41" s="706">
        <f t="shared" si="14"/>
        <v>100</v>
      </c>
      <c r="X41" s="1351"/>
      <c r="Y41" s="3724"/>
      <c r="Z41" s="1352" t="str">
        <f t="shared" si="15"/>
        <v>层高</v>
      </c>
      <c r="AA41" s="1349">
        <f t="shared" si="3"/>
        <v>1</v>
      </c>
      <c r="AB41" s="1349">
        <f t="shared" si="4"/>
        <v>1</v>
      </c>
      <c r="AC41" s="1958">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49">
        <f t="shared" si="3"/>
        <v>1</v>
      </c>
      <c r="AB42" s="1349">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1348" t="str">
        <f t="shared" si="11"/>
        <v>内部装修</v>
      </c>
      <c r="R43" s="705" t="s">
        <v>14</v>
      </c>
      <c r="S43" s="706">
        <f t="shared" si="12"/>
        <v>100</v>
      </c>
      <c r="T43" s="705" t="s">
        <v>14</v>
      </c>
      <c r="U43" s="706">
        <f t="shared" si="13"/>
        <v>100</v>
      </c>
      <c r="V43" s="705" t="s">
        <v>14</v>
      </c>
      <c r="W43" s="706">
        <f t="shared" si="14"/>
        <v>100</v>
      </c>
      <c r="X43" s="1351"/>
      <c r="Y43" s="3724"/>
      <c r="Z43" s="1352" t="str">
        <f t="shared" si="15"/>
        <v>内部装修</v>
      </c>
      <c r="AA43" s="1349">
        <f t="shared" si="3"/>
        <v>1</v>
      </c>
      <c r="AB43" s="1349">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1348" t="str">
        <f t="shared" si="11"/>
        <v>内部装修维护情况</v>
      </c>
      <c r="R44" s="705" t="s">
        <v>14</v>
      </c>
      <c r="S44" s="706">
        <f t="shared" si="12"/>
        <v>100</v>
      </c>
      <c r="T44" s="705" t="s">
        <v>14</v>
      </c>
      <c r="U44" s="706">
        <f t="shared" si="13"/>
        <v>100</v>
      </c>
      <c r="V44" s="705" t="s">
        <v>14</v>
      </c>
      <c r="W44" s="706">
        <f t="shared" si="14"/>
        <v>100</v>
      </c>
      <c r="X44" s="1351"/>
      <c r="Y44" s="3724"/>
      <c r="Z44" s="1352" t="str">
        <f t="shared" si="15"/>
        <v>内部装修维护情况</v>
      </c>
      <c r="AA44" s="1349">
        <f t="shared" si="3"/>
        <v>1</v>
      </c>
      <c r="AB44" s="1349">
        <f t="shared" si="4"/>
        <v>1</v>
      </c>
      <c r="AC44" s="1958">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1339">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5">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1348">
        <f t="shared" si="11"/>
        <v>111</v>
      </c>
      <c r="R46" s="705" t="s">
        <v>14</v>
      </c>
      <c r="S46" s="706">
        <f t="shared" si="12"/>
        <v>100</v>
      </c>
      <c r="T46" s="705" t="s">
        <v>14</v>
      </c>
      <c r="U46" s="706">
        <f t="shared" si="13"/>
        <v>100</v>
      </c>
      <c r="V46" s="705" t="s">
        <v>14</v>
      </c>
      <c r="W46" s="706">
        <f t="shared" si="14"/>
        <v>100</v>
      </c>
      <c r="X46" s="1351"/>
      <c r="Y46" s="3724"/>
      <c r="Z46" s="1352">
        <f t="shared" si="15"/>
        <v>111</v>
      </c>
      <c r="AA46" s="1349">
        <f t="shared" si="3"/>
        <v>1</v>
      </c>
      <c r="AB46" s="1349">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1348">
        <f t="shared" si="11"/>
        <v>111</v>
      </c>
      <c r="R47" s="705" t="s">
        <v>14</v>
      </c>
      <c r="S47" s="706">
        <f t="shared" si="12"/>
        <v>100</v>
      </c>
      <c r="T47" s="705" t="s">
        <v>14</v>
      </c>
      <c r="U47" s="706">
        <f t="shared" si="13"/>
        <v>100</v>
      </c>
      <c r="V47" s="705" t="s">
        <v>14</v>
      </c>
      <c r="W47" s="706">
        <f t="shared" si="14"/>
        <v>100</v>
      </c>
      <c r="X47" s="1351"/>
      <c r="Y47" s="3725"/>
      <c r="Z47" s="1352">
        <f t="shared" si="15"/>
        <v>111</v>
      </c>
      <c r="AA47" s="1349">
        <f t="shared" si="3"/>
        <v>1</v>
      </c>
      <c r="AB47" s="1349">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1791</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97" t="str">
        <f>A49</f>
        <v>比较价值（元/平方米）</v>
      </c>
      <c r="Q49" s="3726"/>
      <c r="R49" s="3727">
        <f>IF(F1="售价",ROUND(PRODUCT(R48,AA7:AA47),0),ROUND(PRODUCT(R48,AA7:AA47),1))</f>
        <v>32179</v>
      </c>
      <c r="S49" s="3727"/>
      <c r="T49" s="3727">
        <f>IF(F1="售价",ROUND(PRODUCT(T48,AB7:AB47),0),ROUND(PRODUCT(T48,AB7:AB47),1))</f>
        <v>34257</v>
      </c>
      <c r="U49" s="3727"/>
      <c r="V49" s="3727">
        <f>IF(F1="售价",ROUND(PRODUCT(V48,AC7:AC47),0),ROUND(PRODUCT(V48,AC7:AC47),1))</f>
        <v>35867</v>
      </c>
      <c r="W49" s="3727"/>
      <c r="X49" s="397"/>
      <c r="Y49" s="397"/>
      <c r="Z49" s="397"/>
      <c r="AA49" s="397"/>
      <c r="AB49" s="397"/>
      <c r="AC49" s="578"/>
    </row>
    <row r="50" spans="1:29" ht="15.75" thickBot="1">
      <c r="A50" s="441" t="s">
        <v>1792</v>
      </c>
      <c r="B50" s="442"/>
      <c r="C50" s="1159">
        <f>R50</f>
        <v>34101</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34101</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301" priority="20" stopIfTrue="1" operator="containsText" text="超过">
      <formula>NOT(ISERROR(SEARCH("超过",F53)))</formula>
    </cfRule>
  </conditionalFormatting>
  <conditionalFormatting sqref="H55">
    <cfRule type="containsText" dxfId="300" priority="19" stopIfTrue="1" operator="containsText" text="超过">
      <formula>NOT(ISERROR(SEARCH("超过",H55)))</formula>
    </cfRule>
  </conditionalFormatting>
  <conditionalFormatting sqref="F55">
    <cfRule type="containsText" dxfId="299" priority="18" stopIfTrue="1" operator="containsText" text="超过">
      <formula>NOT(ISERROR(SEARCH("超过",F55)))</formula>
    </cfRule>
  </conditionalFormatting>
  <conditionalFormatting sqref="F54 H54">
    <cfRule type="containsText" dxfId="298" priority="17" stopIfTrue="1" operator="containsText" text="超过">
      <formula>NOT(ISERROR(SEARCH("超过",F54)))</formula>
    </cfRule>
  </conditionalFormatting>
  <conditionalFormatting sqref="E53">
    <cfRule type="expression" dxfId="297" priority="16" stopIfTrue="1">
      <formula>$F$53="超过30%"</formula>
    </cfRule>
  </conditionalFormatting>
  <conditionalFormatting sqref="E54">
    <cfRule type="expression" dxfId="296" priority="15" stopIfTrue="1">
      <formula>$F$54="超过20%"</formula>
    </cfRule>
  </conditionalFormatting>
  <conditionalFormatting sqref="E55">
    <cfRule type="expression" dxfId="295" priority="14" stopIfTrue="1">
      <formula>$F$55="超过30%"</formula>
    </cfRule>
  </conditionalFormatting>
  <conditionalFormatting sqref="G55">
    <cfRule type="expression" dxfId="294" priority="13" stopIfTrue="1">
      <formula>$H$55="超过30%"</formula>
    </cfRule>
  </conditionalFormatting>
  <conditionalFormatting sqref="G53">
    <cfRule type="expression" dxfId="293" priority="12" stopIfTrue="1">
      <formula>$H$53="超过30%"</formula>
    </cfRule>
  </conditionalFormatting>
  <conditionalFormatting sqref="G54">
    <cfRule type="expression" dxfId="292" priority="11" stopIfTrue="1">
      <formula>$H$54="超过20%"</formula>
    </cfRule>
  </conditionalFormatting>
  <conditionalFormatting sqref="J53">
    <cfRule type="containsText" dxfId="291" priority="10" stopIfTrue="1" operator="containsText" text="超过">
      <formula>NOT(ISERROR(SEARCH("超过",J53)))</formula>
    </cfRule>
  </conditionalFormatting>
  <conditionalFormatting sqref="J55">
    <cfRule type="containsText" dxfId="290" priority="9" stopIfTrue="1" operator="containsText" text="超过">
      <formula>NOT(ISERROR(SEARCH("超过",J55)))</formula>
    </cfRule>
  </conditionalFormatting>
  <conditionalFormatting sqref="J54">
    <cfRule type="containsText" dxfId="289" priority="8" stopIfTrue="1" operator="containsText" text="超过">
      <formula>NOT(ISERROR(SEARCH("超过",J54)))</formula>
    </cfRule>
  </conditionalFormatting>
  <conditionalFormatting sqref="I53">
    <cfRule type="expression" dxfId="288" priority="7" stopIfTrue="1">
      <formula>$J$53="超过30%"</formula>
    </cfRule>
  </conditionalFormatting>
  <conditionalFormatting sqref="I54">
    <cfRule type="expression" dxfId="287" priority="6" stopIfTrue="1">
      <formula>$J$53+$J$54="超过20%"</formula>
    </cfRule>
  </conditionalFormatting>
  <conditionalFormatting sqref="I55">
    <cfRule type="expression" dxfId="286" priority="5" stopIfTrue="1">
      <formula>$J$55="超过30%"</formula>
    </cfRule>
  </conditionalFormatting>
  <conditionalFormatting sqref="F49">
    <cfRule type="expression" dxfId="285" priority="4">
      <formula>$D$49="简单平均"</formula>
    </cfRule>
  </conditionalFormatting>
  <conditionalFormatting sqref="H49">
    <cfRule type="expression" dxfId="284" priority="3">
      <formula>$D$49="简单平均"</formula>
    </cfRule>
  </conditionalFormatting>
  <conditionalFormatting sqref="J49">
    <cfRule type="expression" dxfId="283" priority="2">
      <formula>$D$49="简单平均"</formula>
    </cfRule>
  </conditionalFormatting>
  <conditionalFormatting sqref="F7:F47 H7:H47 J7:J47">
    <cfRule type="cellIs" dxfId="28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I32" sqref="I32"/>
    </sheetView>
  </sheetViews>
  <sheetFormatPr defaultRowHeight="13.5"/>
  <cols>
    <col min="2" max="3" width="10.5" bestFit="1" customWidth="1"/>
  </cols>
  <sheetData>
    <row r="1" spans="1:5">
      <c r="A1" s="3480" t="s">
        <v>3411</v>
      </c>
      <c r="B1" s="3480" t="s">
        <v>3413</v>
      </c>
      <c r="C1" s="3480" t="s">
        <v>3414</v>
      </c>
      <c r="D1" s="3480" t="s">
        <v>3415</v>
      </c>
      <c r="E1" s="3480" t="s">
        <v>3423</v>
      </c>
    </row>
    <row r="2" spans="1:5">
      <c r="A2" s="3480" t="s">
        <v>3412</v>
      </c>
      <c r="B2">
        <v>33479</v>
      </c>
      <c r="C2" s="3480" t="s">
        <v>3416</v>
      </c>
      <c r="D2">
        <v>173.24</v>
      </c>
    </row>
    <row r="3" spans="1:5">
      <c r="A3" t="str">
        <f>A2</f>
        <v>高和蓝峰大厦</v>
      </c>
      <c r="B3">
        <v>36340</v>
      </c>
      <c r="C3" s="3480" t="s">
        <v>3418</v>
      </c>
      <c r="D3">
        <v>192.62</v>
      </c>
    </row>
    <row r="4" spans="1:5">
      <c r="A4" s="3480" t="s">
        <v>3455</v>
      </c>
      <c r="B4">
        <v>31730</v>
      </c>
      <c r="C4" s="3480" t="s">
        <v>3417</v>
      </c>
      <c r="D4">
        <v>100.85</v>
      </c>
    </row>
    <row r="5" spans="1:5">
      <c r="A5" s="3480" t="s">
        <v>3469</v>
      </c>
      <c r="B5">
        <v>36943</v>
      </c>
      <c r="C5" s="3480" t="s">
        <v>3468</v>
      </c>
      <c r="D5">
        <v>110.98</v>
      </c>
    </row>
    <row r="7" spans="1:5">
      <c r="A7" s="3480" t="s">
        <v>3419</v>
      </c>
      <c r="B7" s="3480" t="s">
        <v>3413</v>
      </c>
      <c r="C7" s="3480" t="s">
        <v>3414</v>
      </c>
      <c r="D7" s="3480" t="s">
        <v>3415</v>
      </c>
      <c r="E7" s="3480" t="s">
        <v>3423</v>
      </c>
    </row>
    <row r="8" spans="1:5">
      <c r="A8" s="3480" t="s">
        <v>3420</v>
      </c>
      <c r="B8" s="3480">
        <v>4.8</v>
      </c>
      <c r="C8" s="3480" t="s">
        <v>3418</v>
      </c>
      <c r="D8" s="3480">
        <v>363</v>
      </c>
    </row>
    <row r="9" spans="1:5">
      <c r="B9" s="3480">
        <v>3.67</v>
      </c>
      <c r="C9" s="3480" t="s">
        <v>3417</v>
      </c>
      <c r="D9" s="3480">
        <v>170</v>
      </c>
    </row>
    <row r="10" spans="1:5">
      <c r="B10" s="3480">
        <v>3.96</v>
      </c>
      <c r="C10" s="3480" t="s">
        <v>3417</v>
      </c>
      <c r="D10" s="3480">
        <v>112</v>
      </c>
    </row>
    <row r="11" spans="1:5">
      <c r="B11" s="3480">
        <v>4.79</v>
      </c>
      <c r="C11" s="3480" t="s">
        <v>3417</v>
      </c>
      <c r="D11" s="3480">
        <v>82.44</v>
      </c>
    </row>
    <row r="13" spans="1:5">
      <c r="A13" s="3480" t="s">
        <v>3421</v>
      </c>
      <c r="B13">
        <v>4.2</v>
      </c>
      <c r="C13" s="3480" t="s">
        <v>3418</v>
      </c>
      <c r="D13">
        <v>149</v>
      </c>
      <c r="E13" s="3480" t="s">
        <v>3423</v>
      </c>
    </row>
    <row r="14" spans="1:5">
      <c r="B14">
        <v>3.8</v>
      </c>
      <c r="C14" s="3480" t="s">
        <v>3418</v>
      </c>
      <c r="D14">
        <v>218</v>
      </c>
    </row>
    <row r="15" spans="1:5">
      <c r="B15">
        <v>4</v>
      </c>
      <c r="C15" s="3480" t="s">
        <v>3418</v>
      </c>
      <c r="D15">
        <v>58</v>
      </c>
    </row>
    <row r="16" spans="1:5">
      <c r="B16">
        <v>5</v>
      </c>
      <c r="C16" s="3480" t="s">
        <v>3418</v>
      </c>
      <c r="D16">
        <v>452</v>
      </c>
    </row>
    <row r="18" spans="1:6">
      <c r="A18" s="3480" t="s">
        <v>3422</v>
      </c>
      <c r="B18">
        <v>4.5</v>
      </c>
      <c r="C18" s="3480" t="s">
        <v>3418</v>
      </c>
      <c r="D18">
        <v>223</v>
      </c>
      <c r="E18" s="3480" t="s">
        <v>3423</v>
      </c>
    </row>
    <row r="19" spans="1:6">
      <c r="B19">
        <v>3.6</v>
      </c>
      <c r="C19" s="3480" t="s">
        <v>3418</v>
      </c>
      <c r="D19">
        <v>145.80000000000001</v>
      </c>
    </row>
    <row r="20" spans="1:6">
      <c r="B20">
        <v>4.5</v>
      </c>
      <c r="C20" s="3480" t="s">
        <v>3418</v>
      </c>
      <c r="D20">
        <v>183</v>
      </c>
    </row>
    <row r="21" spans="1:6">
      <c r="B21">
        <v>4.5</v>
      </c>
      <c r="C21" s="3480" t="s">
        <v>3416</v>
      </c>
      <c r="D21">
        <v>99.8</v>
      </c>
    </row>
    <row r="22" spans="1:6">
      <c r="B22">
        <v>3.66</v>
      </c>
      <c r="C22" s="3480" t="s">
        <v>3416</v>
      </c>
      <c r="D22">
        <v>60</v>
      </c>
    </row>
    <row r="25" spans="1:6">
      <c r="A25" s="3480" t="s">
        <v>3451</v>
      </c>
    </row>
    <row r="26" spans="1:6">
      <c r="A26">
        <v>911</v>
      </c>
      <c r="B26" s="3486">
        <v>44998</v>
      </c>
      <c r="C26" s="3486">
        <v>46093</v>
      </c>
      <c r="D26">
        <v>24974</v>
      </c>
      <c r="E26">
        <v>179.5</v>
      </c>
      <c r="F26">
        <f>D26/E26/30</f>
        <v>4.6376973073351904</v>
      </c>
    </row>
    <row r="27" spans="1:6">
      <c r="A27">
        <v>1012</v>
      </c>
      <c r="B27" s="3486">
        <v>45194</v>
      </c>
      <c r="C27" s="3486">
        <v>45938</v>
      </c>
      <c r="D27">
        <v>30045.88</v>
      </c>
      <c r="E27">
        <v>194.79</v>
      </c>
      <c r="F27">
        <f>D27/E27/30</f>
        <v>5.1415849547375814</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3471</v>
      </c>
      <c r="D1" s="1358" t="s">
        <v>43</v>
      </c>
      <c r="E1" s="1359" t="s">
        <v>678</v>
      </c>
      <c r="F1" s="1058">
        <f ca="1">J53</f>
        <v>28</v>
      </c>
      <c r="G1" s="1374">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451.39609999999999</v>
      </c>
      <c r="C2" s="1383" t="s">
        <v>879</v>
      </c>
      <c r="D2" s="1467">
        <f ca="1">C40+J29+L46</f>
        <v>4513961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299844</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299470</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198.18</v>
      </c>
      <c r="G7" s="1380"/>
      <c r="H7" s="304"/>
      <c r="I7" s="3678"/>
      <c r="J7" s="306"/>
      <c r="K7" s="307"/>
      <c r="L7" s="302" t="s">
        <v>697</v>
      </c>
      <c r="M7" s="303">
        <f ca="1">F7</f>
        <v>198.18</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1034867</v>
      </c>
      <c r="D13" s="1077" t="s">
        <v>705</v>
      </c>
      <c r="E13" s="1077"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891810</v>
      </c>
      <c r="D14" s="1341" t="s">
        <v>708</v>
      </c>
      <c r="E14" s="1338"/>
      <c r="F14" s="319"/>
      <c r="G14" s="1380"/>
      <c r="H14" s="978" t="s">
        <v>398</v>
      </c>
      <c r="I14" s="302" t="s">
        <v>709</v>
      </c>
      <c r="J14" s="21">
        <f ca="1">C29</f>
        <v>1277613</v>
      </c>
      <c r="K14" s="12"/>
      <c r="L14" s="803"/>
      <c r="M14" s="804"/>
    </row>
    <row r="15" spans="1:37" s="1393" customFormat="1" ht="18" customHeight="1" thickBot="1">
      <c r="A15" s="978" t="s">
        <v>399</v>
      </c>
      <c r="B15" s="302" t="s">
        <v>710</v>
      </c>
      <c r="C15" s="21">
        <f ca="1">ROUND(C14*F15,0)</f>
        <v>26754</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6388</v>
      </c>
      <c r="K16" s="1083" t="s">
        <v>715</v>
      </c>
      <c r="L16" s="1084"/>
      <c r="M16" s="1068"/>
    </row>
    <row r="17" spans="1:37" s="1393" customFormat="1" ht="18" customHeight="1">
      <c r="A17" s="978" t="s">
        <v>681</v>
      </c>
      <c r="B17" s="302" t="s">
        <v>716</v>
      </c>
      <c r="C17" s="21">
        <f ca="1">ROUND(F17*(F43+INDIRECT("'数据-取费表'!S"&amp;$G$1)),0)</f>
        <v>39636</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17836</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976036</v>
      </c>
      <c r="D19" s="131" t="s">
        <v>726</v>
      </c>
      <c r="E19" s="1356"/>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19521</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6388</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34346</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-6388</v>
      </c>
      <c r="K25" s="1091" t="s">
        <v>753</v>
      </c>
      <c r="L25" s="1092"/>
      <c r="M25" s="1093"/>
    </row>
    <row r="26" spans="1:37" ht="18" customHeight="1">
      <c r="A26" s="978" t="s">
        <v>397</v>
      </c>
      <c r="B26" s="302" t="s">
        <v>754</v>
      </c>
      <c r="C26" s="21">
        <f ca="1">ROUND((C19+C20)*F26,0)</f>
        <v>149334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1277613</v>
      </c>
      <c r="D29" s="1088"/>
      <c r="E29" s="1086"/>
      <c r="F29" s="1089"/>
      <c r="G29" s="1392"/>
      <c r="H29" s="334" t="s">
        <v>396</v>
      </c>
      <c r="I29" s="335" t="s">
        <v>768</v>
      </c>
      <c r="J29" s="336">
        <f ca="1">ROUND(J26/(1+F40)^F41,0)</f>
        <v>0</v>
      </c>
      <c r="K29" s="337" t="s">
        <v>769</v>
      </c>
      <c r="L29" s="338"/>
      <c r="M29" s="339">
        <f ca="1">INDIRECT("'数据-取费表'!k"&amp;$G$1)</f>
        <v>198.18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59119</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50197</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15972</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34225</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6388</v>
      </c>
      <c r="D36" s="1340"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1035</v>
      </c>
      <c r="D37" s="1340"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1499</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240725</v>
      </c>
      <c r="D39" s="1091" t="s">
        <v>773</v>
      </c>
      <c r="E39" s="1092"/>
      <c r="F39" s="1093"/>
      <c r="G39" s="1380"/>
      <c r="H39" s="2693">
        <f ca="1">C39/C5</f>
        <v>0.80283414041968493</v>
      </c>
      <c r="I39" s="1394"/>
      <c r="J39" s="1395"/>
      <c r="K39" s="2697"/>
      <c r="L39" s="2693"/>
      <c r="M39" s="2693"/>
    </row>
    <row r="40" spans="1:18" ht="18" customHeight="1">
      <c r="A40" s="299" t="s">
        <v>395</v>
      </c>
      <c r="B40" s="300" t="s">
        <v>774</v>
      </c>
      <c r="C40" s="301">
        <f ca="1">ROUND(C39*(1-((1+F42)/(1+F40))^F41)/(F40-F42),0)</f>
        <v>4446505</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198.18</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-455.13279999999997</v>
      </c>
      <c r="D45" s="3425" t="s">
        <v>3346</v>
      </c>
      <c r="E45" s="1396"/>
      <c r="F45" s="1396"/>
      <c r="O45" s="1399" t="s">
        <v>808</v>
      </c>
      <c r="P45" s="1457"/>
      <c r="Q45" s="1457"/>
      <c r="R45" s="1457"/>
    </row>
    <row r="46" spans="1:18" s="1380" customFormat="1" ht="13.5" thickBot="1">
      <c r="A46" s="1400" t="s">
        <v>809</v>
      </c>
      <c r="C46" s="1401">
        <f ca="1">ROUND(C45,0)</f>
        <v>-455</v>
      </c>
      <c r="D46" s="1402" t="str">
        <f>C2</f>
        <v>万元</v>
      </c>
      <c r="I46" s="1403" t="s">
        <v>810</v>
      </c>
      <c r="J46" s="1404"/>
      <c r="K46" s="1405"/>
      <c r="L46" s="1406">
        <f ca="1">IF(M47="住宅",0,IF(L48&gt;J51,L60,J60))</f>
        <v>67456</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4446505</v>
      </c>
      <c r="R47" s="1416" t="s">
        <v>818</v>
      </c>
    </row>
    <row r="48" spans="1:18" s="1380" customFormat="1" ht="28.5" thickBot="1">
      <c r="A48" s="1106" t="s">
        <v>438</v>
      </c>
      <c r="B48" s="300" t="s">
        <v>692</v>
      </c>
      <c r="C48" s="1355">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67456</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1277613</v>
      </c>
      <c r="R49" s="1416" t="s">
        <v>818</v>
      </c>
    </row>
    <row r="50" spans="1:18" s="1380" customFormat="1" ht="13.5" thickBot="1">
      <c r="A50" s="972"/>
      <c r="B50" s="975"/>
      <c r="C50" s="976"/>
      <c r="D50" s="949"/>
      <c r="E50" s="1052" t="s">
        <v>697</v>
      </c>
      <c r="F50" s="1053">
        <f ca="1">F7</f>
        <v>198.18</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2887605</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4513961</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1034867</v>
      </c>
      <c r="D56" s="1443"/>
      <c r="E56" s="1444"/>
      <c r="F56" s="1436"/>
      <c r="I56" s="1445" t="s">
        <v>842</v>
      </c>
      <c r="J56" s="1446" t="s">
        <v>3385</v>
      </c>
      <c r="K56" s="1417" t="s">
        <v>843</v>
      </c>
      <c r="L56" s="1420" t="str">
        <f ca="1">IF(L48&lt;J51,"——",L48-J51)</f>
        <v>——</v>
      </c>
      <c r="O56" s="1414" t="s">
        <v>403</v>
      </c>
      <c r="P56" s="1415" t="s">
        <v>817</v>
      </c>
      <c r="Q56" s="1416">
        <f ca="1">C40+J29</f>
        <v>4446505</v>
      </c>
      <c r="R56" s="1416" t="s">
        <v>818</v>
      </c>
    </row>
    <row r="57" spans="1:18" s="1380" customFormat="1" ht="24.75" thickBot="1">
      <c r="A57" s="1447"/>
      <c r="B57" s="946" t="s">
        <v>767</v>
      </c>
      <c r="C57" s="238">
        <f ca="1">C29</f>
        <v>1277613</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511045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67456</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4446505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6388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1035</v>
      </c>
      <c r="D65" s="960" t="s">
        <v>743</v>
      </c>
      <c r="E65" s="946" t="s">
        <v>744</v>
      </c>
      <c r="F65" s="330">
        <f t="shared" ca="1" si="0"/>
        <v>1E-3</v>
      </c>
      <c r="I65" s="1458" t="s">
        <v>867</v>
      </c>
      <c r="J65" s="1459">
        <v>40</v>
      </c>
      <c r="K65" s="1459">
        <v>30</v>
      </c>
      <c r="L65" s="1459">
        <v>50</v>
      </c>
      <c r="M65" s="1461">
        <v>0.02</v>
      </c>
      <c r="O65" s="1414" t="s">
        <v>403</v>
      </c>
      <c r="P65" s="1415" t="s">
        <v>868</v>
      </c>
      <c r="Q65" s="1416">
        <f ca="1">C40+J29</f>
        <v>4446505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-7423</v>
      </c>
      <c r="D67" s="959" t="s">
        <v>753</v>
      </c>
      <c r="E67" s="964"/>
      <c r="F67" s="965"/>
      <c r="O67" s="1424" t="s">
        <v>405</v>
      </c>
      <c r="P67" s="1415" t="s">
        <v>850</v>
      </c>
      <c r="Q67" s="1462">
        <f ca="1">L51</f>
        <v>2887605</v>
      </c>
      <c r="R67" s="1416" t="s">
        <v>870</v>
      </c>
    </row>
    <row r="68" spans="1:18" s="1380" customFormat="1" ht="16.5" thickBot="1">
      <c r="A68" s="943" t="s">
        <v>395</v>
      </c>
      <c r="B68" s="944" t="s">
        <v>774</v>
      </c>
      <c r="C68" s="301">
        <f ca="1">ROUND(C67*(1-((1+F70)/(1+F68))^F69)/(F68-F70),0)</f>
        <v>-104823</v>
      </c>
      <c r="D68" s="961" t="s">
        <v>758</v>
      </c>
      <c r="E68" s="946" t="s">
        <v>759</v>
      </c>
      <c r="F68" s="312">
        <f ca="1">F40</f>
        <v>5.5E-2</v>
      </c>
      <c r="O68" s="1424" t="s">
        <v>406</v>
      </c>
      <c r="P68" s="1463" t="s">
        <v>871</v>
      </c>
      <c r="Q68" s="1416">
        <f ca="1">ROUND(Q69-Q70*Q71,0)</f>
        <v>168284</v>
      </c>
      <c r="R68" s="1416" t="s">
        <v>414</v>
      </c>
    </row>
    <row r="69" spans="1:18" s="1380" customFormat="1" ht="13.5" thickBot="1">
      <c r="A69" s="947"/>
      <c r="B69" s="948"/>
      <c r="C69" s="306"/>
      <c r="D69" s="966" t="s">
        <v>762</v>
      </c>
      <c r="E69" s="946" t="s">
        <v>763</v>
      </c>
      <c r="F69" s="333">
        <f ca="1">F41</f>
        <v>28</v>
      </c>
      <c r="O69" s="1424" t="s">
        <v>411</v>
      </c>
      <c r="P69" s="1463" t="s">
        <v>872</v>
      </c>
      <c r="Q69" s="1416">
        <f ca="1">C39</f>
        <v>240725</v>
      </c>
      <c r="R69" s="1416" t="s">
        <v>818</v>
      </c>
    </row>
    <row r="70" spans="1:18" s="1380" customFormat="1" ht="13.5" thickBot="1">
      <c r="A70" s="950"/>
      <c r="B70" s="951"/>
      <c r="C70" s="310"/>
      <c r="D70" s="962"/>
      <c r="E70" s="946" t="s">
        <v>766</v>
      </c>
      <c r="F70" s="1050"/>
      <c r="O70" s="1424" t="s">
        <v>412</v>
      </c>
      <c r="P70" s="1463" t="s">
        <v>873</v>
      </c>
      <c r="Q70" s="1416">
        <f ca="1">C13</f>
        <v>1034867</v>
      </c>
      <c r="R70" s="1416" t="s">
        <v>818</v>
      </c>
    </row>
    <row r="71" spans="1:18" s="1380" customFormat="1" ht="13.5" thickBot="1">
      <c r="A71" s="967" t="s">
        <v>396</v>
      </c>
      <c r="B71" s="968" t="s">
        <v>776</v>
      </c>
      <c r="C71" s="336">
        <f ca="1">ROUND(C68/F71,0)</f>
        <v>-529</v>
      </c>
      <c r="D71" s="969" t="s">
        <v>777</v>
      </c>
      <c r="E71" s="970" t="s">
        <v>778</v>
      </c>
      <c r="F71" s="339">
        <f ca="1">F43</f>
        <v>198.18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72441</v>
      </c>
      <c r="D75" s="1380"/>
      <c r="E75" s="1380"/>
      <c r="F75" s="1380"/>
      <c r="K75" s="1398"/>
      <c r="L75" s="1380"/>
      <c r="O75" s="1414" t="s">
        <v>409</v>
      </c>
      <c r="P75" s="1415" t="s">
        <v>838</v>
      </c>
      <c r="Q75" s="1416">
        <f ca="1">Q65+Q66</f>
        <v>4446505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81" priority="4">
      <formula>$L$48&gt;$J$51</formula>
    </cfRule>
  </conditionalFormatting>
  <conditionalFormatting sqref="I55 I60">
    <cfRule type="expression" dxfId="280" priority="5">
      <formula>$J$51&gt;$L$48</formula>
    </cfRule>
  </conditionalFormatting>
  <conditionalFormatting sqref="C11">
    <cfRule type="expression" dxfId="279" priority="3">
      <formula>$F$10="自定义"</formula>
    </cfRule>
  </conditionalFormatting>
  <conditionalFormatting sqref="J11">
    <cfRule type="expression" dxfId="278" priority="2">
      <formula>$M$10="自定义"</formula>
    </cfRule>
  </conditionalFormatting>
  <conditionalFormatting sqref="C54">
    <cfRule type="expression" dxfId="2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2428</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1" t="s">
        <v>2309</v>
      </c>
      <c r="B2" s="2836" t="e">
        <f>IF(D2="——",C40,C40+E2)</f>
        <v>#DIV/0!</v>
      </c>
      <c r="C2" s="2837" t="s">
        <v>2310</v>
      </c>
      <c r="D2" s="3436" t="s">
        <v>3352</v>
      </c>
      <c r="E2" s="3437"/>
      <c r="F2" s="2839"/>
      <c r="G2" s="2840"/>
      <c r="H2" s="2841"/>
      <c r="I2" s="2842"/>
      <c r="J2" s="3731" t="s">
        <v>2311</v>
      </c>
      <c r="K2" s="3732"/>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33" t="s">
        <v>2321</v>
      </c>
      <c r="K3" s="3734"/>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33" t="s">
        <v>2323</v>
      </c>
      <c r="K4" s="3734"/>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35" t="s">
        <v>2327</v>
      </c>
      <c r="B6" s="3736"/>
      <c r="C6" s="3737"/>
      <c r="D6" s="2863"/>
      <c r="E6" s="2864"/>
      <c r="F6" s="2865"/>
      <c r="G6" s="2866"/>
      <c r="H6" s="2841"/>
      <c r="I6" s="2842"/>
      <c r="J6" s="3738">
        <v>1</v>
      </c>
      <c r="K6" s="3739"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38"/>
      <c r="K7" s="3740"/>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42" t="s">
        <v>2341</v>
      </c>
      <c r="C8" s="3743"/>
      <c r="D8" s="2882" t="s">
        <v>2342</v>
      </c>
      <c r="E8" s="2883" t="s">
        <v>2343</v>
      </c>
      <c r="F8" s="2884" t="s">
        <v>2344</v>
      </c>
      <c r="G8" s="2885"/>
      <c r="H8" s="2841"/>
      <c r="I8" s="2842"/>
      <c r="J8" s="3738"/>
      <c r="K8" s="3740"/>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42" t="s">
        <v>2347</v>
      </c>
      <c r="C9" s="3743"/>
      <c r="D9" s="2882">
        <f>ROUND(D6*E9,0)</f>
        <v>0</v>
      </c>
      <c r="E9" s="2886"/>
      <c r="F9" s="2887" t="s">
        <v>2348</v>
      </c>
      <c r="G9" s="2866"/>
      <c r="H9" s="2841"/>
      <c r="I9" s="2842"/>
      <c r="J9" s="3738"/>
      <c r="K9" s="3740"/>
      <c r="L9" s="2876" t="s">
        <v>2349</v>
      </c>
      <c r="M9" s="2877"/>
      <c r="N9" s="2853"/>
      <c r="O9" s="2878"/>
      <c r="P9" s="2878"/>
      <c r="Q9" s="2879">
        <v>365</v>
      </c>
      <c r="R9" s="2880">
        <f t="shared" si="0"/>
        <v>0</v>
      </c>
      <c r="S9" s="2834"/>
      <c r="T9" s="2834"/>
      <c r="U9" s="2834"/>
      <c r="V9" s="2842"/>
    </row>
    <row r="10" spans="1:22" s="2846" customFormat="1" ht="13.15" customHeight="1">
      <c r="A10" s="2881">
        <v>2</v>
      </c>
      <c r="B10" s="3742" t="s">
        <v>2350</v>
      </c>
      <c r="C10" s="3743"/>
      <c r="D10" s="2882">
        <f>ROUND(D6*E10,0)</f>
        <v>0</v>
      </c>
      <c r="E10" s="2886"/>
      <c r="F10" s="2887" t="s">
        <v>2351</v>
      </c>
      <c r="G10" s="2866"/>
      <c r="H10" s="2841"/>
      <c r="I10" s="2842"/>
      <c r="J10" s="3738"/>
      <c r="K10" s="3740"/>
      <c r="L10" s="2876" t="s">
        <v>2352</v>
      </c>
      <c r="M10" s="2877"/>
      <c r="N10" s="2853"/>
      <c r="O10" s="2878"/>
      <c r="P10" s="2878"/>
      <c r="Q10" s="2879">
        <v>365</v>
      </c>
      <c r="R10" s="2880">
        <f t="shared" si="0"/>
        <v>0</v>
      </c>
      <c r="S10" s="2834"/>
      <c r="T10" s="2834"/>
      <c r="U10" s="2834"/>
      <c r="V10" s="2842"/>
    </row>
    <row r="11" spans="1:22" s="2846" customFormat="1" ht="13.15" customHeight="1">
      <c r="A11" s="2881">
        <v>3</v>
      </c>
      <c r="B11" s="3742" t="s">
        <v>2353</v>
      </c>
      <c r="C11" s="3743"/>
      <c r="D11" s="2882">
        <f>D12+D14+D15+D16</f>
        <v>0</v>
      </c>
      <c r="E11" s="2888" t="e">
        <f>D11/D6</f>
        <v>#DIV/0!</v>
      </c>
      <c r="F11" s="2884"/>
      <c r="G11" s="2885"/>
      <c r="H11" s="2841"/>
      <c r="I11" s="2842"/>
      <c r="J11" s="3738"/>
      <c r="K11" s="3740"/>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44" t="s">
        <v>2356</v>
      </c>
      <c r="C12" s="3745"/>
      <c r="D12" s="2890">
        <f>ROUND(D13*1.2%*(1-30%),0)</f>
        <v>0</v>
      </c>
      <c r="E12" s="2891">
        <v>1.2E-2</v>
      </c>
      <c r="F12" s="2884" t="s">
        <v>2357</v>
      </c>
      <c r="G12" s="2885"/>
      <c r="H12" s="2841"/>
      <c r="I12" s="2842"/>
      <c r="J12" s="3738"/>
      <c r="K12" s="3740"/>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38"/>
      <c r="K13" s="3740"/>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44" t="s">
        <v>2362</v>
      </c>
      <c r="C14" s="3745"/>
      <c r="D14" s="2890">
        <f>ROUND(E14*B5/10000,0)</f>
        <v>0</v>
      </c>
      <c r="E14" s="2879"/>
      <c r="F14" s="2884" t="s">
        <v>2363</v>
      </c>
      <c r="G14" s="2885"/>
      <c r="H14" s="2841"/>
      <c r="I14" s="2842"/>
      <c r="J14" s="3738"/>
      <c r="K14" s="3741"/>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44" t="s">
        <v>2366</v>
      </c>
      <c r="C15" s="3745"/>
      <c r="D15" s="2890">
        <f>ROUND(D6*E15,0)</f>
        <v>0</v>
      </c>
      <c r="E15" s="2891">
        <v>5.5E-2</v>
      </c>
      <c r="F15" s="2884" t="s">
        <v>2367</v>
      </c>
      <c r="G15" s="2866"/>
      <c r="H15" s="2841"/>
      <c r="I15" s="2842"/>
      <c r="J15" s="3738">
        <v>2</v>
      </c>
      <c r="K15" s="3739"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44" t="s">
        <v>2375</v>
      </c>
      <c r="C16" s="3745"/>
      <c r="D16" s="2901">
        <f>D6*E16</f>
        <v>0</v>
      </c>
      <c r="E16" s="2902"/>
      <c r="F16" s="2887" t="s">
        <v>2376</v>
      </c>
      <c r="G16" s="2866"/>
      <c r="H16" s="2841"/>
      <c r="I16" s="2842"/>
      <c r="J16" s="3738"/>
      <c r="K16" s="3740"/>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46" t="s">
        <v>2378</v>
      </c>
      <c r="C17" s="3747"/>
      <c r="D17" s="2904">
        <f>ROUND(D6*E17,0)</f>
        <v>0</v>
      </c>
      <c r="E17" s="2905"/>
      <c r="F17" s="2906" t="s">
        <v>2379</v>
      </c>
      <c r="G17" s="2866"/>
      <c r="H17" s="2841"/>
      <c r="I17" s="2842"/>
      <c r="J17" s="3738"/>
      <c r="K17" s="3740"/>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38"/>
      <c r="K18" s="3740"/>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38"/>
      <c r="K19" s="3741"/>
      <c r="L19" s="2896" t="s">
        <v>2364</v>
      </c>
      <c r="M19" s="2897"/>
      <c r="N19" s="2897">
        <f>SUM(N16:N18)</f>
        <v>0</v>
      </c>
      <c r="O19" s="2898"/>
      <c r="P19" s="2911" t="s">
        <v>2427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8">
        <v>3</v>
      </c>
      <c r="K20" s="3739"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38"/>
      <c r="K21" s="3740"/>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38"/>
      <c r="K22" s="3740"/>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38"/>
      <c r="K23" s="3740"/>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38"/>
      <c r="K24" s="3741"/>
      <c r="L24" s="2896" t="s">
        <v>2364</v>
      </c>
      <c r="M24" s="2897">
        <f>SUM(M21:M23)</f>
        <v>0</v>
      </c>
      <c r="N24" s="2897"/>
      <c r="O24" s="2898"/>
      <c r="P24" s="2911" t="s">
        <v>2427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48">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49"/>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31" t="s">
        <v>2311</v>
      </c>
      <c r="K32" s="3732"/>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33" t="s">
        <v>2321</v>
      </c>
      <c r="K33" s="3734"/>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33" t="s">
        <v>2323</v>
      </c>
      <c r="K34" s="3734"/>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38">
        <v>1</v>
      </c>
      <c r="K36" s="3739"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38"/>
      <c r="K37" s="3740"/>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8"/>
      <c r="K38" s="3740"/>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38"/>
      <c r="K39" s="3740"/>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38"/>
      <c r="K40" s="3741"/>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48">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49"/>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700"/>
      <c r="G1" s="1485"/>
      <c r="H1" s="1485"/>
      <c r="I1" s="1485"/>
      <c r="J1" s="1485"/>
      <c r="K1" s="1485"/>
      <c r="L1" s="1485"/>
      <c r="M1" s="1485"/>
      <c r="N1" s="1485"/>
      <c r="O1" s="1485"/>
      <c r="P1" s="1485"/>
      <c r="Q1" s="1485"/>
      <c r="R1" s="1485"/>
      <c r="S1" s="1485"/>
    </row>
    <row r="2" spans="1:22" ht="15.75">
      <c r="A2" s="1866" t="s">
        <v>1460</v>
      </c>
      <c r="B2" s="1867">
        <f ca="1">SUMIF(B6:B13,"&lt;&gt;#ref!",B6:B13)</f>
        <v>2271.3348000000001</v>
      </c>
      <c r="C2" s="1868" t="s">
        <v>1649</v>
      </c>
      <c r="D2" s="1869" t="s">
        <v>1650</v>
      </c>
      <c r="E2" s="2600">
        <f>SUM(E6:E13)</f>
        <v>971.86</v>
      </c>
      <c r="F2" s="2700"/>
      <c r="G2" s="1485"/>
      <c r="H2" s="1485"/>
      <c r="I2" s="1485"/>
      <c r="J2" s="1485"/>
      <c r="K2" s="1485"/>
      <c r="L2" s="1485"/>
      <c r="M2" s="1485"/>
      <c r="N2" s="1485"/>
      <c r="O2" s="1485"/>
      <c r="P2" s="1485"/>
      <c r="Q2" s="1485"/>
      <c r="R2" s="1485"/>
      <c r="S2" s="1485"/>
    </row>
    <row r="3" spans="1:22" ht="15.75">
      <c r="A3" s="1866" t="s">
        <v>686</v>
      </c>
      <c r="B3" s="2594">
        <f ca="1">ROUND(B2*10000/E2,0)</f>
        <v>23371</v>
      </c>
      <c r="C3" s="1868" t="s">
        <v>1657</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1651</v>
      </c>
      <c r="B5" s="3750" t="s">
        <v>1652</v>
      </c>
      <c r="C5" s="3751"/>
      <c r="D5" s="2701"/>
      <c r="E5" s="1870" t="s">
        <v>1653</v>
      </c>
      <c r="F5" s="1871" t="s">
        <v>1654</v>
      </c>
      <c r="G5" s="1485"/>
      <c r="H5" s="1485"/>
      <c r="I5" s="1485"/>
      <c r="J5" s="1485"/>
      <c r="K5" s="1485"/>
      <c r="L5" s="1485"/>
      <c r="M5" s="1485"/>
      <c r="N5" s="1485"/>
      <c r="O5" s="1485"/>
      <c r="P5" s="1485"/>
      <c r="Q5" s="1485"/>
      <c r="R5" s="1485"/>
      <c r="S5" s="1485"/>
    </row>
    <row r="6" spans="1:22">
      <c r="A6" s="2597" t="str">
        <f>'数据-取费表'!AN6</f>
        <v>收益法-307</v>
      </c>
      <c r="B6" s="2595">
        <f ca="1">IF(F6="是",'数据-取费表'!AO6,0)</f>
        <v>451.39609999999999</v>
      </c>
      <c r="C6" s="1868" t="s">
        <v>1649</v>
      </c>
      <c r="D6" s="2702"/>
      <c r="E6" s="2599">
        <f>IF(OR(A6=0,F6="否"),0,'数据-取费表'!K6+'数据-取费表'!S6)</f>
        <v>198.18</v>
      </c>
      <c r="F6" s="1872" t="s">
        <v>1655</v>
      </c>
      <c r="G6" s="1485"/>
      <c r="H6" s="1485"/>
      <c r="I6" s="1485"/>
      <c r="J6" s="1485"/>
      <c r="K6" s="1485"/>
      <c r="L6" s="1485"/>
      <c r="M6" s="1485"/>
      <c r="N6" s="1485"/>
      <c r="O6" s="1485"/>
      <c r="P6" s="1485"/>
      <c r="Q6" s="1485"/>
      <c r="R6" s="1485"/>
      <c r="S6" s="1485"/>
    </row>
    <row r="7" spans="1:22">
      <c r="A7" s="2597" t="str">
        <f>'数据-取费表'!AN7</f>
        <v>收益法-505</v>
      </c>
      <c r="B7" s="2595">
        <f ca="1">IF(F7="是",'数据-取费表'!AO7,0)</f>
        <v>454.7901</v>
      </c>
      <c r="C7" s="1868" t="s">
        <v>1649</v>
      </c>
      <c r="D7" s="2702"/>
      <c r="E7" s="2599">
        <f>IF(OR(A7=0,F7="否"),0,'数据-取费表'!K7+'数据-取费表'!S7)</f>
        <v>199.67</v>
      </c>
      <c r="F7" s="1872" t="s">
        <v>1655</v>
      </c>
      <c r="G7" s="1485"/>
      <c r="H7" s="1485"/>
      <c r="I7" s="1485"/>
      <c r="J7" s="1485"/>
      <c r="K7" s="1485"/>
      <c r="L7" s="1485"/>
      <c r="M7" s="1485"/>
      <c r="N7" s="1485"/>
      <c r="O7" s="1485"/>
      <c r="P7" s="1485"/>
      <c r="Q7" s="1485"/>
      <c r="R7" s="1485"/>
      <c r="S7" s="1485"/>
    </row>
    <row r="8" spans="1:22">
      <c r="A8" s="2597" t="str">
        <f>'数据-取费表'!AN8</f>
        <v>收益法-905</v>
      </c>
      <c r="B8" s="2595">
        <f ca="1">IF(F8="是",'数据-取费表'!AO8,0)</f>
        <v>474.98469999999998</v>
      </c>
      <c r="C8" s="1868" t="s">
        <v>1649</v>
      </c>
      <c r="D8" s="2702"/>
      <c r="E8" s="2599">
        <f>IF(OR(A8=0,F8="否"),0,'数据-取费表'!K8+'数据-取费表'!S8)</f>
        <v>199.72</v>
      </c>
      <c r="F8" s="1872" t="s">
        <v>1655</v>
      </c>
      <c r="G8" s="1485"/>
      <c r="H8" s="1485"/>
      <c r="I8" s="1485"/>
      <c r="J8" s="1485"/>
      <c r="K8" s="1485"/>
      <c r="L8" s="1485"/>
      <c r="M8" s="1485"/>
      <c r="N8" s="1485"/>
      <c r="O8" s="1485"/>
      <c r="P8" s="1485"/>
      <c r="Q8" s="1485"/>
      <c r="R8" s="1485"/>
      <c r="S8" s="1485"/>
    </row>
    <row r="9" spans="1:22">
      <c r="A9" s="2597" t="str">
        <f>'数据-取费表'!AN9</f>
        <v>收益法-911</v>
      </c>
      <c r="B9" s="2595">
        <f ca="1">IF(F9="是",'数据-取费表'!AO9,0)</f>
        <v>426.90089999999998</v>
      </c>
      <c r="C9" s="1868" t="s">
        <v>1649</v>
      </c>
      <c r="D9" s="2702"/>
      <c r="E9" s="2599">
        <f>IF(OR(A9=0,F9="否"),0,'数据-取费表'!K9+'数据-取费表'!S9)</f>
        <v>179.5</v>
      </c>
      <c r="F9" s="1872" t="s">
        <v>1655</v>
      </c>
      <c r="G9" s="1485"/>
      <c r="H9" s="1485"/>
      <c r="I9" s="1485"/>
      <c r="J9" s="1485"/>
      <c r="K9" s="1485"/>
      <c r="L9" s="1485"/>
      <c r="M9" s="1485"/>
      <c r="N9" s="1485"/>
      <c r="O9" s="1485"/>
      <c r="P9" s="1485"/>
      <c r="Q9" s="1485"/>
      <c r="R9" s="1485"/>
      <c r="S9" s="1485"/>
    </row>
    <row r="10" spans="1:22">
      <c r="A10" s="2597" t="str">
        <f>'数据-取费表'!AN10</f>
        <v>收益法-1012</v>
      </c>
      <c r="B10" s="2595">
        <f ca="1">IF(F10="是",'数据-取费表'!AO10,0)</f>
        <v>463.26299999999998</v>
      </c>
      <c r="C10" s="1868" t="s">
        <v>1649</v>
      </c>
      <c r="D10" s="2702"/>
      <c r="E10" s="2599">
        <f>IF(OR(A10=0,F10="否"),0,'数据-取费表'!K10+'数据-取费表'!S10)</f>
        <v>194.79</v>
      </c>
      <c r="F10" s="1872" t="s">
        <v>1655</v>
      </c>
      <c r="G10" s="1485"/>
      <c r="H10" s="1485"/>
      <c r="I10" s="1485"/>
      <c r="J10" s="1485"/>
      <c r="K10" s="1485"/>
      <c r="L10" s="1485"/>
      <c r="M10" s="1485"/>
      <c r="N10" s="1485"/>
      <c r="O10" s="1485"/>
      <c r="P10" s="1485"/>
      <c r="Q10" s="1485"/>
      <c r="R10" s="1485"/>
      <c r="S10" s="1485"/>
    </row>
    <row r="11" spans="1:22">
      <c r="A11" s="2597">
        <f>'数据-取费表'!AN11</f>
        <v>0</v>
      </c>
      <c r="B11" s="2595" t="e">
        <f ca="1">IF(F11="是",'数据-取费表'!AO11,0)</f>
        <v>#REF!</v>
      </c>
      <c r="C11" s="1868" t="s">
        <v>1649</v>
      </c>
      <c r="D11" s="2702"/>
      <c r="E11" s="2599">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7">
        <f>'数据-取费表'!AN12</f>
        <v>0</v>
      </c>
      <c r="B12" s="2595" t="e">
        <f ca="1">IF(F12="是",'数据-取费表'!AO12,0)</f>
        <v>#REF!</v>
      </c>
      <c r="C12" s="1868" t="s">
        <v>1649</v>
      </c>
      <c r="D12" s="2702"/>
      <c r="E12" s="2599">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8">
        <f>'数据-取费表'!AN13</f>
        <v>0</v>
      </c>
      <c r="B13" s="2595" t="e">
        <f ca="1">IF(F13="是",'数据-取费表'!AO13,0)</f>
        <v>#REF!</v>
      </c>
      <c r="C13" s="1873" t="s">
        <v>1649</v>
      </c>
      <c r="D13" s="2703"/>
      <c r="E13" s="2599">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9"/>
      <c r="F1" s="1875"/>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1663</v>
      </c>
      <c r="D3" s="353">
        <f>IF(D1="",'数据-汇总表'!E3,SUMIF('数据-汇总表'!$C19:$C33,D1,'数据-汇总表'!$E19:$E33))</f>
        <v>971.86</v>
      </c>
      <c r="E3" s="903"/>
      <c r="F3" s="1884"/>
      <c r="G3" s="903"/>
      <c r="H3" s="903"/>
      <c r="I3" s="903"/>
      <c r="J3" s="903"/>
      <c r="K3" s="1880"/>
      <c r="L3" s="2706"/>
      <c r="M3" s="2707"/>
      <c r="N3" s="2707"/>
      <c r="O3" s="2707"/>
      <c r="P3" s="1881"/>
      <c r="Q3" s="1882"/>
      <c r="R3" s="1882"/>
      <c r="S3" s="1882"/>
      <c r="T3" s="1882"/>
      <c r="U3" s="1882"/>
      <c r="V3" s="1882"/>
      <c r="W3" s="1882"/>
      <c r="X3" s="1882"/>
      <c r="Y3" s="1882"/>
      <c r="Z3" s="1882"/>
      <c r="AA3" s="1882"/>
      <c r="AB3" s="1882"/>
      <c r="AC3" s="1057"/>
    </row>
    <row r="4" spans="1:29" ht="15">
      <c r="A4" s="355" t="s">
        <v>1664</v>
      </c>
      <c r="B4" s="356"/>
      <c r="C4" s="3701" t="s">
        <v>1665</v>
      </c>
      <c r="D4" s="3702"/>
      <c r="E4" s="3703" t="s">
        <v>1666</v>
      </c>
      <c r="F4" s="3704"/>
      <c r="G4" s="3701" t="s">
        <v>1667</v>
      </c>
      <c r="H4" s="3702"/>
      <c r="I4" s="3701" t="s">
        <v>1668</v>
      </c>
      <c r="J4" s="3702"/>
      <c r="K4" s="1885" t="s">
        <v>1669</v>
      </c>
      <c r="L4" s="2708"/>
      <c r="M4" s="2709"/>
      <c r="N4" s="2709"/>
      <c r="O4" s="2709"/>
      <c r="P4" s="3755" t="s">
        <v>1670</v>
      </c>
      <c r="Q4" s="3756"/>
      <c r="R4" s="3753" t="s">
        <v>1666</v>
      </c>
      <c r="S4" s="3754"/>
      <c r="T4" s="3753" t="s">
        <v>1667</v>
      </c>
      <c r="U4" s="3754"/>
      <c r="V4" s="3714" t="s">
        <v>1668</v>
      </c>
      <c r="W4" s="3714"/>
      <c r="X4" s="1351"/>
      <c r="Y4" s="3753" t="s">
        <v>1670</v>
      </c>
      <c r="Z4" s="3754"/>
      <c r="AA4" s="3752" t="s">
        <v>1666</v>
      </c>
      <c r="AB4" s="3752" t="s">
        <v>1667</v>
      </c>
      <c r="AC4" s="3752" t="s">
        <v>1668</v>
      </c>
    </row>
    <row r="5" spans="1:29" ht="15">
      <c r="A5" s="358"/>
      <c r="B5" s="359"/>
      <c r="C5" s="3691" t="s">
        <v>1671</v>
      </c>
      <c r="D5" s="3692"/>
      <c r="E5" s="3689" t="s">
        <v>1672</v>
      </c>
      <c r="F5" s="3690"/>
      <c r="G5" s="3691" t="s">
        <v>1673</v>
      </c>
      <c r="H5" s="3692"/>
      <c r="I5" s="3691" t="s">
        <v>1674</v>
      </c>
      <c r="J5" s="3692"/>
      <c r="K5" s="1886"/>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1886"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683" t="s">
        <v>1678</v>
      </c>
      <c r="Q7" s="3716"/>
      <c r="R7" s="701" t="s">
        <v>20</v>
      </c>
      <c r="S7" s="702">
        <f t="shared" ref="S7:S15" si="0">F7</f>
        <v>0</v>
      </c>
      <c r="T7" s="701" t="s">
        <v>20</v>
      </c>
      <c r="U7" s="702">
        <f t="shared" ref="U7:U15" si="1">H7</f>
        <v>0</v>
      </c>
      <c r="V7" s="701" t="s">
        <v>20</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683" t="s">
        <v>1681</v>
      </c>
      <c r="Q8" s="3684"/>
      <c r="R8" s="701" t="s">
        <v>20</v>
      </c>
      <c r="S8" s="702">
        <f t="shared" si="0"/>
        <v>100</v>
      </c>
      <c r="T8" s="701" t="s">
        <v>20</v>
      </c>
      <c r="U8" s="702">
        <f t="shared" si="1"/>
        <v>100</v>
      </c>
      <c r="V8" s="701" t="s">
        <v>20</v>
      </c>
      <c r="W8" s="702">
        <f t="shared" si="2"/>
        <v>100</v>
      </c>
      <c r="X8" s="703"/>
      <c r="Y8" s="3683" t="s">
        <v>1681</v>
      </c>
      <c r="Z8" s="3684"/>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97"/>
      <c r="Q11" s="1339" t="str">
        <f t="shared" si="6"/>
        <v>容积率</v>
      </c>
      <c r="R11" s="701" t="s">
        <v>18</v>
      </c>
      <c r="S11" s="702" t="e">
        <f t="shared" si="0"/>
        <v>#N/A</v>
      </c>
      <c r="T11" s="701" t="s">
        <v>18</v>
      </c>
      <c r="U11" s="702" t="e">
        <f t="shared" si="1"/>
        <v>#N/A</v>
      </c>
      <c r="V11" s="701" t="s">
        <v>18</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697"/>
      <c r="Q12" s="1339">
        <f t="shared" si="6"/>
        <v>111</v>
      </c>
      <c r="R12" s="701" t="s">
        <v>18</v>
      </c>
      <c r="S12" s="702">
        <f t="shared" si="0"/>
        <v>100</v>
      </c>
      <c r="T12" s="701" t="s">
        <v>18</v>
      </c>
      <c r="U12" s="702">
        <f t="shared" si="1"/>
        <v>100</v>
      </c>
      <c r="V12" s="701" t="s">
        <v>18</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697"/>
      <c r="Q13" s="1339">
        <f t="shared" si="6"/>
        <v>111</v>
      </c>
      <c r="R13" s="701" t="s">
        <v>18</v>
      </c>
      <c r="S13" s="702">
        <f t="shared" si="0"/>
        <v>100</v>
      </c>
      <c r="T13" s="701" t="s">
        <v>18</v>
      </c>
      <c r="U13" s="702">
        <f t="shared" si="1"/>
        <v>100</v>
      </c>
      <c r="V13" s="701" t="s">
        <v>18</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697"/>
      <c r="Q14" s="1339">
        <f t="shared" si="6"/>
        <v>111</v>
      </c>
      <c r="R14" s="701" t="s">
        <v>18</v>
      </c>
      <c r="S14" s="702">
        <f t="shared" si="0"/>
        <v>100</v>
      </c>
      <c r="T14" s="701" t="s">
        <v>18</v>
      </c>
      <c r="U14" s="702">
        <f t="shared" si="1"/>
        <v>100</v>
      </c>
      <c r="V14" s="701" t="s">
        <v>18</v>
      </c>
      <c r="W14" s="702">
        <f t="shared" si="2"/>
        <v>100</v>
      </c>
      <c r="X14" s="703"/>
      <c r="Y14" s="3648"/>
      <c r="Z14" s="52">
        <f t="shared" si="7"/>
        <v>111</v>
      </c>
      <c r="AA14" s="704">
        <f t="shared" si="3"/>
        <v>1</v>
      </c>
      <c r="AB14" s="704">
        <f t="shared" si="4"/>
        <v>1</v>
      </c>
      <c r="AC14" s="704">
        <f t="shared" si="5"/>
        <v>1</v>
      </c>
    </row>
    <row r="15" spans="1:29" ht="15">
      <c r="A15" s="391" t="s">
        <v>1688</v>
      </c>
      <c r="B15" s="61" t="s">
        <v>1255</v>
      </c>
      <c r="C15" s="1892"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17" t="s">
        <v>1689</v>
      </c>
      <c r="Q15" s="1348" t="str">
        <f t="shared" si="6"/>
        <v>居住社区成熟度</v>
      </c>
      <c r="R15" s="705" t="s">
        <v>18</v>
      </c>
      <c r="S15" s="706">
        <f t="shared" si="0"/>
        <v>100</v>
      </c>
      <c r="T15" s="705" t="s">
        <v>18</v>
      </c>
      <c r="U15" s="706">
        <f t="shared" si="1"/>
        <v>100</v>
      </c>
      <c r="V15" s="705" t="s">
        <v>18</v>
      </c>
      <c r="W15" s="706">
        <f t="shared" si="2"/>
        <v>100</v>
      </c>
      <c r="X15" s="1351"/>
      <c r="Y15" s="3719" t="s">
        <v>1689</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718"/>
      <c r="Q16" s="1348"/>
      <c r="R16" s="705"/>
      <c r="S16" s="706"/>
      <c r="T16" s="705"/>
      <c r="U16" s="706"/>
      <c r="V16" s="705"/>
      <c r="W16" s="706"/>
      <c r="X16" s="1351"/>
      <c r="Y16" s="3720"/>
      <c r="Z16" s="1352"/>
      <c r="AA16" s="1349">
        <v>1</v>
      </c>
      <c r="AB16" s="1349">
        <v>1</v>
      </c>
      <c r="AC16" s="1349">
        <v>1</v>
      </c>
    </row>
    <row r="17" spans="1:29" ht="15">
      <c r="A17" s="379"/>
      <c r="B17" s="402" t="s">
        <v>1257</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18"/>
      <c r="Q17" s="1348" t="str">
        <f>B17</f>
        <v>交通便捷度</v>
      </c>
      <c r="R17" s="705" t="s">
        <v>18</v>
      </c>
      <c r="S17" s="706">
        <f>F17</f>
        <v>100</v>
      </c>
      <c r="T17" s="705" t="s">
        <v>18</v>
      </c>
      <c r="U17" s="706">
        <f>H17</f>
        <v>100</v>
      </c>
      <c r="V17" s="705" t="s">
        <v>18</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718"/>
      <c r="Q18" s="1348"/>
      <c r="R18" s="705"/>
      <c r="S18" s="706"/>
      <c r="T18" s="705"/>
      <c r="U18" s="706"/>
      <c r="V18" s="705"/>
      <c r="W18" s="706"/>
      <c r="X18" s="1351"/>
      <c r="Y18" s="3720"/>
      <c r="Z18" s="1352"/>
      <c r="AA18" s="1349">
        <v>1</v>
      </c>
      <c r="AB18" s="1349">
        <v>1</v>
      </c>
      <c r="AC18" s="1349">
        <v>1</v>
      </c>
    </row>
    <row r="19" spans="1:29" ht="15">
      <c r="A19" s="379"/>
      <c r="B19" s="402" t="s">
        <v>1256</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18"/>
      <c r="Q19" s="1348" t="str">
        <f>B19</f>
        <v>公共配套设施</v>
      </c>
      <c r="R19" s="705" t="s">
        <v>18</v>
      </c>
      <c r="S19" s="706">
        <f>F19</f>
        <v>100</v>
      </c>
      <c r="T19" s="705" t="s">
        <v>18</v>
      </c>
      <c r="U19" s="706">
        <f>H19</f>
        <v>100</v>
      </c>
      <c r="V19" s="705" t="s">
        <v>18</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718"/>
      <c r="Q20" s="1348"/>
      <c r="R20" s="705"/>
      <c r="S20" s="706"/>
      <c r="T20" s="705"/>
      <c r="U20" s="706"/>
      <c r="V20" s="705"/>
      <c r="W20" s="706"/>
      <c r="X20" s="1351"/>
      <c r="Y20" s="3720"/>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718"/>
      <c r="Q22" s="1348"/>
      <c r="R22" s="705"/>
      <c r="S22" s="706"/>
      <c r="T22" s="705"/>
      <c r="U22" s="706"/>
      <c r="V22" s="705"/>
      <c r="W22" s="706"/>
      <c r="X22" s="1351"/>
      <c r="Y22" s="3720"/>
      <c r="Z22" s="1352"/>
      <c r="AA22" s="1349">
        <v>1</v>
      </c>
      <c r="AB22" s="1349">
        <v>1</v>
      </c>
      <c r="AC22" s="1349">
        <v>1</v>
      </c>
    </row>
    <row r="23" spans="1:29" ht="15">
      <c r="A23" s="379"/>
      <c r="B23" s="402" t="s">
        <v>1259</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18"/>
      <c r="Q23" s="1348" t="str">
        <f>B23</f>
        <v>自然及人文环境</v>
      </c>
      <c r="R23" s="705" t="s">
        <v>18</v>
      </c>
      <c r="S23" s="706">
        <f>F23</f>
        <v>100</v>
      </c>
      <c r="T23" s="705" t="s">
        <v>18</v>
      </c>
      <c r="U23" s="706">
        <f>H23</f>
        <v>100</v>
      </c>
      <c r="V23" s="705" t="s">
        <v>18</v>
      </c>
      <c r="W23" s="706">
        <f>J23</f>
        <v>100</v>
      </c>
      <c r="X23" s="1351"/>
      <c r="Y23" s="372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718"/>
      <c r="Q24" s="1348"/>
      <c r="R24" s="705"/>
      <c r="S24" s="706"/>
      <c r="T24" s="705"/>
      <c r="U24" s="706"/>
      <c r="V24" s="705"/>
      <c r="W24" s="706"/>
      <c r="X24" s="1351"/>
      <c r="Y24" s="3720"/>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718"/>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20"/>
      <c r="Z25" s="1352" t="str">
        <f>Q25</f>
        <v>楼层-1</v>
      </c>
      <c r="AA25" s="1349">
        <f t="shared" ref="AA25:AA46" si="15">D25/F25</f>
        <v>1</v>
      </c>
      <c r="AB25" s="1349">
        <f t="shared" ref="AB25:AB46" si="16">D25/H25</f>
        <v>1</v>
      </c>
      <c r="AC25" s="1349">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718"/>
      <c r="Q26" s="1348" t="str">
        <f t="shared" si="11"/>
        <v>朝向</v>
      </c>
      <c r="R26" s="705" t="s">
        <v>18</v>
      </c>
      <c r="S26" s="706">
        <f t="shared" si="12"/>
        <v>100</v>
      </c>
      <c r="T26" s="705" t="s">
        <v>18</v>
      </c>
      <c r="U26" s="706">
        <f t="shared" si="13"/>
        <v>100</v>
      </c>
      <c r="V26" s="705" t="s">
        <v>18</v>
      </c>
      <c r="W26" s="706">
        <f t="shared" si="14"/>
        <v>100</v>
      </c>
      <c r="X26" s="1351"/>
      <c r="Y26" s="3720"/>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718"/>
      <c r="Q27" s="1339">
        <f t="shared" si="11"/>
        <v>111</v>
      </c>
      <c r="R27" s="701" t="s">
        <v>18</v>
      </c>
      <c r="S27" s="702">
        <f t="shared" si="12"/>
        <v>100</v>
      </c>
      <c r="T27" s="701" t="s">
        <v>18</v>
      </c>
      <c r="U27" s="702">
        <f t="shared" si="13"/>
        <v>100</v>
      </c>
      <c r="V27" s="701" t="s">
        <v>18</v>
      </c>
      <c r="W27" s="702">
        <f t="shared" si="14"/>
        <v>100</v>
      </c>
      <c r="X27" s="703"/>
      <c r="Y27" s="3720"/>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718"/>
      <c r="Q28" s="1348">
        <f t="shared" si="11"/>
        <v>111</v>
      </c>
      <c r="R28" s="705" t="s">
        <v>18</v>
      </c>
      <c r="S28" s="706">
        <f t="shared" si="12"/>
        <v>100</v>
      </c>
      <c r="T28" s="705" t="s">
        <v>18</v>
      </c>
      <c r="U28" s="706">
        <f t="shared" si="13"/>
        <v>100</v>
      </c>
      <c r="V28" s="705" t="s">
        <v>18</v>
      </c>
      <c r="W28" s="706">
        <f t="shared" si="14"/>
        <v>100</v>
      </c>
      <c r="X28" s="1351"/>
      <c r="Y28" s="3720"/>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718"/>
      <c r="Q29" s="1348">
        <f t="shared" si="11"/>
        <v>111</v>
      </c>
      <c r="R29" s="705" t="s">
        <v>18</v>
      </c>
      <c r="S29" s="706">
        <f t="shared" si="12"/>
        <v>100</v>
      </c>
      <c r="T29" s="705" t="s">
        <v>18</v>
      </c>
      <c r="U29" s="706">
        <f t="shared" si="13"/>
        <v>100</v>
      </c>
      <c r="V29" s="705" t="s">
        <v>18</v>
      </c>
      <c r="W29" s="706">
        <f t="shared" si="14"/>
        <v>100</v>
      </c>
      <c r="X29" s="1351"/>
      <c r="Y29" s="3720"/>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718"/>
      <c r="Q30" s="1348">
        <f t="shared" si="11"/>
        <v>111</v>
      </c>
      <c r="R30" s="705" t="s">
        <v>18</v>
      </c>
      <c r="S30" s="706">
        <f t="shared" si="12"/>
        <v>100</v>
      </c>
      <c r="T30" s="705" t="s">
        <v>18</v>
      </c>
      <c r="U30" s="706">
        <f t="shared" si="13"/>
        <v>100</v>
      </c>
      <c r="V30" s="705" t="s">
        <v>18</v>
      </c>
      <c r="W30" s="706">
        <f t="shared" si="14"/>
        <v>100</v>
      </c>
      <c r="X30" s="1351"/>
      <c r="Y30" s="3720"/>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718"/>
      <c r="Q31" s="1348">
        <f t="shared" si="11"/>
        <v>111</v>
      </c>
      <c r="R31" s="705" t="s">
        <v>18</v>
      </c>
      <c r="S31" s="706">
        <f t="shared" si="12"/>
        <v>100</v>
      </c>
      <c r="T31" s="705" t="s">
        <v>18</v>
      </c>
      <c r="U31" s="706">
        <f t="shared" si="13"/>
        <v>100</v>
      </c>
      <c r="V31" s="705" t="s">
        <v>18</v>
      </c>
      <c r="W31" s="706">
        <f t="shared" si="14"/>
        <v>100</v>
      </c>
      <c r="X31" s="1351"/>
      <c r="Y31" s="3720"/>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721" t="s">
        <v>1694</v>
      </c>
      <c r="Q32" s="1348" t="str">
        <f t="shared" si="11"/>
        <v>建筑类型</v>
      </c>
      <c r="R32" s="705" t="s">
        <v>18</v>
      </c>
      <c r="S32" s="706">
        <f t="shared" si="12"/>
        <v>100</v>
      </c>
      <c r="T32" s="705" t="s">
        <v>18</v>
      </c>
      <c r="U32" s="706">
        <f t="shared" si="13"/>
        <v>100</v>
      </c>
      <c r="V32" s="705" t="s">
        <v>18</v>
      </c>
      <c r="W32" s="706">
        <f t="shared" si="14"/>
        <v>100</v>
      </c>
      <c r="X32" s="1351"/>
      <c r="Y32" s="3724"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49" t="e">
        <f t="shared" si="15"/>
        <v>#N/A</v>
      </c>
      <c r="AB33" s="1349" t="e">
        <f t="shared" si="16"/>
        <v>#N/A</v>
      </c>
      <c r="AC33" s="1349" t="e">
        <f t="shared" si="17"/>
        <v>#N/A</v>
      </c>
    </row>
    <row r="34" spans="1:29" ht="15">
      <c r="A34" s="423"/>
      <c r="B34" s="375" t="s">
        <v>1696</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722"/>
      <c r="Q34" s="1348" t="str">
        <f t="shared" si="11"/>
        <v>建筑结构</v>
      </c>
      <c r="R34" s="705" t="s">
        <v>18</v>
      </c>
      <c r="S34" s="706">
        <f t="shared" si="12"/>
        <v>100</v>
      </c>
      <c r="T34" s="705" t="s">
        <v>18</v>
      </c>
      <c r="U34" s="706">
        <f t="shared" si="13"/>
        <v>100</v>
      </c>
      <c r="V34" s="705" t="s">
        <v>18</v>
      </c>
      <c r="W34" s="706">
        <f t="shared" si="14"/>
        <v>100</v>
      </c>
      <c r="X34" s="1351"/>
      <c r="Y34" s="3724"/>
      <c r="Z34" s="1352" t="str">
        <f t="shared" si="18"/>
        <v>建筑结构</v>
      </c>
      <c r="AA34" s="1349">
        <f t="shared" si="15"/>
        <v>1</v>
      </c>
      <c r="AB34" s="1349">
        <f t="shared" si="16"/>
        <v>1</v>
      </c>
      <c r="AC34" s="1349">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722"/>
      <c r="Q35" s="1348" t="str">
        <f t="shared" si="11"/>
        <v>建筑品质</v>
      </c>
      <c r="R35" s="705" t="s">
        <v>18</v>
      </c>
      <c r="S35" s="706">
        <f t="shared" si="12"/>
        <v>100</v>
      </c>
      <c r="T35" s="705" t="s">
        <v>18</v>
      </c>
      <c r="U35" s="706">
        <f t="shared" si="13"/>
        <v>100</v>
      </c>
      <c r="V35" s="705" t="s">
        <v>18</v>
      </c>
      <c r="W35" s="706">
        <f t="shared" si="14"/>
        <v>100</v>
      </c>
      <c r="X35" s="1351"/>
      <c r="Y35" s="3724"/>
      <c r="Z35" s="1352" t="str">
        <f t="shared" si="18"/>
        <v>建筑品质</v>
      </c>
      <c r="AA35" s="1349">
        <f t="shared" si="15"/>
        <v>1</v>
      </c>
      <c r="AB35" s="1349">
        <f t="shared" si="16"/>
        <v>1</v>
      </c>
      <c r="AC35" s="1349">
        <f t="shared" si="17"/>
        <v>1</v>
      </c>
    </row>
    <row r="36" spans="1:29" ht="15">
      <c r="A36" s="423"/>
      <c r="B36" s="375" t="s">
        <v>1698</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722"/>
      <c r="Q36" s="1348" t="str">
        <f t="shared" si="11"/>
        <v>公共部分装修</v>
      </c>
      <c r="R36" s="705" t="s">
        <v>18</v>
      </c>
      <c r="S36" s="706">
        <f t="shared" si="12"/>
        <v>100</v>
      </c>
      <c r="T36" s="705" t="s">
        <v>18</v>
      </c>
      <c r="U36" s="706">
        <f t="shared" si="13"/>
        <v>100</v>
      </c>
      <c r="V36" s="705" t="s">
        <v>18</v>
      </c>
      <c r="W36" s="706">
        <f t="shared" si="14"/>
        <v>100</v>
      </c>
      <c r="X36" s="1351"/>
      <c r="Y36" s="3724"/>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22"/>
      <c r="Q37" s="1339"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722" t="s">
        <v>1694</v>
      </c>
      <c r="Q38" s="1348" t="str">
        <f t="shared" si="11"/>
        <v>物业管理</v>
      </c>
      <c r="R38" s="705" t="s">
        <v>18</v>
      </c>
      <c r="S38" s="706">
        <f t="shared" si="12"/>
        <v>100</v>
      </c>
      <c r="T38" s="705" t="s">
        <v>18</v>
      </c>
      <c r="U38" s="706">
        <f t="shared" si="13"/>
        <v>100</v>
      </c>
      <c r="V38" s="705" t="s">
        <v>18</v>
      </c>
      <c r="W38" s="706">
        <f t="shared" si="14"/>
        <v>100</v>
      </c>
      <c r="X38" s="1351"/>
      <c r="Y38" s="3724" t="s">
        <v>1694</v>
      </c>
      <c r="Z38" s="1352" t="str">
        <f t="shared" si="18"/>
        <v>物业管理</v>
      </c>
      <c r="AA38" s="1349">
        <f t="shared" si="15"/>
        <v>1</v>
      </c>
      <c r="AB38" s="1349">
        <f t="shared" si="16"/>
        <v>1</v>
      </c>
      <c r="AC38" s="1349">
        <f t="shared" si="17"/>
        <v>1</v>
      </c>
    </row>
    <row r="39" spans="1:29" ht="15">
      <c r="A39" s="423"/>
      <c r="B39" s="375" t="s">
        <v>1701</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722"/>
      <c r="Q39" s="1348" t="str">
        <f t="shared" si="11"/>
        <v>市政基础设施</v>
      </c>
      <c r="R39" s="705" t="s">
        <v>18</v>
      </c>
      <c r="S39" s="706">
        <f t="shared" si="12"/>
        <v>100</v>
      </c>
      <c r="T39" s="705" t="s">
        <v>18</v>
      </c>
      <c r="U39" s="706">
        <f t="shared" si="13"/>
        <v>100</v>
      </c>
      <c r="V39" s="705" t="s">
        <v>18</v>
      </c>
      <c r="W39" s="706">
        <f t="shared" si="14"/>
        <v>100</v>
      </c>
      <c r="X39" s="1351"/>
      <c r="Y39" s="3724"/>
      <c r="Z39" s="1352" t="str">
        <f t="shared" si="18"/>
        <v>市政基础设施</v>
      </c>
      <c r="AA39" s="1349">
        <f t="shared" si="15"/>
        <v>1</v>
      </c>
      <c r="AB39" s="1349">
        <f t="shared" si="16"/>
        <v>1</v>
      </c>
      <c r="AC39" s="1349">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722"/>
      <c r="Q40" s="1348" t="str">
        <f t="shared" si="11"/>
        <v>房型</v>
      </c>
      <c r="R40" s="705" t="s">
        <v>18</v>
      </c>
      <c r="S40" s="706">
        <f t="shared" si="12"/>
        <v>100</v>
      </c>
      <c r="T40" s="705" t="s">
        <v>18</v>
      </c>
      <c r="U40" s="706">
        <f t="shared" si="13"/>
        <v>100</v>
      </c>
      <c r="V40" s="705" t="s">
        <v>18</v>
      </c>
      <c r="W40" s="706">
        <f t="shared" si="14"/>
        <v>100</v>
      </c>
      <c r="X40" s="1351"/>
      <c r="Y40" s="3724"/>
      <c r="Z40" s="1352" t="str">
        <f t="shared" si="18"/>
        <v>房型</v>
      </c>
      <c r="AA40" s="1349">
        <f t="shared" si="15"/>
        <v>1</v>
      </c>
      <c r="AB40" s="1349">
        <f t="shared" si="16"/>
        <v>1</v>
      </c>
      <c r="AC40" s="1349">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49">
        <f t="shared" si="15"/>
        <v>1</v>
      </c>
      <c r="AB41" s="1349">
        <f t="shared" si="16"/>
        <v>1</v>
      </c>
      <c r="AC41" s="1349">
        <f t="shared" si="17"/>
        <v>1</v>
      </c>
    </row>
    <row r="42" spans="1:29" ht="15">
      <c r="A42" s="423"/>
      <c r="B42" s="375" t="s">
        <v>1704</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722"/>
      <c r="Q42" s="1348" t="str">
        <f t="shared" si="11"/>
        <v>内部装修</v>
      </c>
      <c r="R42" s="705" t="s">
        <v>18</v>
      </c>
      <c r="S42" s="706">
        <f t="shared" si="12"/>
        <v>100</v>
      </c>
      <c r="T42" s="705" t="s">
        <v>18</v>
      </c>
      <c r="U42" s="706">
        <f t="shared" si="13"/>
        <v>100</v>
      </c>
      <c r="V42" s="705" t="s">
        <v>18</v>
      </c>
      <c r="W42" s="706">
        <f t="shared" si="14"/>
        <v>100</v>
      </c>
      <c r="X42" s="1351"/>
      <c r="Y42" s="3724"/>
      <c r="Z42" s="1352" t="str">
        <f t="shared" si="18"/>
        <v>内部装修</v>
      </c>
      <c r="AA42" s="1349">
        <f t="shared" si="15"/>
        <v>1</v>
      </c>
      <c r="AB42" s="1349">
        <f t="shared" si="16"/>
        <v>1</v>
      </c>
      <c r="AC42" s="1349">
        <f t="shared" si="17"/>
        <v>1</v>
      </c>
    </row>
    <row r="43" spans="1:29" ht="15">
      <c r="A43" s="423"/>
      <c r="B43" s="375" t="s">
        <v>1705</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722"/>
      <c r="Q43" s="1348" t="str">
        <f t="shared" si="11"/>
        <v>内部装修维护情况</v>
      </c>
      <c r="R43" s="705" t="s">
        <v>18</v>
      </c>
      <c r="S43" s="706">
        <f t="shared" si="12"/>
        <v>100</v>
      </c>
      <c r="T43" s="705" t="s">
        <v>18</v>
      </c>
      <c r="U43" s="706">
        <f t="shared" si="13"/>
        <v>100</v>
      </c>
      <c r="V43" s="705" t="s">
        <v>18</v>
      </c>
      <c r="W43" s="706">
        <f t="shared" si="14"/>
        <v>100</v>
      </c>
      <c r="X43" s="1351"/>
      <c r="Y43" s="3724"/>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722"/>
      <c r="Q44" s="1339">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722"/>
      <c r="Q45" s="1348">
        <f t="shared" si="11"/>
        <v>111</v>
      </c>
      <c r="R45" s="705" t="s">
        <v>18</v>
      </c>
      <c r="S45" s="706">
        <f t="shared" si="12"/>
        <v>100</v>
      </c>
      <c r="T45" s="705" t="s">
        <v>18</v>
      </c>
      <c r="U45" s="706">
        <f t="shared" si="13"/>
        <v>100</v>
      </c>
      <c r="V45" s="705" t="s">
        <v>18</v>
      </c>
      <c r="W45" s="706">
        <f t="shared" si="14"/>
        <v>100</v>
      </c>
      <c r="X45" s="1351"/>
      <c r="Y45" s="3724"/>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723"/>
      <c r="Q46" s="1348">
        <f t="shared" si="11"/>
        <v>111</v>
      </c>
      <c r="R46" s="705" t="s">
        <v>17</v>
      </c>
      <c r="S46" s="706">
        <f t="shared" si="12"/>
        <v>100</v>
      </c>
      <c r="T46" s="705" t="s">
        <v>17</v>
      </c>
      <c r="U46" s="706">
        <f t="shared" si="13"/>
        <v>100</v>
      </c>
      <c r="V46" s="705" t="s">
        <v>17</v>
      </c>
      <c r="W46" s="706">
        <f t="shared" si="14"/>
        <v>100</v>
      </c>
      <c r="X46" s="1351"/>
      <c r="Y46" s="3725"/>
      <c r="Z46" s="1352">
        <f t="shared" si="18"/>
        <v>111</v>
      </c>
      <c r="AA46" s="1349">
        <f t="shared" si="15"/>
        <v>1</v>
      </c>
      <c r="AB46" s="1349">
        <f t="shared" si="16"/>
        <v>1</v>
      </c>
      <c r="AC46" s="1349">
        <f t="shared" si="17"/>
        <v>1</v>
      </c>
    </row>
    <row r="47" spans="1:29" ht="15">
      <c r="A47" s="430" t="s">
        <v>1706</v>
      </c>
      <c r="B47" s="431"/>
      <c r="C47" s="1150" t="s">
        <v>16</v>
      </c>
      <c r="D47" s="1151"/>
      <c r="E47" s="1152"/>
      <c r="F47" s="1153"/>
      <c r="G47" s="1154"/>
      <c r="H47" s="1155"/>
      <c r="I47" s="1152"/>
      <c r="J47" s="1155"/>
      <c r="K47" s="1910"/>
      <c r="L47" s="2717"/>
      <c r="M47" s="2718"/>
      <c r="N47" s="2709"/>
      <c r="O47" s="2718"/>
      <c r="P47" s="3726" t="str">
        <f>A47</f>
        <v>成交单价（元/平方米）</v>
      </c>
      <c r="Q47" s="3726"/>
      <c r="R47" s="3727">
        <f>E47</f>
        <v>0</v>
      </c>
      <c r="S47" s="3727"/>
      <c r="T47" s="3727">
        <f>G47</f>
        <v>0</v>
      </c>
      <c r="U47" s="3727"/>
      <c r="V47" s="3727">
        <f>I47</f>
        <v>0</v>
      </c>
      <c r="W47" s="3727"/>
      <c r="X47" s="690"/>
      <c r="Y47" s="712"/>
      <c r="Z47" s="690"/>
      <c r="AA47" s="690"/>
      <c r="AB47" s="690"/>
      <c r="AC47" s="690"/>
    </row>
    <row r="48" spans="1:29" ht="15.75" thickBot="1">
      <c r="A48" s="437" t="s">
        <v>1707</v>
      </c>
      <c r="B48" s="438"/>
      <c r="C48" s="1156" t="e">
        <f>R49</f>
        <v>#DIV/0!</v>
      </c>
      <c r="D48" s="2313" t="s">
        <v>2136</v>
      </c>
      <c r="E48" s="1157" t="e">
        <f>R48</f>
        <v>#DIV/0!</v>
      </c>
      <c r="F48" s="2314"/>
      <c r="G48" s="1156" t="e">
        <f>T48</f>
        <v>#DIV/0!</v>
      </c>
      <c r="H48" s="2314"/>
      <c r="I48" s="1157" t="e">
        <f>V48</f>
        <v>#DIV/0!</v>
      </c>
      <c r="J48" s="2314"/>
      <c r="K48" s="2315">
        <f>F48+H48+J48</f>
        <v>0</v>
      </c>
      <c r="L48" s="2717"/>
      <c r="M48" s="2718"/>
      <c r="N48" s="2718"/>
      <c r="O48" s="2718"/>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1708</v>
      </c>
      <c r="B49" s="442"/>
      <c r="C49" s="1158" t="e">
        <f>R49</f>
        <v>#DIV/0!</v>
      </c>
      <c r="D49" s="1159"/>
      <c r="E49" s="1159"/>
      <c r="F49" s="1159"/>
      <c r="G49" s="1159"/>
      <c r="H49" s="1159"/>
      <c r="I49" s="1159"/>
      <c r="J49" s="1159"/>
      <c r="K49" s="1911"/>
      <c r="L49" s="2717"/>
      <c r="M49" s="2718"/>
      <c r="N49" s="2718"/>
      <c r="O49" s="2718"/>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37"/>
      <c r="L57" s="938"/>
      <c r="M57" s="936"/>
      <c r="N57" s="936"/>
      <c r="O57" s="936"/>
      <c r="P57" s="1914"/>
      <c r="Q57" s="453"/>
    </row>
    <row r="58" spans="1:29" s="457" customFormat="1" ht="15">
      <c r="A58" s="454" t="s">
        <v>1713</v>
      </c>
      <c r="B58" s="455"/>
      <c r="C58" s="1182" t="str">
        <f>YEAR(C7)&amp;"-"&amp;MONTH(C7)</f>
        <v>2024-7</v>
      </c>
      <c r="D58" s="1181">
        <f>EDATE(C58,-1)</f>
        <v>45444</v>
      </c>
      <c r="E58" s="1181">
        <f>EDATE(D58,-1)</f>
        <v>45413</v>
      </c>
      <c r="F58" s="1181">
        <f t="shared" ref="F58:O58" si="19">EDATE(E58,-1)</f>
        <v>45383</v>
      </c>
      <c r="G58" s="1181">
        <f t="shared" si="19"/>
        <v>45352</v>
      </c>
      <c r="H58" s="1181">
        <f t="shared" si="19"/>
        <v>45323</v>
      </c>
      <c r="I58" s="1181">
        <f t="shared" si="19"/>
        <v>45292</v>
      </c>
      <c r="J58" s="1181">
        <f t="shared" si="19"/>
        <v>45261</v>
      </c>
      <c r="K58" s="1181">
        <f t="shared" si="19"/>
        <v>45231</v>
      </c>
      <c r="L58" s="1181">
        <f t="shared" si="19"/>
        <v>45200</v>
      </c>
      <c r="M58" s="1181">
        <f t="shared" si="19"/>
        <v>45170</v>
      </c>
      <c r="N58" s="1181">
        <f t="shared" si="19"/>
        <v>45139</v>
      </c>
      <c r="O58" s="1181">
        <f t="shared" si="19"/>
        <v>45108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1717</v>
      </c>
      <c r="B63" s="477" t="s">
        <v>1683</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1686</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1732</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1733</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1692</v>
      </c>
      <c r="B100" s="477" t="s">
        <v>1734</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1736</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1737</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1738</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1739</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1740</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1741</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1703</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1742</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3">
        <v>6</v>
      </c>
      <c r="C139" s="864">
        <v>96</v>
      </c>
      <c r="D139" s="1936" t="s">
        <v>1753</v>
      </c>
      <c r="E139" s="865">
        <v>100</v>
      </c>
      <c r="F139" s="866">
        <v>102.5</v>
      </c>
      <c r="G139" s="1936" t="s">
        <v>1753</v>
      </c>
      <c r="H139" s="867">
        <v>105</v>
      </c>
      <c r="I139" s="1937" t="s">
        <v>1754</v>
      </c>
      <c r="J139" s="864">
        <v>20</v>
      </c>
      <c r="K139" s="868">
        <f>C145/(J139-2)</f>
        <v>4.0555555555555553E-3</v>
      </c>
    </row>
    <row r="140" spans="1:17" ht="15">
      <c r="B140" s="869">
        <v>5</v>
      </c>
      <c r="C140" s="870">
        <v>100</v>
      </c>
      <c r="D140" s="870"/>
      <c r="E140" s="871"/>
      <c r="F140" s="872">
        <v>102</v>
      </c>
      <c r="G140" s="870"/>
      <c r="H140" s="873"/>
      <c r="I140" s="1938" t="s">
        <v>1755</v>
      </c>
      <c r="J140" s="271">
        <f>ROUNDUP((J139-1)/2,0)</f>
        <v>10</v>
      </c>
      <c r="K140" s="874">
        <v>100</v>
      </c>
    </row>
    <row r="141" spans="1:17" ht="15">
      <c r="B141" s="869">
        <v>4</v>
      </c>
      <c r="C141" s="870">
        <v>102</v>
      </c>
      <c r="D141" s="870"/>
      <c r="E141" s="871"/>
      <c r="F141" s="872">
        <v>101.5</v>
      </c>
      <c r="G141" s="870"/>
      <c r="H141" s="873"/>
      <c r="I141" s="1938" t="s">
        <v>1756</v>
      </c>
      <c r="J141" s="271">
        <v>1</v>
      </c>
      <c r="K141" s="875">
        <f>ROUND(100+(J141-J140)*K139*100,1)</f>
        <v>96.4</v>
      </c>
    </row>
    <row r="142" spans="1:17" ht="15">
      <c r="B142" s="869">
        <v>3</v>
      </c>
      <c r="C142" s="870">
        <v>103</v>
      </c>
      <c r="D142" s="870"/>
      <c r="E142" s="871"/>
      <c r="F142" s="872">
        <v>101</v>
      </c>
      <c r="G142" s="870"/>
      <c r="H142" s="873"/>
      <c r="I142" s="1938" t="s">
        <v>1757</v>
      </c>
      <c r="J142" s="271">
        <f>J139</f>
        <v>20</v>
      </c>
      <c r="K142" s="876">
        <v>95</v>
      </c>
    </row>
    <row r="143" spans="1:17" ht="15">
      <c r="B143" s="869">
        <v>2</v>
      </c>
      <c r="C143" s="870">
        <v>100</v>
      </c>
      <c r="D143" s="870"/>
      <c r="E143" s="871"/>
      <c r="F143" s="872">
        <v>100.5</v>
      </c>
      <c r="G143" s="870"/>
      <c r="H143" s="873"/>
      <c r="I143" s="1938" t="s">
        <v>1758</v>
      </c>
      <c r="J143" s="870">
        <v>15</v>
      </c>
      <c r="K143" s="875">
        <f>ROUND(100+(J143-J140)*K139*100,1)</f>
        <v>102</v>
      </c>
    </row>
    <row r="144" spans="1:17" ht="15">
      <c r="B144" s="869">
        <v>1</v>
      </c>
      <c r="C144" s="870">
        <v>98</v>
      </c>
      <c r="D144" s="1939" t="s">
        <v>1759</v>
      </c>
      <c r="E144" s="871">
        <v>102</v>
      </c>
      <c r="F144" s="877">
        <v>100</v>
      </c>
      <c r="G144" s="1939" t="s">
        <v>1759</v>
      </c>
      <c r="H144" s="873">
        <v>105</v>
      </c>
      <c r="I144" s="1938" t="s">
        <v>1758</v>
      </c>
      <c r="J144" s="870">
        <v>18</v>
      </c>
      <c r="K144" s="875">
        <f>ROUND(100+(J144-J140)*K139*100,1)</f>
        <v>103.2</v>
      </c>
    </row>
    <row r="145" spans="2:11" ht="15.75" thickBot="1">
      <c r="B145" s="1940" t="s">
        <v>1760</v>
      </c>
      <c r="C145" s="878">
        <f>ROUND(MAX(C139:C144)/MIN(C139:C144)-1,3)</f>
        <v>7.2999999999999995E-2</v>
      </c>
      <c r="D145" s="879"/>
      <c r="E145" s="879"/>
      <c r="F145" s="1941" t="s">
        <v>1761</v>
      </c>
      <c r="G145" s="1942"/>
      <c r="H145" s="1943"/>
      <c r="I145" s="1944" t="s">
        <v>1758</v>
      </c>
      <c r="J145" s="880">
        <v>8</v>
      </c>
      <c r="K145" s="881">
        <f>ROUND(100+(J145-J140)*K139*100,1)</f>
        <v>99.2</v>
      </c>
    </row>
    <row r="147" spans="2:11">
      <c r="B147" s="1925" t="s">
        <v>1762</v>
      </c>
    </row>
    <row r="148" spans="2:11">
      <c r="B148" s="192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76" priority="19" stopIfTrue="1" operator="containsText" text="超过">
      <formula>NOT(ISERROR(SEARCH("超过",F52)))</formula>
    </cfRule>
  </conditionalFormatting>
  <conditionalFormatting sqref="J54">
    <cfRule type="containsText" dxfId="275" priority="18" stopIfTrue="1" operator="containsText" text="超过">
      <formula>NOT(ISERROR(SEARCH("超过",J54)))</formula>
    </cfRule>
  </conditionalFormatting>
  <conditionalFormatting sqref="H54">
    <cfRule type="containsText" dxfId="274" priority="17" stopIfTrue="1" operator="containsText" text="超过">
      <formula>NOT(ISERROR(SEARCH("超过",H54)))</formula>
    </cfRule>
  </conditionalFormatting>
  <conditionalFormatting sqref="F54">
    <cfRule type="containsText" dxfId="273" priority="16" stopIfTrue="1" operator="containsText" text="超过">
      <formula>NOT(ISERROR(SEARCH("超过",F54)))</formula>
    </cfRule>
  </conditionalFormatting>
  <conditionalFormatting sqref="F53 H53 J53">
    <cfRule type="containsText" dxfId="272" priority="15" stopIfTrue="1" operator="containsText" text="超过">
      <formula>NOT(ISERROR(SEARCH("超过",F53)))</formula>
    </cfRule>
  </conditionalFormatting>
  <conditionalFormatting sqref="E52">
    <cfRule type="expression" dxfId="271" priority="14" stopIfTrue="1">
      <formula>$F$52="超过30%"</formula>
    </cfRule>
  </conditionalFormatting>
  <conditionalFormatting sqref="G54">
    <cfRule type="expression" dxfId="270" priority="12" stopIfTrue="1">
      <formula>$H$54="超过30%"</formula>
    </cfRule>
  </conditionalFormatting>
  <conditionalFormatting sqref="E53">
    <cfRule type="expression" dxfId="269" priority="11" stopIfTrue="1">
      <formula>$F$53="超过20%"</formula>
    </cfRule>
  </conditionalFormatting>
  <conditionalFormatting sqref="E54">
    <cfRule type="expression" dxfId="268" priority="10" stopIfTrue="1">
      <formula>$F$54="超过30%"</formula>
    </cfRule>
  </conditionalFormatting>
  <conditionalFormatting sqref="G52">
    <cfRule type="expression" dxfId="267" priority="9" stopIfTrue="1">
      <formula>$H$52="超过30%"</formula>
    </cfRule>
  </conditionalFormatting>
  <conditionalFormatting sqref="G53">
    <cfRule type="expression" dxfId="266" priority="8" stopIfTrue="1">
      <formula>$H$53="超过20%"</formula>
    </cfRule>
  </conditionalFormatting>
  <conditionalFormatting sqref="I52">
    <cfRule type="expression" dxfId="265" priority="7" stopIfTrue="1">
      <formula>$J$52="超过30%"</formula>
    </cfRule>
  </conditionalFormatting>
  <conditionalFormatting sqref="I53">
    <cfRule type="expression" dxfId="264" priority="6" stopIfTrue="1">
      <formula>$J$53="超过20%"</formula>
    </cfRule>
  </conditionalFormatting>
  <conditionalFormatting sqref="I54">
    <cfRule type="expression" dxfId="263" priority="5" stopIfTrue="1">
      <formula>$J$54="超过30%"</formula>
    </cfRule>
  </conditionalFormatting>
  <conditionalFormatting sqref="F48">
    <cfRule type="expression" dxfId="262" priority="4">
      <formula>$D$48="简单平均"</formula>
    </cfRule>
  </conditionalFormatting>
  <conditionalFormatting sqref="H48">
    <cfRule type="expression" dxfId="261" priority="3">
      <formula>$D$48="简单平均"</formula>
    </cfRule>
  </conditionalFormatting>
  <conditionalFormatting sqref="J48">
    <cfRule type="expression" dxfId="260" priority="2">
      <formula>$D$48="简单平均"</formula>
    </cfRule>
  </conditionalFormatting>
  <conditionalFormatting sqref="F7:F46 H7:H46 J7:J46">
    <cfRule type="cellIs" dxfId="2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9"/>
      <c r="F1" s="1875"/>
      <c r="G1" s="1231" t="s">
        <v>1765</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1460</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1948"/>
      <c r="Q2" s="908"/>
      <c r="R2" s="908"/>
      <c r="S2" s="908"/>
      <c r="T2" s="908"/>
      <c r="U2" s="908"/>
      <c r="V2" s="908"/>
      <c r="W2" s="908"/>
      <c r="X2" s="908"/>
      <c r="Y2" s="908"/>
      <c r="Z2" s="908"/>
      <c r="AA2" s="908"/>
      <c r="AB2" s="908"/>
      <c r="AC2" s="1949"/>
    </row>
    <row r="3" spans="1:29" s="352" customFormat="1" ht="28.5" customHeight="1" thickBot="1">
      <c r="A3" s="203" t="s">
        <v>1462</v>
      </c>
      <c r="B3" s="558">
        <f>IF(C2="——",C49,ROUND(B2*10000/D3,0))</f>
        <v>0</v>
      </c>
      <c r="C3" s="354" t="s">
        <v>1766</v>
      </c>
      <c r="D3" s="353">
        <f>IF(D1="",'数据-汇总表'!E3,SUMIF('数据-汇总表'!$C19:$C33,D1,'数据-汇总表'!$E19:$E33))</f>
        <v>971.86</v>
      </c>
      <c r="E3" s="1950"/>
      <c r="F3" s="905"/>
      <c r="G3" s="904"/>
      <c r="H3" s="904"/>
      <c r="I3" s="904"/>
      <c r="J3" s="904"/>
      <c r="K3" s="906"/>
      <c r="L3" s="2727"/>
      <c r="M3" s="2728"/>
      <c r="N3" s="2728"/>
      <c r="O3" s="2728"/>
      <c r="P3" s="1948"/>
      <c r="Q3" s="908"/>
      <c r="R3" s="908"/>
      <c r="S3" s="908"/>
      <c r="T3" s="908"/>
      <c r="U3" s="908"/>
      <c r="V3" s="908"/>
      <c r="W3" s="908"/>
      <c r="X3" s="908"/>
      <c r="Y3" s="908"/>
      <c r="Z3" s="908"/>
      <c r="AA3" s="908"/>
      <c r="AB3" s="908"/>
      <c r="AC3" s="1950"/>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714"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714"/>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714"/>
      <c r="AC6" s="3682"/>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97"/>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97"/>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97"/>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97"/>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17" t="s">
        <v>1689</v>
      </c>
      <c r="Q15" s="1348" t="str">
        <f t="shared" si="6"/>
        <v>商业繁华度</v>
      </c>
      <c r="R15" s="705" t="s">
        <v>14</v>
      </c>
      <c r="S15" s="706">
        <f t="shared" si="0"/>
        <v>100</v>
      </c>
      <c r="T15" s="705" t="s">
        <v>14</v>
      </c>
      <c r="U15" s="706">
        <f t="shared" si="1"/>
        <v>100</v>
      </c>
      <c r="V15" s="705" t="s">
        <v>14</v>
      </c>
      <c r="W15" s="706">
        <f t="shared" si="2"/>
        <v>100</v>
      </c>
      <c r="X15" s="1351"/>
      <c r="Y15" s="3719"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718"/>
      <c r="Q16" s="1348"/>
      <c r="R16" s="705"/>
      <c r="S16" s="706"/>
      <c r="T16" s="705"/>
      <c r="U16" s="706"/>
      <c r="V16" s="705"/>
      <c r="W16" s="706"/>
      <c r="X16" s="1351"/>
      <c r="Y16" s="3720"/>
      <c r="Z16" s="1352"/>
      <c r="AA16" s="1349">
        <v>1</v>
      </c>
      <c r="AB16" s="1349">
        <v>1</v>
      </c>
      <c r="AC16" s="1349">
        <v>1</v>
      </c>
    </row>
    <row r="17" spans="1:29" ht="15">
      <c r="A17" s="379"/>
      <c r="B17" s="402" t="s">
        <v>1257</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18"/>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718"/>
      <c r="Q18" s="1348"/>
      <c r="R18" s="705"/>
      <c r="S18" s="706"/>
      <c r="T18" s="705"/>
      <c r="U18" s="706"/>
      <c r="V18" s="705"/>
      <c r="W18" s="706"/>
      <c r="X18" s="1351"/>
      <c r="Y18" s="3720"/>
      <c r="Z18" s="1352"/>
      <c r="AA18" s="1349">
        <v>1</v>
      </c>
      <c r="AB18" s="1349">
        <v>1</v>
      </c>
      <c r="AC18" s="1349">
        <v>1</v>
      </c>
    </row>
    <row r="19" spans="1:29" ht="15">
      <c r="A19" s="379"/>
      <c r="B19" s="402" t="s">
        <v>1776</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18"/>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718"/>
      <c r="Q20" s="1348"/>
      <c r="R20" s="705"/>
      <c r="S20" s="706"/>
      <c r="T20" s="705"/>
      <c r="U20" s="706"/>
      <c r="V20" s="705"/>
      <c r="W20" s="706"/>
      <c r="X20" s="1351"/>
      <c r="Y20" s="3720"/>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718"/>
      <c r="Q22" s="1348"/>
      <c r="R22" s="705"/>
      <c r="S22" s="706"/>
      <c r="T22" s="705"/>
      <c r="U22" s="706"/>
      <c r="V22" s="705"/>
      <c r="W22" s="706"/>
      <c r="X22" s="1351"/>
      <c r="Y22" s="3720"/>
      <c r="Z22" s="1352"/>
      <c r="AA22" s="1349">
        <v>1</v>
      </c>
      <c r="AB22" s="1349">
        <v>1</v>
      </c>
      <c r="AC22" s="1349">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18"/>
      <c r="Q23" s="1348" t="str">
        <f>B23</f>
        <v>自然及人文环境</v>
      </c>
      <c r="R23" s="705" t="s">
        <v>14</v>
      </c>
      <c r="S23" s="706">
        <f>F23</f>
        <v>100</v>
      </c>
      <c r="T23" s="705" t="s">
        <v>14</v>
      </c>
      <c r="U23" s="706">
        <f>H23</f>
        <v>100</v>
      </c>
      <c r="V23" s="705" t="s">
        <v>14</v>
      </c>
      <c r="W23" s="706">
        <f>J23</f>
        <v>100</v>
      </c>
      <c r="X23" s="1351"/>
      <c r="Y23" s="3720"/>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718"/>
      <c r="Q24" s="1348"/>
      <c r="R24" s="705"/>
      <c r="S24" s="706"/>
      <c r="T24" s="705"/>
      <c r="U24" s="706"/>
      <c r="V24" s="705"/>
      <c r="W24" s="706"/>
      <c r="X24" s="1351"/>
      <c r="Y24" s="3720"/>
      <c r="Z24" s="1352"/>
      <c r="AA24" s="1349">
        <v>1</v>
      </c>
      <c r="AB24" s="1349">
        <v>1</v>
      </c>
      <c r="AC24" s="1349">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18"/>
      <c r="Q25" s="1348" t="str">
        <f t="shared" ref="Q25:Q46" si="11">B25</f>
        <v>临街状况</v>
      </c>
      <c r="R25" s="705" t="s">
        <v>14</v>
      </c>
      <c r="S25" s="706">
        <f>F25</f>
        <v>100</v>
      </c>
      <c r="T25" s="705" t="s">
        <v>14</v>
      </c>
      <c r="U25" s="706">
        <f>H25</f>
        <v>100</v>
      </c>
      <c r="V25" s="705" t="s">
        <v>14</v>
      </c>
      <c r="W25" s="706">
        <f>J25</f>
        <v>100</v>
      </c>
      <c r="X25" s="1351"/>
      <c r="Y25" s="3720"/>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18"/>
      <c r="Q26" s="1348" t="str">
        <f t="shared" si="11"/>
        <v>平面位置/可视性</v>
      </c>
      <c r="R26" s="705" t="s">
        <v>14</v>
      </c>
      <c r="S26" s="706">
        <f>F26</f>
        <v>100</v>
      </c>
      <c r="T26" s="705" t="s">
        <v>14</v>
      </c>
      <c r="U26" s="706">
        <f>H26</f>
        <v>100</v>
      </c>
      <c r="V26" s="705" t="s">
        <v>14</v>
      </c>
      <c r="W26" s="706">
        <f>J26</f>
        <v>100</v>
      </c>
      <c r="X26" s="1351"/>
      <c r="Y26" s="3720"/>
      <c r="Z26" s="1352" t="str">
        <f>Q26</f>
        <v>平面位置/可视性</v>
      </c>
      <c r="AA26" s="1349">
        <f t="shared" si="3"/>
        <v>1</v>
      </c>
      <c r="AB26" s="1349">
        <f t="shared" si="4"/>
        <v>1</v>
      </c>
      <c r="AC26" s="1349">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718"/>
      <c r="Q27" s="1339" t="str">
        <f t="shared" si="11"/>
        <v>人流量</v>
      </c>
      <c r="R27" s="701" t="s">
        <v>14</v>
      </c>
      <c r="S27" s="702">
        <f>F27</f>
        <v>100</v>
      </c>
      <c r="T27" s="701" t="s">
        <v>14</v>
      </c>
      <c r="U27" s="702">
        <f>H27</f>
        <v>100</v>
      </c>
      <c r="V27" s="701" t="s">
        <v>14</v>
      </c>
      <c r="W27" s="702">
        <f>J27</f>
        <v>100</v>
      </c>
      <c r="X27" s="703"/>
      <c r="Y27" s="3720"/>
      <c r="Z27" s="52" t="str">
        <f>Q27</f>
        <v>人流量</v>
      </c>
      <c r="AA27" s="1349">
        <f>D27/F27</f>
        <v>1</v>
      </c>
      <c r="AB27" s="1349">
        <f>D27/H27</f>
        <v>1</v>
      </c>
      <c r="AC27" s="1349">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18"/>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20"/>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18"/>
      <c r="Q29" s="1348">
        <f t="shared" si="11"/>
        <v>111</v>
      </c>
      <c r="R29" s="705" t="s">
        <v>14</v>
      </c>
      <c r="S29" s="706">
        <f t="shared" si="12"/>
        <v>100</v>
      </c>
      <c r="T29" s="705" t="s">
        <v>14</v>
      </c>
      <c r="U29" s="706">
        <f t="shared" si="13"/>
        <v>100</v>
      </c>
      <c r="V29" s="705" t="s">
        <v>14</v>
      </c>
      <c r="W29" s="706">
        <f t="shared" si="14"/>
        <v>100</v>
      </c>
      <c r="X29" s="1351"/>
      <c r="Y29" s="3720"/>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18"/>
      <c r="Q30" s="1348">
        <f t="shared" si="11"/>
        <v>111</v>
      </c>
      <c r="R30" s="705" t="s">
        <v>14</v>
      </c>
      <c r="S30" s="706">
        <f t="shared" si="12"/>
        <v>100</v>
      </c>
      <c r="T30" s="705" t="s">
        <v>14</v>
      </c>
      <c r="U30" s="706">
        <f t="shared" si="13"/>
        <v>100</v>
      </c>
      <c r="V30" s="705" t="s">
        <v>14</v>
      </c>
      <c r="W30" s="706">
        <f t="shared" si="14"/>
        <v>100</v>
      </c>
      <c r="X30" s="1351"/>
      <c r="Y30" s="3720"/>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18"/>
      <c r="Q31" s="1348">
        <f t="shared" si="11"/>
        <v>111</v>
      </c>
      <c r="R31" s="705" t="s">
        <v>14</v>
      </c>
      <c r="S31" s="706">
        <f t="shared" si="12"/>
        <v>100</v>
      </c>
      <c r="T31" s="705" t="s">
        <v>14</v>
      </c>
      <c r="U31" s="706">
        <f t="shared" si="13"/>
        <v>100</v>
      </c>
      <c r="V31" s="705" t="s">
        <v>14</v>
      </c>
      <c r="W31" s="706">
        <f t="shared" si="14"/>
        <v>100</v>
      </c>
      <c r="X31" s="1351"/>
      <c r="Y31" s="3720"/>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721" t="s">
        <v>1694</v>
      </c>
      <c r="Q32" s="1348" t="str">
        <f t="shared" si="11"/>
        <v>商业类型</v>
      </c>
      <c r="R32" s="705" t="s">
        <v>14</v>
      </c>
      <c r="S32" s="706">
        <f t="shared" si="12"/>
        <v>100</v>
      </c>
      <c r="T32" s="705" t="s">
        <v>14</v>
      </c>
      <c r="U32" s="706">
        <f t="shared" si="13"/>
        <v>100</v>
      </c>
      <c r="V32" s="705" t="s">
        <v>14</v>
      </c>
      <c r="W32" s="706">
        <f t="shared" si="14"/>
        <v>100</v>
      </c>
      <c r="X32" s="1351"/>
      <c r="Y32" s="3724"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49" t="e">
        <f t="shared" si="3"/>
        <v>#N/A</v>
      </c>
      <c r="AB33" s="1349" t="e">
        <f t="shared" si="4"/>
        <v>#N/A</v>
      </c>
      <c r="AC33" s="1349"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722"/>
      <c r="Q34" s="1348" t="str">
        <f t="shared" si="11"/>
        <v>建筑结构</v>
      </c>
      <c r="R34" s="705" t="s">
        <v>14</v>
      </c>
      <c r="S34" s="706">
        <f t="shared" si="12"/>
        <v>100</v>
      </c>
      <c r="T34" s="705" t="s">
        <v>14</v>
      </c>
      <c r="U34" s="706">
        <f t="shared" si="13"/>
        <v>100</v>
      </c>
      <c r="V34" s="705" t="s">
        <v>14</v>
      </c>
      <c r="W34" s="706">
        <f t="shared" si="14"/>
        <v>100</v>
      </c>
      <c r="X34" s="1351"/>
      <c r="Y34" s="3724"/>
      <c r="Z34" s="1352" t="str">
        <f t="shared" si="15"/>
        <v>建筑结构</v>
      </c>
      <c r="AA34" s="1349">
        <f t="shared" si="3"/>
        <v>1</v>
      </c>
      <c r="AB34" s="1349">
        <f t="shared" si="4"/>
        <v>1</v>
      </c>
      <c r="AC34" s="1349">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722"/>
      <c r="Q35" s="1348" t="str">
        <f t="shared" si="11"/>
        <v>公共部分装修</v>
      </c>
      <c r="R35" s="705" t="s">
        <v>14</v>
      </c>
      <c r="S35" s="706">
        <f t="shared" si="12"/>
        <v>100</v>
      </c>
      <c r="T35" s="705" t="s">
        <v>14</v>
      </c>
      <c r="U35" s="706">
        <f t="shared" si="13"/>
        <v>100</v>
      </c>
      <c r="V35" s="705" t="s">
        <v>14</v>
      </c>
      <c r="W35" s="706">
        <f t="shared" si="14"/>
        <v>100</v>
      </c>
      <c r="X35" s="1351"/>
      <c r="Y35" s="3724"/>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22"/>
      <c r="Q36" s="1348" t="str">
        <f t="shared" si="11"/>
        <v>成新度</v>
      </c>
      <c r="R36" s="705" t="s">
        <v>14</v>
      </c>
      <c r="S36" s="706" t="e">
        <f t="shared" si="12"/>
        <v>#N/A</v>
      </c>
      <c r="T36" s="705" t="s">
        <v>14</v>
      </c>
      <c r="U36" s="706" t="e">
        <f t="shared" si="13"/>
        <v>#N/A</v>
      </c>
      <c r="V36" s="705" t="s">
        <v>14</v>
      </c>
      <c r="W36" s="706" t="e">
        <f t="shared" si="14"/>
        <v>#N/A</v>
      </c>
      <c r="X36" s="1351"/>
      <c r="Y36" s="3724"/>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722"/>
      <c r="Q37" s="1339"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722" t="s">
        <v>1694</v>
      </c>
      <c r="Q38" s="1348" t="str">
        <f t="shared" si="11"/>
        <v>业态</v>
      </c>
      <c r="R38" s="705" t="s">
        <v>14</v>
      </c>
      <c r="S38" s="706">
        <f t="shared" si="12"/>
        <v>100</v>
      </c>
      <c r="T38" s="705" t="s">
        <v>14</v>
      </c>
      <c r="U38" s="706">
        <f t="shared" si="13"/>
        <v>100</v>
      </c>
      <c r="V38" s="705" t="s">
        <v>14</v>
      </c>
      <c r="W38" s="706">
        <f t="shared" si="14"/>
        <v>100</v>
      </c>
      <c r="X38" s="1351"/>
      <c r="Y38" s="3724"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722"/>
      <c r="Q39" s="1348" t="str">
        <f t="shared" si="11"/>
        <v>层高</v>
      </c>
      <c r="R39" s="705" t="s">
        <v>14</v>
      </c>
      <c r="S39" s="706">
        <f t="shared" si="12"/>
        <v>100</v>
      </c>
      <c r="T39" s="705" t="s">
        <v>14</v>
      </c>
      <c r="U39" s="706">
        <f t="shared" si="13"/>
        <v>100</v>
      </c>
      <c r="V39" s="705" t="s">
        <v>14</v>
      </c>
      <c r="W39" s="706">
        <f t="shared" si="14"/>
        <v>100</v>
      </c>
      <c r="X39" s="1351"/>
      <c r="Y39" s="3724"/>
      <c r="Z39" s="1352" t="str">
        <f t="shared" si="15"/>
        <v>层高</v>
      </c>
      <c r="AA39" s="1349">
        <f t="shared" si="3"/>
        <v>1</v>
      </c>
      <c r="AB39" s="1349">
        <f t="shared" si="4"/>
        <v>1</v>
      </c>
      <c r="AC39" s="1349">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22"/>
      <c r="Q40" s="1348" t="str">
        <f t="shared" si="11"/>
        <v>单套建筑面积</v>
      </c>
      <c r="R40" s="705" t="s">
        <v>14</v>
      </c>
      <c r="S40" s="706">
        <f t="shared" si="12"/>
        <v>100</v>
      </c>
      <c r="T40" s="705" t="s">
        <v>14</v>
      </c>
      <c r="U40" s="706">
        <f t="shared" si="13"/>
        <v>100</v>
      </c>
      <c r="V40" s="705" t="s">
        <v>14</v>
      </c>
      <c r="W40" s="706">
        <f t="shared" si="14"/>
        <v>100</v>
      </c>
      <c r="X40" s="1351"/>
      <c r="Y40" s="3724"/>
      <c r="Z40" s="1352" t="str">
        <f t="shared" si="15"/>
        <v>单套建筑面积</v>
      </c>
      <c r="AA40" s="1349">
        <f t="shared" si="3"/>
        <v>1</v>
      </c>
      <c r="AB40" s="1349">
        <f t="shared" si="4"/>
        <v>1</v>
      </c>
      <c r="AC40" s="1349">
        <f t="shared" si="5"/>
        <v>1</v>
      </c>
    </row>
    <row r="41" spans="1:29" s="422" customFormat="1" ht="15">
      <c r="A41" s="419"/>
      <c r="B41" s="1350"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722"/>
      <c r="Q42" s="1348" t="str">
        <f t="shared" si="11"/>
        <v>内部装修</v>
      </c>
      <c r="R42" s="705" t="s">
        <v>14</v>
      </c>
      <c r="S42" s="706">
        <f t="shared" si="12"/>
        <v>100</v>
      </c>
      <c r="T42" s="705" t="s">
        <v>14</v>
      </c>
      <c r="U42" s="706">
        <f t="shared" si="13"/>
        <v>100</v>
      </c>
      <c r="V42" s="705" t="s">
        <v>14</v>
      </c>
      <c r="W42" s="706">
        <f t="shared" si="14"/>
        <v>100</v>
      </c>
      <c r="X42" s="1351"/>
      <c r="Y42" s="3724"/>
      <c r="Z42" s="1352" t="str">
        <f t="shared" si="15"/>
        <v>内部装修</v>
      </c>
      <c r="AA42" s="1349">
        <f t="shared" si="3"/>
        <v>1</v>
      </c>
      <c r="AB42" s="1349">
        <f t="shared" si="4"/>
        <v>1</v>
      </c>
      <c r="AC42" s="1349">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722"/>
      <c r="Q43" s="1348" t="str">
        <f t="shared" si="11"/>
        <v>内部装修维护情况</v>
      </c>
      <c r="R43" s="705" t="s">
        <v>14</v>
      </c>
      <c r="S43" s="706">
        <f t="shared" si="12"/>
        <v>100</v>
      </c>
      <c r="T43" s="705" t="s">
        <v>14</v>
      </c>
      <c r="U43" s="706">
        <f t="shared" si="13"/>
        <v>100</v>
      </c>
      <c r="V43" s="705" t="s">
        <v>14</v>
      </c>
      <c r="W43" s="706">
        <f t="shared" si="14"/>
        <v>100</v>
      </c>
      <c r="X43" s="1351"/>
      <c r="Y43" s="3724"/>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22"/>
      <c r="Q44" s="1339">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22"/>
      <c r="Q45" s="1348">
        <f t="shared" si="11"/>
        <v>111</v>
      </c>
      <c r="R45" s="705" t="s">
        <v>14</v>
      </c>
      <c r="S45" s="706">
        <f t="shared" si="12"/>
        <v>100</v>
      </c>
      <c r="T45" s="705" t="s">
        <v>14</v>
      </c>
      <c r="U45" s="706">
        <f t="shared" si="13"/>
        <v>100</v>
      </c>
      <c r="V45" s="705" t="s">
        <v>14</v>
      </c>
      <c r="W45" s="706">
        <f t="shared" si="14"/>
        <v>100</v>
      </c>
      <c r="X45" s="1351"/>
      <c r="Y45" s="3724"/>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23"/>
      <c r="Q46" s="1348">
        <f t="shared" si="11"/>
        <v>111</v>
      </c>
      <c r="R46" s="705" t="s">
        <v>14</v>
      </c>
      <c r="S46" s="706">
        <f t="shared" si="12"/>
        <v>100</v>
      </c>
      <c r="T46" s="705" t="s">
        <v>14</v>
      </c>
      <c r="U46" s="706">
        <f t="shared" si="13"/>
        <v>100</v>
      </c>
      <c r="V46" s="705" t="s">
        <v>14</v>
      </c>
      <c r="W46" s="706">
        <f t="shared" si="14"/>
        <v>100</v>
      </c>
      <c r="X46" s="1351"/>
      <c r="Y46" s="3725"/>
      <c r="Z46" s="1352">
        <f t="shared" si="15"/>
        <v>111</v>
      </c>
      <c r="AA46" s="1349">
        <f t="shared" si="3"/>
        <v>1</v>
      </c>
      <c r="AB46" s="1349">
        <f t="shared" si="4"/>
        <v>1</v>
      </c>
      <c r="AC46" s="1349">
        <f t="shared" si="5"/>
        <v>1</v>
      </c>
    </row>
    <row r="47" spans="1:29" ht="15">
      <c r="A47" s="430" t="s">
        <v>1706</v>
      </c>
      <c r="B47" s="431"/>
      <c r="C47" s="1150" t="s">
        <v>0</v>
      </c>
      <c r="D47" s="1151"/>
      <c r="E47" s="1152"/>
      <c r="F47" s="1153"/>
      <c r="G47" s="1154"/>
      <c r="H47" s="1155"/>
      <c r="I47" s="1152"/>
      <c r="J47" s="1155"/>
      <c r="K47" s="714"/>
      <c r="L47" s="2717"/>
      <c r="M47" s="2718"/>
      <c r="N47" s="2709"/>
      <c r="O47" s="2718"/>
      <c r="P47" s="3726" t="str">
        <f>A47</f>
        <v>成交单价（元/平方米）</v>
      </c>
      <c r="Q47" s="3726"/>
      <c r="R47" s="3714">
        <f>E47</f>
        <v>0</v>
      </c>
      <c r="S47" s="3714"/>
      <c r="T47" s="3714">
        <f>G47</f>
        <v>0</v>
      </c>
      <c r="U47" s="3714"/>
      <c r="V47" s="3714">
        <f>I47</f>
        <v>0</v>
      </c>
      <c r="W47" s="3714"/>
      <c r="X47" s="690"/>
      <c r="Y47" s="712"/>
      <c r="Z47" s="690"/>
      <c r="AA47" s="690"/>
      <c r="AB47" s="690"/>
      <c r="AC47" s="690"/>
    </row>
    <row r="48" spans="1:29" ht="15.75" thickBot="1">
      <c r="A48" s="437" t="s">
        <v>1791</v>
      </c>
      <c r="B48" s="438"/>
      <c r="C48" s="1156" t="e">
        <f>R49</f>
        <v>#DIV/0!</v>
      </c>
      <c r="D48" s="2313" t="s">
        <v>2136</v>
      </c>
      <c r="E48" s="1157" t="e">
        <f>R48</f>
        <v>#DIV/0!</v>
      </c>
      <c r="F48" s="2314"/>
      <c r="G48" s="1156" t="e">
        <f>T48</f>
        <v>#DIV/0!</v>
      </c>
      <c r="H48" s="2314"/>
      <c r="I48" s="1157" t="e">
        <f>V48</f>
        <v>#DIV/0!</v>
      </c>
      <c r="J48" s="2314"/>
      <c r="K48" s="2316">
        <f>F48+H48+J48</f>
        <v>0</v>
      </c>
      <c r="L48" s="2717"/>
      <c r="M48" s="2718"/>
      <c r="N48" s="2709"/>
      <c r="O48" s="2718"/>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1792</v>
      </c>
      <c r="B49" s="442"/>
      <c r="C49" s="1159" t="e">
        <f>R49</f>
        <v>#DIV/0!</v>
      </c>
      <c r="D49" s="1159"/>
      <c r="E49" s="1159"/>
      <c r="F49" s="1159"/>
      <c r="G49" s="1159"/>
      <c r="H49" s="1159"/>
      <c r="I49" s="1159"/>
      <c r="J49" s="1159"/>
      <c r="K49" s="715"/>
      <c r="L49" s="2717"/>
      <c r="M49" s="2718"/>
      <c r="N49" s="2709"/>
      <c r="O49" s="2718"/>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38"/>
      <c r="M57" s="936"/>
      <c r="N57" s="936"/>
      <c r="O57" s="936"/>
      <c r="P57" s="2731"/>
      <c r="Q57" s="2732"/>
      <c r="R57" s="2718"/>
      <c r="S57" s="2718"/>
      <c r="T57" s="2718"/>
      <c r="U57" s="2718"/>
      <c r="V57" s="2718"/>
      <c r="W57" s="2718"/>
      <c r="X57" s="2718"/>
      <c r="Y57" s="2718"/>
      <c r="Z57" s="2718"/>
      <c r="AA57" s="2718"/>
      <c r="AB57" s="2718"/>
      <c r="AC57" s="2718"/>
    </row>
    <row r="58" spans="1:29" s="457" customFormat="1" ht="15">
      <c r="A58" s="454" t="s">
        <v>1677</v>
      </c>
      <c r="B58" s="455"/>
      <c r="C58" s="1180" t="str">
        <f>YEAR(C7)&amp;"-"&amp;MONTH(C7)</f>
        <v>2024-7</v>
      </c>
      <c r="D58" s="1181">
        <f>EDATE(C58,-1)</f>
        <v>45444</v>
      </c>
      <c r="E58" s="1181">
        <f t="shared" ref="E58:N58" si="16">EDATE(D58,-1)</f>
        <v>45413</v>
      </c>
      <c r="F58" s="1181">
        <f t="shared" si="16"/>
        <v>45383</v>
      </c>
      <c r="G58" s="1181">
        <f t="shared" si="16"/>
        <v>45352</v>
      </c>
      <c r="H58" s="1181">
        <f t="shared" si="16"/>
        <v>45323</v>
      </c>
      <c r="I58" s="1181">
        <f t="shared" si="16"/>
        <v>45292</v>
      </c>
      <c r="J58" s="1181">
        <f t="shared" si="16"/>
        <v>45261</v>
      </c>
      <c r="K58" s="1181">
        <f t="shared" si="16"/>
        <v>45231</v>
      </c>
      <c r="L58" s="1181">
        <f t="shared" si="16"/>
        <v>45200</v>
      </c>
      <c r="M58" s="1181">
        <f t="shared" si="16"/>
        <v>45170</v>
      </c>
      <c r="N58" s="1181">
        <f t="shared" si="16"/>
        <v>45139</v>
      </c>
      <c r="O58" s="1181">
        <f>EDATE(N58,-1)</f>
        <v>45108</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58" priority="21" stopIfTrue="1" operator="containsText" text="超过">
      <formula>NOT(ISERROR(SEARCH("超过",F52)))</formula>
    </cfRule>
  </conditionalFormatting>
  <conditionalFormatting sqref="H54">
    <cfRule type="containsText" dxfId="257" priority="19" stopIfTrue="1" operator="containsText" text="超过">
      <formula>NOT(ISERROR(SEARCH("超过",H54)))</formula>
    </cfRule>
  </conditionalFormatting>
  <conditionalFormatting sqref="F54">
    <cfRule type="containsText" dxfId="256" priority="18" stopIfTrue="1" operator="containsText" text="超过">
      <formula>NOT(ISERROR(SEARCH("超过",F54)))</formula>
    </cfRule>
  </conditionalFormatting>
  <conditionalFormatting sqref="F53 H53">
    <cfRule type="containsText" dxfId="255" priority="17" stopIfTrue="1" operator="containsText" text="超过">
      <formula>NOT(ISERROR(SEARCH("超过",F53)))</formula>
    </cfRule>
  </conditionalFormatting>
  <conditionalFormatting sqref="E52">
    <cfRule type="expression" dxfId="254" priority="16" stopIfTrue="1">
      <formula>$F$52="超过30%"</formula>
    </cfRule>
  </conditionalFormatting>
  <conditionalFormatting sqref="E53">
    <cfRule type="expression" dxfId="253" priority="15" stopIfTrue="1">
      <formula>$F$53="超过20%"</formula>
    </cfRule>
  </conditionalFormatting>
  <conditionalFormatting sqref="E54">
    <cfRule type="expression" dxfId="252" priority="14" stopIfTrue="1">
      <formula>$F$54="超过30%"</formula>
    </cfRule>
  </conditionalFormatting>
  <conditionalFormatting sqref="G54">
    <cfRule type="expression" dxfId="251" priority="13" stopIfTrue="1">
      <formula>$H$54="超过30%"</formula>
    </cfRule>
  </conditionalFormatting>
  <conditionalFormatting sqref="G52">
    <cfRule type="expression" dxfId="250" priority="12" stopIfTrue="1">
      <formula>$H$52="超过30%"</formula>
    </cfRule>
  </conditionalFormatting>
  <conditionalFormatting sqref="G53">
    <cfRule type="expression" dxfId="249" priority="11" stopIfTrue="1">
      <formula>$H$53="超过20%"</formula>
    </cfRule>
  </conditionalFormatting>
  <conditionalFormatting sqref="J52">
    <cfRule type="containsText" dxfId="248" priority="10" stopIfTrue="1" operator="containsText" text="超过">
      <formula>NOT(ISERROR(SEARCH("超过",J52)))</formula>
    </cfRule>
  </conditionalFormatting>
  <conditionalFormatting sqref="J54">
    <cfRule type="containsText" dxfId="247" priority="9" stopIfTrue="1" operator="containsText" text="超过">
      <formula>NOT(ISERROR(SEARCH("超过",J54)))</formula>
    </cfRule>
  </conditionalFormatting>
  <conditionalFormatting sqref="J53">
    <cfRule type="containsText" dxfId="246" priority="8" stopIfTrue="1" operator="containsText" text="超过">
      <formula>NOT(ISERROR(SEARCH("超过",J53)))</formula>
    </cfRule>
  </conditionalFormatting>
  <conditionalFormatting sqref="I52">
    <cfRule type="expression" dxfId="245" priority="7" stopIfTrue="1">
      <formula>$J$52="超过30%"</formula>
    </cfRule>
  </conditionalFormatting>
  <conditionalFormatting sqref="I53">
    <cfRule type="expression" dxfId="244" priority="6" stopIfTrue="1">
      <formula>$J$53="超过20%"</formula>
    </cfRule>
  </conditionalFormatting>
  <conditionalFormatting sqref="I54">
    <cfRule type="expression" dxfId="243" priority="5" stopIfTrue="1">
      <formula>$J$54="超过30%"</formula>
    </cfRule>
  </conditionalFormatting>
  <conditionalFormatting sqref="F48">
    <cfRule type="expression" dxfId="242" priority="4">
      <formula>$D$48="简单平均"</formula>
    </cfRule>
  </conditionalFormatting>
  <conditionalFormatting sqref="H48">
    <cfRule type="expression" dxfId="241" priority="3">
      <formula>$D$48="简单平均"</formula>
    </cfRule>
  </conditionalFormatting>
  <conditionalFormatting sqref="J48">
    <cfRule type="expression" dxfId="240" priority="2">
      <formula>$D$48="简单平均"</formula>
    </cfRule>
  </conditionalFormatting>
  <conditionalFormatting sqref="F7:F46 H7:H46 J7:J46">
    <cfRule type="cellIs" dxfId="2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1824</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971.86</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909"/>
      <c r="M4" s="910"/>
      <c r="N4" s="910"/>
      <c r="O4" s="910"/>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909"/>
      <c r="M5" s="910"/>
      <c r="N5" s="910"/>
      <c r="O5" s="910"/>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909"/>
      <c r="M6" s="910"/>
      <c r="N6" s="910"/>
      <c r="O6" s="910"/>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1"/>
      <c r="M7" s="912"/>
      <c r="N7" s="912"/>
      <c r="O7" s="912"/>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83" t="s">
        <v>1681</v>
      </c>
      <c r="Q8" s="3684"/>
      <c r="R8" s="701" t="s">
        <v>14</v>
      </c>
      <c r="S8" s="702">
        <f t="shared" si="0"/>
        <v>100</v>
      </c>
      <c r="T8" s="701" t="s">
        <v>14</v>
      </c>
      <c r="U8" s="702">
        <f t="shared" si="1"/>
        <v>100</v>
      </c>
      <c r="V8" s="701" t="s">
        <v>14</v>
      </c>
      <c r="W8" s="702">
        <f t="shared" si="2"/>
        <v>100</v>
      </c>
      <c r="X8" s="703"/>
      <c r="Y8" s="3683" t="s">
        <v>1681</v>
      </c>
      <c r="Z8" s="3684"/>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4"/>
      <c r="M10" s="915"/>
      <c r="N10" s="915"/>
      <c r="O10" s="916"/>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26"/>
      <c r="Q11" s="1339"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1688</v>
      </c>
      <c r="B15" s="61" t="s">
        <v>1825</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19" t="s">
        <v>1689</v>
      </c>
      <c r="Q15" s="1348" t="str">
        <f t="shared" si="6"/>
        <v>产业集聚程度</v>
      </c>
      <c r="R15" s="705" t="s">
        <v>14</v>
      </c>
      <c r="S15" s="706">
        <f t="shared" si="0"/>
        <v>100</v>
      </c>
      <c r="T15" s="705" t="s">
        <v>14</v>
      </c>
      <c r="U15" s="706">
        <f t="shared" si="1"/>
        <v>100</v>
      </c>
      <c r="V15" s="705" t="s">
        <v>14</v>
      </c>
      <c r="W15" s="706">
        <f t="shared" si="2"/>
        <v>100</v>
      </c>
      <c r="X15" s="1351"/>
      <c r="Y15" s="3719" t="s">
        <v>1689</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20"/>
      <c r="Q16" s="1348"/>
      <c r="R16" s="705"/>
      <c r="S16" s="706"/>
      <c r="T16" s="705"/>
      <c r="U16" s="706"/>
      <c r="V16" s="705"/>
      <c r="W16" s="706"/>
      <c r="X16" s="1351"/>
      <c r="Y16" s="3720"/>
      <c r="Z16" s="1352"/>
      <c r="AA16" s="1349">
        <v>1</v>
      </c>
      <c r="AB16" s="1349">
        <v>1</v>
      </c>
      <c r="AC16" s="1349">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20"/>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20"/>
      <c r="Q18" s="1348"/>
      <c r="R18" s="705"/>
      <c r="S18" s="706"/>
      <c r="T18" s="705"/>
      <c r="U18" s="706"/>
      <c r="V18" s="705"/>
      <c r="W18" s="706"/>
      <c r="X18" s="1351"/>
      <c r="Y18" s="3720"/>
      <c r="Z18" s="1352"/>
      <c r="AA18" s="1349">
        <v>1</v>
      </c>
      <c r="AB18" s="1349">
        <v>1</v>
      </c>
      <c r="AC18" s="1349">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20"/>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20"/>
      <c r="Q20" s="1348"/>
      <c r="R20" s="705"/>
      <c r="S20" s="706"/>
      <c r="T20" s="705"/>
      <c r="U20" s="706"/>
      <c r="V20" s="705"/>
      <c r="W20" s="706"/>
      <c r="X20" s="1351"/>
      <c r="Y20" s="3720"/>
      <c r="Z20" s="1352"/>
      <c r="AA20" s="1349">
        <v>1</v>
      </c>
      <c r="AB20" s="1349">
        <v>1</v>
      </c>
      <c r="AC20" s="1349">
        <v>1</v>
      </c>
    </row>
    <row r="21" spans="1:29" ht="28.5">
      <c r="A21" s="379"/>
      <c r="B21" s="1127"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20"/>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20"/>
      <c r="Q22" s="1348"/>
      <c r="R22" s="705"/>
      <c r="S22" s="706"/>
      <c r="T22" s="705"/>
      <c r="U22" s="706"/>
      <c r="V22" s="705"/>
      <c r="W22" s="706"/>
      <c r="X22" s="1351"/>
      <c r="Y22" s="3720"/>
      <c r="Z22" s="1352"/>
      <c r="AA22" s="1349">
        <v>1</v>
      </c>
      <c r="AB22" s="1349">
        <v>1</v>
      </c>
      <c r="AC22" s="1349">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20"/>
      <c r="Q23" s="1348" t="str">
        <f>B23</f>
        <v>环境质量</v>
      </c>
      <c r="R23" s="705" t="s">
        <v>14</v>
      </c>
      <c r="S23" s="706">
        <f>F23</f>
        <v>100</v>
      </c>
      <c r="T23" s="705" t="s">
        <v>14</v>
      </c>
      <c r="U23" s="706">
        <f>H23</f>
        <v>100</v>
      </c>
      <c r="V23" s="705" t="s">
        <v>14</v>
      </c>
      <c r="W23" s="706">
        <f>J23</f>
        <v>100</v>
      </c>
      <c r="X23" s="1351"/>
      <c r="Y23" s="3720"/>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20"/>
      <c r="Q24" s="1348"/>
      <c r="R24" s="705"/>
      <c r="S24" s="706"/>
      <c r="T24" s="705"/>
      <c r="U24" s="706"/>
      <c r="V24" s="705"/>
      <c r="W24" s="706"/>
      <c r="X24" s="1351"/>
      <c r="Y24" s="3720"/>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20"/>
      <c r="Q25" s="1348">
        <f>B25</f>
        <v>111</v>
      </c>
      <c r="R25" s="705" t="s">
        <v>14</v>
      </c>
      <c r="S25" s="706">
        <f>F25</f>
        <v>100</v>
      </c>
      <c r="T25" s="705" t="s">
        <v>14</v>
      </c>
      <c r="U25" s="706">
        <f>H25</f>
        <v>100</v>
      </c>
      <c r="V25" s="705" t="s">
        <v>14</v>
      </c>
      <c r="W25" s="706">
        <f>J25</f>
        <v>100</v>
      </c>
      <c r="X25" s="1351"/>
      <c r="Y25" s="3720"/>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20"/>
      <c r="Q26" s="1348">
        <f t="shared" ref="Q26:Q40" si="11">B26</f>
        <v>111</v>
      </c>
      <c r="R26" s="705" t="s">
        <v>14</v>
      </c>
      <c r="S26" s="706">
        <f>F26</f>
        <v>100</v>
      </c>
      <c r="T26" s="705" t="s">
        <v>14</v>
      </c>
      <c r="U26" s="706">
        <f>H26</f>
        <v>100</v>
      </c>
      <c r="V26" s="705" t="s">
        <v>14</v>
      </c>
      <c r="W26" s="706">
        <f>J26</f>
        <v>100</v>
      </c>
      <c r="X26" s="1351"/>
      <c r="Y26" s="3720"/>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20"/>
      <c r="Q27" s="1339">
        <f t="shared" si="11"/>
        <v>111</v>
      </c>
      <c r="R27" s="701" t="s">
        <v>14</v>
      </c>
      <c r="S27" s="702">
        <f>F27</f>
        <v>100</v>
      </c>
      <c r="T27" s="701" t="s">
        <v>14</v>
      </c>
      <c r="U27" s="702">
        <f>H27</f>
        <v>100</v>
      </c>
      <c r="V27" s="701" t="s">
        <v>14</v>
      </c>
      <c r="W27" s="702">
        <f>J27</f>
        <v>100</v>
      </c>
      <c r="X27" s="703"/>
      <c r="Y27" s="3720"/>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20"/>
      <c r="Q28" s="1348">
        <f t="shared" si="11"/>
        <v>111</v>
      </c>
      <c r="R28" s="705" t="s">
        <v>14</v>
      </c>
      <c r="S28" s="706">
        <f t="shared" ref="S28:S40" si="12">F28</f>
        <v>100</v>
      </c>
      <c r="T28" s="705" t="s">
        <v>14</v>
      </c>
      <c r="U28" s="706">
        <f t="shared" ref="U28:U40" si="13">H28</f>
        <v>100</v>
      </c>
      <c r="V28" s="705" t="s">
        <v>14</v>
      </c>
      <c r="W28" s="706">
        <f t="shared" ref="W28:W40" si="14">J28</f>
        <v>100</v>
      </c>
      <c r="X28" s="1351"/>
      <c r="Y28" s="3720"/>
      <c r="Z28" s="1352">
        <f t="shared" ref="Z28:Z40" si="15">Q28</f>
        <v>111</v>
      </c>
      <c r="AA28" s="1349">
        <f t="shared" si="3"/>
        <v>1</v>
      </c>
      <c r="AB28" s="1349">
        <f t="shared" si="4"/>
        <v>1</v>
      </c>
      <c r="AC28" s="1349">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62" t="s">
        <v>1694</v>
      </c>
      <c r="Q29" s="1348" t="str">
        <f t="shared" si="11"/>
        <v>建筑类型</v>
      </c>
      <c r="R29" s="705" t="s">
        <v>14</v>
      </c>
      <c r="S29" s="706">
        <f t="shared" si="12"/>
        <v>100</v>
      </c>
      <c r="T29" s="705" t="s">
        <v>14</v>
      </c>
      <c r="U29" s="706">
        <f t="shared" si="13"/>
        <v>100</v>
      </c>
      <c r="V29" s="705" t="s">
        <v>14</v>
      </c>
      <c r="W29" s="706">
        <f t="shared" si="14"/>
        <v>100</v>
      </c>
      <c r="X29" s="1351"/>
      <c r="Y29" s="3724"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49" t="e">
        <f t="shared" si="3"/>
        <v>#N/A</v>
      </c>
      <c r="AB30" s="1349" t="e">
        <f t="shared" si="4"/>
        <v>#N/A</v>
      </c>
      <c r="AC30" s="1349"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24"/>
      <c r="Q31" s="1348" t="str">
        <f t="shared" si="11"/>
        <v>建筑结构</v>
      </c>
      <c r="R31" s="705" t="s">
        <v>14</v>
      </c>
      <c r="S31" s="706">
        <f t="shared" si="12"/>
        <v>100</v>
      </c>
      <c r="T31" s="705" t="s">
        <v>14</v>
      </c>
      <c r="U31" s="706">
        <f t="shared" si="13"/>
        <v>100</v>
      </c>
      <c r="V31" s="705" t="s">
        <v>14</v>
      </c>
      <c r="W31" s="706">
        <f t="shared" si="14"/>
        <v>100</v>
      </c>
      <c r="X31" s="1351"/>
      <c r="Y31" s="3724"/>
      <c r="Z31" s="1352" t="str">
        <f t="shared" si="15"/>
        <v>建筑结构</v>
      </c>
      <c r="AA31" s="1349">
        <f t="shared" si="3"/>
        <v>1</v>
      </c>
      <c r="AB31" s="1349">
        <f t="shared" si="4"/>
        <v>1</v>
      </c>
      <c r="AC31" s="1349">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24"/>
      <c r="Q32" s="1348" t="str">
        <f t="shared" si="11"/>
        <v>公共部分装修</v>
      </c>
      <c r="R32" s="705" t="s">
        <v>14</v>
      </c>
      <c r="S32" s="706">
        <f t="shared" si="12"/>
        <v>100</v>
      </c>
      <c r="T32" s="705" t="s">
        <v>14</v>
      </c>
      <c r="U32" s="706">
        <f t="shared" si="13"/>
        <v>100</v>
      </c>
      <c r="V32" s="705" t="s">
        <v>14</v>
      </c>
      <c r="W32" s="706">
        <f t="shared" si="14"/>
        <v>100</v>
      </c>
      <c r="X32" s="1351"/>
      <c r="Y32" s="3724"/>
      <c r="Z32" s="1352" t="str">
        <f t="shared" si="15"/>
        <v>公共部分装修</v>
      </c>
      <c r="AA32" s="1349">
        <f t="shared" si="3"/>
        <v>1</v>
      </c>
      <c r="AB32" s="1349">
        <f t="shared" si="4"/>
        <v>1</v>
      </c>
      <c r="AC32" s="1349">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24"/>
      <c r="Q33" s="1348" t="str">
        <f t="shared" si="11"/>
        <v>成新度</v>
      </c>
      <c r="R33" s="705" t="s">
        <v>14</v>
      </c>
      <c r="S33" s="706" t="e">
        <f t="shared" si="12"/>
        <v>#N/A</v>
      </c>
      <c r="T33" s="705" t="s">
        <v>14</v>
      </c>
      <c r="U33" s="706" t="e">
        <f t="shared" si="13"/>
        <v>#N/A</v>
      </c>
      <c r="V33" s="705" t="s">
        <v>14</v>
      </c>
      <c r="W33" s="706" t="e">
        <f t="shared" si="14"/>
        <v>#N/A</v>
      </c>
      <c r="X33" s="1351"/>
      <c r="Y33" s="3724"/>
      <c r="Z33" s="1352" t="str">
        <f t="shared" si="15"/>
        <v>成新度</v>
      </c>
      <c r="AA33" s="1349" t="e">
        <f t="shared" si="3"/>
        <v>#N/A</v>
      </c>
      <c r="AB33" s="1349" t="e">
        <f t="shared" si="4"/>
        <v>#N/A</v>
      </c>
      <c r="AC33" s="1349"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24"/>
      <c r="Q34" s="1339"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24" t="s">
        <v>1694</v>
      </c>
      <c r="Q35" s="1348" t="str">
        <f t="shared" si="11"/>
        <v>市政基础设施</v>
      </c>
      <c r="R35" s="705" t="s">
        <v>14</v>
      </c>
      <c r="S35" s="706">
        <f t="shared" si="12"/>
        <v>100</v>
      </c>
      <c r="T35" s="705" t="s">
        <v>14</v>
      </c>
      <c r="U35" s="706">
        <f t="shared" si="13"/>
        <v>100</v>
      </c>
      <c r="V35" s="705" t="s">
        <v>14</v>
      </c>
      <c r="W35" s="706">
        <f t="shared" si="14"/>
        <v>100</v>
      </c>
      <c r="X35" s="1351"/>
      <c r="Y35" s="3724"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24"/>
      <c r="Q36" s="1348" t="str">
        <f t="shared" si="11"/>
        <v>内部装修</v>
      </c>
      <c r="R36" s="705" t="s">
        <v>14</v>
      </c>
      <c r="S36" s="706">
        <f t="shared" si="12"/>
        <v>100</v>
      </c>
      <c r="T36" s="705" t="s">
        <v>14</v>
      </c>
      <c r="U36" s="706">
        <f t="shared" si="13"/>
        <v>100</v>
      </c>
      <c r="V36" s="705" t="s">
        <v>14</v>
      </c>
      <c r="W36" s="706">
        <f t="shared" si="14"/>
        <v>100</v>
      </c>
      <c r="X36" s="1351"/>
      <c r="Y36" s="3724"/>
      <c r="Z36" s="1352" t="str">
        <f t="shared" si="15"/>
        <v>内部装修</v>
      </c>
      <c r="AA36" s="1349">
        <f t="shared" si="3"/>
        <v>1</v>
      </c>
      <c r="AB36" s="1349">
        <f t="shared" si="4"/>
        <v>1</v>
      </c>
      <c r="AC36" s="1349">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24"/>
      <c r="Q37" s="1348" t="str">
        <f t="shared" si="11"/>
        <v>内部装修状况</v>
      </c>
      <c r="R37" s="705" t="s">
        <v>14</v>
      </c>
      <c r="S37" s="706">
        <f t="shared" si="12"/>
        <v>100</v>
      </c>
      <c r="T37" s="705" t="s">
        <v>14</v>
      </c>
      <c r="U37" s="706">
        <f t="shared" si="13"/>
        <v>100</v>
      </c>
      <c r="V37" s="705" t="s">
        <v>14</v>
      </c>
      <c r="W37" s="706">
        <f t="shared" si="14"/>
        <v>100</v>
      </c>
      <c r="X37" s="1351"/>
      <c r="Y37" s="3724"/>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24"/>
      <c r="Q39" s="1348">
        <f t="shared" si="11"/>
        <v>111</v>
      </c>
      <c r="R39" s="705" t="s">
        <v>14</v>
      </c>
      <c r="S39" s="706">
        <f t="shared" si="12"/>
        <v>100</v>
      </c>
      <c r="T39" s="705" t="s">
        <v>14</v>
      </c>
      <c r="U39" s="706">
        <f t="shared" si="13"/>
        <v>100</v>
      </c>
      <c r="V39" s="705" t="s">
        <v>14</v>
      </c>
      <c r="W39" s="706">
        <f t="shared" si="14"/>
        <v>100</v>
      </c>
      <c r="X39" s="1351"/>
      <c r="Y39" s="3724"/>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25"/>
      <c r="Q40" s="1348">
        <f t="shared" si="11"/>
        <v>111</v>
      </c>
      <c r="R40" s="705" t="s">
        <v>14</v>
      </c>
      <c r="S40" s="706">
        <f t="shared" si="12"/>
        <v>100</v>
      </c>
      <c r="T40" s="705" t="s">
        <v>14</v>
      </c>
      <c r="U40" s="706">
        <f t="shared" si="13"/>
        <v>100</v>
      </c>
      <c r="V40" s="705" t="s">
        <v>14</v>
      </c>
      <c r="W40" s="706">
        <f t="shared" si="14"/>
        <v>100</v>
      </c>
      <c r="X40" s="1351"/>
      <c r="Y40" s="3725"/>
      <c r="Z40" s="1352">
        <f t="shared" si="15"/>
        <v>111</v>
      </c>
      <c r="AA40" s="1349">
        <f t="shared" si="3"/>
        <v>1</v>
      </c>
      <c r="AB40" s="1349">
        <f t="shared" si="4"/>
        <v>1</v>
      </c>
      <c r="AC40" s="1349">
        <f t="shared" si="5"/>
        <v>1</v>
      </c>
    </row>
    <row r="41" spans="1:29" ht="15">
      <c r="A41" s="430" t="s">
        <v>1706</v>
      </c>
      <c r="B41" s="431"/>
      <c r="C41" s="1150" t="s">
        <v>0</v>
      </c>
      <c r="D41" s="1151"/>
      <c r="E41" s="1152"/>
      <c r="F41" s="1153"/>
      <c r="G41" s="1154"/>
      <c r="H41" s="1155"/>
      <c r="I41" s="1152"/>
      <c r="J41" s="1155"/>
      <c r="K41" s="714"/>
      <c r="L41" s="922"/>
      <c r="M41" s="923"/>
      <c r="N41" s="910"/>
      <c r="O41" s="923"/>
      <c r="P41" s="3726" t="str">
        <f>A41</f>
        <v>成交单价（元/平方米）</v>
      </c>
      <c r="Q41" s="3726"/>
      <c r="R41" s="3727">
        <f>E41</f>
        <v>0</v>
      </c>
      <c r="S41" s="3727"/>
      <c r="T41" s="3727">
        <f>G41</f>
        <v>0</v>
      </c>
      <c r="U41" s="3727"/>
      <c r="V41" s="3727">
        <f>I41</f>
        <v>0</v>
      </c>
      <c r="W41" s="3727"/>
      <c r="X41" s="690"/>
      <c r="Y41" s="712"/>
      <c r="Z41" s="690"/>
      <c r="AA41" s="690"/>
      <c r="AB41" s="690"/>
      <c r="AC41" s="690"/>
    </row>
    <row r="42" spans="1:29" ht="15.75" thickBot="1">
      <c r="A42" s="437" t="s">
        <v>1791</v>
      </c>
      <c r="B42" s="438"/>
      <c r="C42" s="1156" t="e">
        <f>R43</f>
        <v>#DIV/0!</v>
      </c>
      <c r="D42" s="2313" t="s">
        <v>2136</v>
      </c>
      <c r="E42" s="1157" t="e">
        <f>R42</f>
        <v>#DIV/0!</v>
      </c>
      <c r="F42" s="2314"/>
      <c r="G42" s="1156" t="e">
        <f>T42</f>
        <v>#DIV/0!</v>
      </c>
      <c r="H42" s="2314"/>
      <c r="I42" s="1157" t="e">
        <f>V42</f>
        <v>#DIV/0!</v>
      </c>
      <c r="J42" s="2314"/>
      <c r="K42" s="2316">
        <f>F42+H42+J42</f>
        <v>0</v>
      </c>
      <c r="L42" s="922"/>
      <c r="M42" s="923"/>
      <c r="N42" s="910"/>
      <c r="O42" s="923"/>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90"/>
      <c r="Y42" s="690"/>
      <c r="Z42" s="690"/>
      <c r="AA42" s="690"/>
      <c r="AB42" s="690"/>
      <c r="AC42" s="690"/>
    </row>
    <row r="43" spans="1:29" ht="15.75" thickBot="1">
      <c r="A43" s="441" t="s">
        <v>1792</v>
      </c>
      <c r="B43" s="442"/>
      <c r="C43" s="1159" t="e">
        <f>R43</f>
        <v>#DIV/0!</v>
      </c>
      <c r="D43" s="1159"/>
      <c r="E43" s="1159"/>
      <c r="F43" s="1159"/>
      <c r="G43" s="1159"/>
      <c r="H43" s="1159"/>
      <c r="I43" s="1159"/>
      <c r="J43" s="1159"/>
      <c r="K43" s="715"/>
      <c r="L43" s="922"/>
      <c r="M43" s="923"/>
      <c r="N43" s="923"/>
      <c r="O43" s="923"/>
      <c r="P43" s="3759" t="str">
        <f>A43</f>
        <v>估价对象XX用房的比较价值（楼面单价，元/平方米）</v>
      </c>
      <c r="Q43" s="3760"/>
      <c r="R43" s="3761" t="e">
        <f>IF(F1="售价",ROUND(IF(D42="简单平均",AVERAGE(R42:V42),R42*F42+T42*H42+V42*J42),0),ROUND(IF(D42="简单平均",AVERAGE(R42:V42),R42*F42+T42*H42+V42*J42),1))</f>
        <v>#DIV/0!</v>
      </c>
      <c r="S43" s="3761"/>
      <c r="T43" s="3761"/>
      <c r="U43" s="3761"/>
      <c r="V43" s="3761"/>
      <c r="W43" s="3761"/>
      <c r="X43" s="690"/>
      <c r="Y43" s="690"/>
      <c r="Z43" s="690"/>
      <c r="AA43" s="690"/>
      <c r="AB43" s="690"/>
      <c r="AC43" s="690"/>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5"/>
      <c r="M46" s="923"/>
      <c r="N46" s="923"/>
      <c r="O46" s="923"/>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5"/>
      <c r="M47" s="923"/>
      <c r="N47" s="923"/>
      <c r="O47" s="923"/>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6"/>
      <c r="M48" s="924"/>
      <c r="N48" s="924"/>
      <c r="O48" s="924"/>
    </row>
    <row r="49" spans="1:17" s="451"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4" t="s">
        <v>1796</v>
      </c>
      <c r="B51" s="690"/>
      <c r="C51" s="695"/>
      <c r="D51" s="695"/>
      <c r="E51" s="695"/>
      <c r="F51" s="696"/>
      <c r="G51" s="696"/>
      <c r="H51" s="695"/>
      <c r="I51" s="695"/>
      <c r="J51" s="695"/>
      <c r="K51" s="937"/>
      <c r="L51" s="938"/>
      <c r="M51" s="936"/>
      <c r="N51" s="936"/>
      <c r="O51" s="936"/>
      <c r="P51" s="452"/>
      <c r="Q51" s="453"/>
    </row>
    <row r="52" spans="1:17" s="457" customFormat="1" ht="15">
      <c r="A52" s="454" t="s">
        <v>1677</v>
      </c>
      <c r="B52" s="455"/>
      <c r="C52" s="1180" t="str">
        <f>YEAR(C7)&amp;"-"&amp;MONTH(C7)</f>
        <v>2024-7</v>
      </c>
      <c r="D52" s="1181">
        <f>EDATE(C52,-1)</f>
        <v>45444</v>
      </c>
      <c r="E52" s="1181">
        <f t="shared" ref="E52:O52" si="16">EDATE(D52,-1)</f>
        <v>45413</v>
      </c>
      <c r="F52" s="1181">
        <f t="shared" si="16"/>
        <v>45383</v>
      </c>
      <c r="G52" s="1181">
        <f t="shared" si="16"/>
        <v>45352</v>
      </c>
      <c r="H52" s="1181">
        <f t="shared" si="16"/>
        <v>45323</v>
      </c>
      <c r="I52" s="1181">
        <f t="shared" si="16"/>
        <v>45292</v>
      </c>
      <c r="J52" s="1181">
        <f t="shared" si="16"/>
        <v>45261</v>
      </c>
      <c r="K52" s="1181">
        <f t="shared" si="16"/>
        <v>45231</v>
      </c>
      <c r="L52" s="1181">
        <f t="shared" si="16"/>
        <v>45200</v>
      </c>
      <c r="M52" s="1181">
        <f t="shared" si="16"/>
        <v>45170</v>
      </c>
      <c r="N52" s="1181">
        <f t="shared" si="16"/>
        <v>45139</v>
      </c>
      <c r="O52" s="1181">
        <f t="shared" si="16"/>
        <v>45108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1717</v>
      </c>
      <c r="B57" s="477" t="s">
        <v>1683</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1686</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1692</v>
      </c>
      <c r="B88" s="477" t="s">
        <v>1734</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1736</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1738</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1739</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1740</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1742</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238" priority="20" stopIfTrue="1" operator="containsText" text="超过">
      <formula>NOT(ISERROR(SEARCH("超过",F46)))</formula>
    </cfRule>
  </conditionalFormatting>
  <conditionalFormatting sqref="H48">
    <cfRule type="containsText" dxfId="237" priority="19" stopIfTrue="1" operator="containsText" text="超过">
      <formula>NOT(ISERROR(SEARCH("超过",H48)))</formula>
    </cfRule>
  </conditionalFormatting>
  <conditionalFormatting sqref="F48">
    <cfRule type="containsText" dxfId="236" priority="18" stopIfTrue="1" operator="containsText" text="超过">
      <formula>NOT(ISERROR(SEARCH("超过",F48)))</formula>
    </cfRule>
  </conditionalFormatting>
  <conditionalFormatting sqref="F47 H47">
    <cfRule type="containsText" dxfId="235" priority="17" stopIfTrue="1" operator="containsText" text="超过">
      <formula>NOT(ISERROR(SEARCH("超过",F47)))</formula>
    </cfRule>
  </conditionalFormatting>
  <conditionalFormatting sqref="E46">
    <cfRule type="expression" dxfId="234" priority="16" stopIfTrue="1">
      <formula>$F$46="超过30%"</formula>
    </cfRule>
  </conditionalFormatting>
  <conditionalFormatting sqref="E47">
    <cfRule type="expression" dxfId="233" priority="15" stopIfTrue="1">
      <formula>$F$47="超过20%"</formula>
    </cfRule>
  </conditionalFormatting>
  <conditionalFormatting sqref="E48">
    <cfRule type="expression" dxfId="232" priority="14" stopIfTrue="1">
      <formula>$F$48="超过30%"</formula>
    </cfRule>
  </conditionalFormatting>
  <conditionalFormatting sqref="G48">
    <cfRule type="expression" dxfId="231" priority="13" stopIfTrue="1">
      <formula>$H$48="超过30%"</formula>
    </cfRule>
  </conditionalFormatting>
  <conditionalFormatting sqref="G46">
    <cfRule type="expression" dxfId="230" priority="12" stopIfTrue="1">
      <formula>$H$46="超过30%"</formula>
    </cfRule>
  </conditionalFormatting>
  <conditionalFormatting sqref="G47">
    <cfRule type="expression" dxfId="229" priority="11" stopIfTrue="1">
      <formula>$H$47="超过20%"</formula>
    </cfRule>
  </conditionalFormatting>
  <conditionalFormatting sqref="J46">
    <cfRule type="containsText" dxfId="228" priority="10" stopIfTrue="1" operator="containsText" text="超过">
      <formula>NOT(ISERROR(SEARCH("超过",J46)))</formula>
    </cfRule>
  </conditionalFormatting>
  <conditionalFormatting sqref="J48">
    <cfRule type="containsText" dxfId="227" priority="9" stopIfTrue="1" operator="containsText" text="超过">
      <formula>NOT(ISERROR(SEARCH("超过",J48)))</formula>
    </cfRule>
  </conditionalFormatting>
  <conditionalFormatting sqref="J47">
    <cfRule type="containsText" dxfId="226" priority="8" stopIfTrue="1" operator="containsText" text="超过">
      <formula>NOT(ISERROR(SEARCH("超过",J47)))</formula>
    </cfRule>
  </conditionalFormatting>
  <conditionalFormatting sqref="I46">
    <cfRule type="expression" dxfId="225" priority="7" stopIfTrue="1">
      <formula>$J$46="超过30%"</formula>
    </cfRule>
  </conditionalFormatting>
  <conditionalFormatting sqref="I47">
    <cfRule type="expression" dxfId="224" priority="6" stopIfTrue="1">
      <formula>$J$47="超过20%"</formula>
    </cfRule>
  </conditionalFormatting>
  <conditionalFormatting sqref="I48">
    <cfRule type="expression" dxfId="223" priority="5" stopIfTrue="1">
      <formula>$J$48="超过30%"</formula>
    </cfRule>
  </conditionalFormatting>
  <conditionalFormatting sqref="F42">
    <cfRule type="expression" dxfId="222" priority="4">
      <formula>$D$42="简单平均"</formula>
    </cfRule>
  </conditionalFormatting>
  <conditionalFormatting sqref="H42">
    <cfRule type="expression" dxfId="221" priority="3">
      <formula>$D$42="简单平均"</formula>
    </cfRule>
  </conditionalFormatting>
  <conditionalFormatting sqref="J42">
    <cfRule type="expression" dxfId="220" priority="2">
      <formula>$D$42="简单平均"</formula>
    </cfRule>
  </conditionalFormatting>
  <conditionalFormatting sqref="F7:F40 H7:H40 J7:J40">
    <cfRule type="cellIs" dxfId="2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受贵公司委托，我公司对北京市朝阳区东三环南路98号1幢3层307房地产抵押价值进行了预评估。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估价对象为北京市朝阳区东三环南路98号1幢3层307房地产，为北京高和所有。根据《国有土地使用证》[]，估价对象（分摊）出让国有建设用地使用权面积为0平方米，建筑面积为971.86平方米。</v>
      </c>
    </row>
    <row r="8" spans="1:1" ht="57.75">
      <c r="A8" s="1479" t="s">
        <v>901</v>
      </c>
    </row>
    <row r="9" spans="1:1" ht="18.75">
      <c r="A9" s="1478" t="s">
        <v>902</v>
      </c>
    </row>
    <row r="10" spans="1:1" ht="72">
      <c r="A10" s="1476" t="str">
        <f>"估价对象为"&amp;项目基本情况!S2&amp;IF('结果表-307'!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"本次评估采用的主估价方法为"&amp;'结果表-307'!K4&amp;"和"&amp;'结果表-307'!L4&amp;"。"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3326</v>
      </c>
      <c r="C1" s="1220" t="s">
        <v>1660</v>
      </c>
      <c r="D1" s="1221"/>
      <c r="E1" s="3426"/>
      <c r="F1" s="1875"/>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1161"/>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1"/>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83" t="s">
        <v>1678</v>
      </c>
      <c r="Q7" s="3716"/>
      <c r="R7" s="701" t="s">
        <v>14</v>
      </c>
      <c r="S7" s="702">
        <f t="shared" ref="S7:S14" si="0">F7</f>
        <v>0</v>
      </c>
      <c r="T7" s="701" t="s">
        <v>14</v>
      </c>
      <c r="U7" s="702">
        <f t="shared" ref="U7:U14" si="1">H7</f>
        <v>0</v>
      </c>
      <c r="V7" s="701" t="s">
        <v>14</v>
      </c>
      <c r="W7" s="702">
        <f t="shared" ref="W7:W14"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26" t="s">
        <v>1684</v>
      </c>
      <c r="Q9" s="1339" t="str">
        <f t="shared" ref="Q9:Q14" si="6">B9</f>
        <v>用途</v>
      </c>
      <c r="R9" s="701" t="s">
        <v>14</v>
      </c>
      <c r="S9" s="702">
        <f t="shared" si="0"/>
        <v>100</v>
      </c>
      <c r="T9" s="701" t="s">
        <v>14</v>
      </c>
      <c r="U9" s="702">
        <f t="shared" si="1"/>
        <v>100</v>
      </c>
      <c r="V9" s="701" t="s">
        <v>14</v>
      </c>
      <c r="W9" s="702">
        <f t="shared" si="2"/>
        <v>100</v>
      </c>
      <c r="X9" s="703"/>
      <c r="Y9" s="3648" t="s">
        <v>1685</v>
      </c>
      <c r="Z9" s="52" t="str">
        <f t="shared" ref="Z9:Z14" si="7">Q9</f>
        <v>用途</v>
      </c>
      <c r="AA9" s="704">
        <f t="shared" si="3"/>
        <v>1</v>
      </c>
      <c r="AB9" s="704">
        <f t="shared" si="4"/>
        <v>1</v>
      </c>
      <c r="AC9" s="704">
        <f t="shared" si="5"/>
        <v>1</v>
      </c>
    </row>
    <row r="10" spans="1:29" s="378" customFormat="1" ht="27">
      <c r="A10" s="589"/>
      <c r="B10" s="590"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26"/>
      <c r="Q11" s="1339">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
      <c r="A14" s="355" t="s">
        <v>1688</v>
      </c>
      <c r="B14" s="577" t="s">
        <v>1831</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19" t="s">
        <v>1689</v>
      </c>
      <c r="Q14" s="1348" t="str">
        <f t="shared" si="6"/>
        <v>交通便捷度</v>
      </c>
      <c r="R14" s="705" t="s">
        <v>14</v>
      </c>
      <c r="S14" s="706">
        <f t="shared" si="0"/>
        <v>100</v>
      </c>
      <c r="T14" s="705" t="s">
        <v>14</v>
      </c>
      <c r="U14" s="706">
        <f t="shared" si="1"/>
        <v>100</v>
      </c>
      <c r="V14" s="705" t="s">
        <v>14</v>
      </c>
      <c r="W14" s="706">
        <f t="shared" si="2"/>
        <v>100</v>
      </c>
      <c r="X14" s="1351"/>
      <c r="Y14" s="3719" t="s">
        <v>1689</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720"/>
      <c r="Q15" s="1348"/>
      <c r="R15" s="705"/>
      <c r="S15" s="706"/>
      <c r="T15" s="705"/>
      <c r="U15" s="706"/>
      <c r="V15" s="705"/>
      <c r="W15" s="706"/>
      <c r="X15" s="1351"/>
      <c r="Y15" s="3720"/>
      <c r="Z15" s="1352"/>
      <c r="AA15" s="1349">
        <v>1</v>
      </c>
      <c r="AB15" s="1349">
        <v>1</v>
      </c>
      <c r="AC15" s="1349">
        <v>1</v>
      </c>
    </row>
    <row r="16" spans="1:29" ht="15">
      <c r="A16" s="358"/>
      <c r="B16" s="579" t="s">
        <v>1810</v>
      </c>
      <c r="C16" s="1896"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20"/>
      <c r="Q16" s="1348" t="str">
        <f>B16</f>
        <v>公共配套设施</v>
      </c>
      <c r="R16" s="705" t="s">
        <v>14</v>
      </c>
      <c r="S16" s="706">
        <f>F16</f>
        <v>100</v>
      </c>
      <c r="T16" s="705" t="s">
        <v>14</v>
      </c>
      <c r="U16" s="706">
        <f>H16</f>
        <v>100</v>
      </c>
      <c r="V16" s="705" t="s">
        <v>14</v>
      </c>
      <c r="W16" s="706">
        <f>J16</f>
        <v>100</v>
      </c>
      <c r="X16" s="1351"/>
      <c r="Y16" s="3720"/>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720"/>
      <c r="Q17" s="1348"/>
      <c r="R17" s="705"/>
      <c r="S17" s="706"/>
      <c r="T17" s="705"/>
      <c r="U17" s="706"/>
      <c r="V17" s="705"/>
      <c r="W17" s="706"/>
      <c r="X17" s="1351"/>
      <c r="Y17" s="3720"/>
      <c r="Z17" s="1352"/>
      <c r="AA17" s="1349">
        <v>1</v>
      </c>
      <c r="AB17" s="1349">
        <v>1</v>
      </c>
      <c r="AC17" s="1349">
        <v>1</v>
      </c>
    </row>
    <row r="18" spans="1:29" ht="15">
      <c r="A18" s="358"/>
      <c r="B18" s="581" t="s">
        <v>1811</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20"/>
      <c r="Q18" s="1348" t="str">
        <f>B18</f>
        <v>基础设施水平</v>
      </c>
      <c r="R18" s="705" t="s">
        <v>14</v>
      </c>
      <c r="S18" s="706">
        <f>F18</f>
        <v>100</v>
      </c>
      <c r="T18" s="705" t="s">
        <v>14</v>
      </c>
      <c r="U18" s="706">
        <f>H18</f>
        <v>100</v>
      </c>
      <c r="V18" s="705" t="s">
        <v>14</v>
      </c>
      <c r="W18" s="706">
        <f>J18</f>
        <v>100</v>
      </c>
      <c r="X18" s="1351"/>
      <c r="Y18" s="3720"/>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720"/>
      <c r="Q19" s="1348"/>
      <c r="R19" s="705"/>
      <c r="S19" s="706"/>
      <c r="T19" s="705"/>
      <c r="U19" s="706"/>
      <c r="V19" s="705"/>
      <c r="W19" s="706"/>
      <c r="X19" s="1351"/>
      <c r="Y19" s="3720"/>
      <c r="Z19" s="1352"/>
      <c r="AA19" s="1349">
        <v>1</v>
      </c>
      <c r="AB19" s="1349">
        <v>1</v>
      </c>
      <c r="AC19" s="1349">
        <v>1</v>
      </c>
    </row>
    <row r="20" spans="1:29" ht="15">
      <c r="A20" s="358"/>
      <c r="B20" s="579" t="s">
        <v>1832</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20"/>
      <c r="Q20" s="1348" t="str">
        <f>B20</f>
        <v>自然及人文环境</v>
      </c>
      <c r="R20" s="705" t="s">
        <v>14</v>
      </c>
      <c r="S20" s="706">
        <f>F20</f>
        <v>100</v>
      </c>
      <c r="T20" s="705" t="s">
        <v>14</v>
      </c>
      <c r="U20" s="706">
        <f>H20</f>
        <v>100</v>
      </c>
      <c r="V20" s="705" t="s">
        <v>14</v>
      </c>
      <c r="W20" s="706">
        <f>J20</f>
        <v>100</v>
      </c>
      <c r="X20" s="1351"/>
      <c r="Y20" s="3720"/>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720"/>
      <c r="Q21" s="1348"/>
      <c r="R21" s="705"/>
      <c r="S21" s="706"/>
      <c r="T21" s="705"/>
      <c r="U21" s="706"/>
      <c r="V21" s="705"/>
      <c r="W21" s="706"/>
      <c r="X21" s="1351"/>
      <c r="Y21" s="3720"/>
      <c r="Z21" s="1352"/>
      <c r="AA21" s="1349">
        <v>1</v>
      </c>
      <c r="AB21" s="1349">
        <v>1</v>
      </c>
      <c r="AC21" s="1349">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20"/>
      <c r="Q22" s="1348" t="str">
        <f>B22</f>
        <v>楼层</v>
      </c>
      <c r="R22" s="705" t="s">
        <v>14</v>
      </c>
      <c r="S22" s="706">
        <f>F22</f>
        <v>100</v>
      </c>
      <c r="T22" s="705" t="s">
        <v>14</v>
      </c>
      <c r="U22" s="706">
        <f>H22</f>
        <v>100</v>
      </c>
      <c r="V22" s="705" t="s">
        <v>14</v>
      </c>
      <c r="W22" s="706">
        <f>J22</f>
        <v>100</v>
      </c>
      <c r="X22" s="1351"/>
      <c r="Y22" s="3720"/>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20"/>
      <c r="Q23" s="1348">
        <f>B23</f>
        <v>111</v>
      </c>
      <c r="R23" s="705" t="s">
        <v>14</v>
      </c>
      <c r="S23" s="706">
        <f>F23</f>
        <v>100</v>
      </c>
      <c r="T23" s="705" t="s">
        <v>14</v>
      </c>
      <c r="U23" s="706">
        <f>H23</f>
        <v>100</v>
      </c>
      <c r="V23" s="705" t="s">
        <v>14</v>
      </c>
      <c r="W23" s="706">
        <f>J23</f>
        <v>100</v>
      </c>
      <c r="X23" s="1351"/>
      <c r="Y23" s="3720"/>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20"/>
      <c r="Q24" s="1348">
        <f t="shared" ref="Q24:Q36" si="11">B24</f>
        <v>111</v>
      </c>
      <c r="R24" s="705" t="s">
        <v>14</v>
      </c>
      <c r="S24" s="706">
        <f>F24</f>
        <v>100</v>
      </c>
      <c r="T24" s="705" t="s">
        <v>14</v>
      </c>
      <c r="U24" s="706">
        <f>H24</f>
        <v>100</v>
      </c>
      <c r="V24" s="705" t="s">
        <v>14</v>
      </c>
      <c r="W24" s="706">
        <f>J24</f>
        <v>100</v>
      </c>
      <c r="X24" s="1351"/>
      <c r="Y24" s="3720"/>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20"/>
      <c r="Q25" s="1339">
        <f t="shared" si="11"/>
        <v>111</v>
      </c>
      <c r="R25" s="701" t="s">
        <v>14</v>
      </c>
      <c r="S25" s="702">
        <f>F25</f>
        <v>100</v>
      </c>
      <c r="T25" s="701" t="s">
        <v>14</v>
      </c>
      <c r="U25" s="702">
        <f>H25</f>
        <v>100</v>
      </c>
      <c r="V25" s="701" t="s">
        <v>14</v>
      </c>
      <c r="W25" s="702">
        <f>J25</f>
        <v>100</v>
      </c>
      <c r="X25" s="703"/>
      <c r="Y25" s="3720"/>
      <c r="Z25" s="52">
        <f>Q25</f>
        <v>111</v>
      </c>
      <c r="AA25" s="1349">
        <f>D25/F25</f>
        <v>1</v>
      </c>
      <c r="AB25" s="1349">
        <f>D25/H25</f>
        <v>1</v>
      </c>
      <c r="AC25" s="1349">
        <f>D25/J25</f>
        <v>1</v>
      </c>
    </row>
    <row r="26" spans="1:29" ht="28.5">
      <c r="A26" s="600"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2" t="s">
        <v>1694</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24" t="s">
        <v>1694</v>
      </c>
      <c r="Z26" s="1352" t="str">
        <f t="shared" ref="Z26:Z36" si="15">Q26</f>
        <v>配套类型</v>
      </c>
      <c r="AA26" s="1349" t="e">
        <f t="shared" si="3"/>
        <v>#DIV/0!</v>
      </c>
      <c r="AB26" s="1349" t="e">
        <f t="shared" si="4"/>
        <v>#DIV/0!</v>
      </c>
      <c r="AC26" s="1349"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49">
        <f t="shared" si="3"/>
        <v>1</v>
      </c>
      <c r="AB27" s="1349">
        <f t="shared" si="4"/>
        <v>1</v>
      </c>
      <c r="AC27" s="1349">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24"/>
      <c r="Q28" s="1348" t="str">
        <f t="shared" si="11"/>
        <v>公共部分装修</v>
      </c>
      <c r="R28" s="705" t="s">
        <v>14</v>
      </c>
      <c r="S28" s="706">
        <f t="shared" si="12"/>
        <v>100</v>
      </c>
      <c r="T28" s="705" t="s">
        <v>14</v>
      </c>
      <c r="U28" s="706">
        <f t="shared" si="13"/>
        <v>100</v>
      </c>
      <c r="V28" s="705" t="s">
        <v>14</v>
      </c>
      <c r="W28" s="706">
        <f t="shared" si="14"/>
        <v>100</v>
      </c>
      <c r="X28" s="1351"/>
      <c r="Y28" s="3724"/>
      <c r="Z28" s="1352" t="str">
        <f t="shared" si="15"/>
        <v>公共部分装修</v>
      </c>
      <c r="AA28" s="1349">
        <f t="shared" si="3"/>
        <v>1</v>
      </c>
      <c r="AB28" s="1349">
        <f t="shared" si="4"/>
        <v>1</v>
      </c>
      <c r="AC28" s="1349">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24"/>
      <c r="Q29" s="1348" t="str">
        <f t="shared" si="11"/>
        <v>成新率</v>
      </c>
      <c r="R29" s="705" t="s">
        <v>14</v>
      </c>
      <c r="S29" s="706" t="e">
        <f t="shared" si="12"/>
        <v>#N/A</v>
      </c>
      <c r="T29" s="705" t="s">
        <v>14</v>
      </c>
      <c r="U29" s="706" t="e">
        <f t="shared" si="13"/>
        <v>#N/A</v>
      </c>
      <c r="V29" s="705" t="s">
        <v>14</v>
      </c>
      <c r="W29" s="706" t="e">
        <f t="shared" si="14"/>
        <v>#N/A</v>
      </c>
      <c r="X29" s="1351"/>
      <c r="Y29" s="3724"/>
      <c r="Z29" s="1352" t="str">
        <f t="shared" si="15"/>
        <v>成新率</v>
      </c>
      <c r="AA29" s="1349" t="e">
        <f t="shared" si="3"/>
        <v>#N/A</v>
      </c>
      <c r="AB29" s="1349" t="e">
        <f t="shared" si="4"/>
        <v>#N/A</v>
      </c>
      <c r="AC29" s="1349"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24"/>
      <c r="Q30" s="1348" t="str">
        <f t="shared" si="11"/>
        <v>物业等级</v>
      </c>
      <c r="R30" s="705" t="s">
        <v>14</v>
      </c>
      <c r="S30" s="706">
        <f t="shared" si="12"/>
        <v>100</v>
      </c>
      <c r="T30" s="705" t="s">
        <v>14</v>
      </c>
      <c r="U30" s="706">
        <f t="shared" si="13"/>
        <v>100</v>
      </c>
      <c r="V30" s="705" t="s">
        <v>14</v>
      </c>
      <c r="W30" s="706">
        <f t="shared" si="14"/>
        <v>100</v>
      </c>
      <c r="X30" s="1351"/>
      <c r="Y30" s="3724"/>
      <c r="Z30" s="1352" t="str">
        <f t="shared" si="15"/>
        <v>物业等级</v>
      </c>
      <c r="AA30" s="1349">
        <f t="shared" si="3"/>
        <v>1</v>
      </c>
      <c r="AB30" s="1349">
        <f t="shared" si="4"/>
        <v>1</v>
      </c>
      <c r="AC30" s="1349">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24"/>
      <c r="Q31" s="1339"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24" t="s">
        <v>1694</v>
      </c>
      <c r="Q32" s="1348" t="str">
        <f t="shared" si="11"/>
        <v>车位类型</v>
      </c>
      <c r="R32" s="705" t="s">
        <v>14</v>
      </c>
      <c r="S32" s="706">
        <f t="shared" si="12"/>
        <v>100</v>
      </c>
      <c r="T32" s="705" t="s">
        <v>14</v>
      </c>
      <c r="U32" s="706">
        <f t="shared" si="13"/>
        <v>100</v>
      </c>
      <c r="V32" s="705" t="s">
        <v>14</v>
      </c>
      <c r="W32" s="706">
        <f t="shared" si="14"/>
        <v>100</v>
      </c>
      <c r="X32" s="1351"/>
      <c r="Y32" s="3724" t="s">
        <v>1694</v>
      </c>
      <c r="Z32" s="1352" t="str">
        <f t="shared" si="15"/>
        <v>车位类型</v>
      </c>
      <c r="AA32" s="1349">
        <f t="shared" si="3"/>
        <v>1</v>
      </c>
      <c r="AB32" s="1349">
        <f t="shared" si="4"/>
        <v>1</v>
      </c>
      <c r="AC32" s="1349">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24"/>
      <c r="Q33" s="1348" t="str">
        <f t="shared" si="11"/>
        <v>是否直接入户</v>
      </c>
      <c r="R33" s="705" t="s">
        <v>14</v>
      </c>
      <c r="S33" s="706">
        <f t="shared" si="12"/>
        <v>100</v>
      </c>
      <c r="T33" s="705" t="s">
        <v>14</v>
      </c>
      <c r="U33" s="706">
        <f t="shared" si="13"/>
        <v>100</v>
      </c>
      <c r="V33" s="705" t="s">
        <v>14</v>
      </c>
      <c r="W33" s="706">
        <f t="shared" si="14"/>
        <v>100</v>
      </c>
      <c r="X33" s="1351"/>
      <c r="Y33" s="3724"/>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24"/>
      <c r="Q34" s="1348">
        <f t="shared" si="11"/>
        <v>111</v>
      </c>
      <c r="R34" s="705" t="s">
        <v>14</v>
      </c>
      <c r="S34" s="706">
        <f t="shared" si="12"/>
        <v>100</v>
      </c>
      <c r="T34" s="705" t="s">
        <v>14</v>
      </c>
      <c r="U34" s="706">
        <f t="shared" si="13"/>
        <v>100</v>
      </c>
      <c r="V34" s="705" t="s">
        <v>14</v>
      </c>
      <c r="W34" s="706">
        <f t="shared" si="14"/>
        <v>100</v>
      </c>
      <c r="X34" s="1351"/>
      <c r="Y34" s="3724"/>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24"/>
      <c r="Q36" s="1348">
        <f t="shared" si="11"/>
        <v>111</v>
      </c>
      <c r="R36" s="705" t="s">
        <v>14</v>
      </c>
      <c r="S36" s="706">
        <f t="shared" si="12"/>
        <v>100</v>
      </c>
      <c r="T36" s="705" t="s">
        <v>14</v>
      </c>
      <c r="U36" s="706">
        <f t="shared" si="13"/>
        <v>100</v>
      </c>
      <c r="V36" s="705" t="s">
        <v>14</v>
      </c>
      <c r="W36" s="706">
        <f t="shared" si="14"/>
        <v>100</v>
      </c>
      <c r="X36" s="1351"/>
      <c r="Y36" s="3724"/>
      <c r="Z36" s="1352">
        <f t="shared" si="15"/>
        <v>111</v>
      </c>
      <c r="AA36" s="1349">
        <f t="shared" si="3"/>
        <v>1</v>
      </c>
      <c r="AB36" s="1349">
        <f t="shared" si="4"/>
        <v>1</v>
      </c>
      <c r="AC36" s="1349">
        <f t="shared" si="5"/>
        <v>1</v>
      </c>
    </row>
    <row r="37" spans="1:29" ht="15">
      <c r="A37" s="430" t="s">
        <v>1842</v>
      </c>
      <c r="B37" s="1969" t="s">
        <v>3347</v>
      </c>
      <c r="C37" s="1150" t="s">
        <v>0</v>
      </c>
      <c r="D37" s="1151"/>
      <c r="E37" s="1152"/>
      <c r="F37" s="1153"/>
      <c r="G37" s="1154"/>
      <c r="H37" s="1155"/>
      <c r="I37" s="1152"/>
      <c r="J37" s="1155"/>
      <c r="K37" s="568"/>
      <c r="L37" s="2717"/>
      <c r="M37" s="2718"/>
      <c r="N37" s="2709"/>
      <c r="O37" s="2718"/>
      <c r="P37" s="3726" t="str">
        <f>A37</f>
        <v>成交单价</v>
      </c>
      <c r="Q37" s="3726"/>
      <c r="R37" s="3727">
        <f>E37</f>
        <v>0</v>
      </c>
      <c r="S37" s="3727"/>
      <c r="T37" s="3727">
        <f>G37</f>
        <v>0</v>
      </c>
      <c r="U37" s="3727"/>
      <c r="V37" s="3727">
        <f>I37</f>
        <v>0</v>
      </c>
      <c r="W37" s="3727"/>
      <c r="X37" s="690"/>
      <c r="Y37" s="712"/>
      <c r="Z37" s="690"/>
      <c r="AA37" s="690"/>
      <c r="AB37" s="690"/>
      <c r="AC37" s="690"/>
    </row>
    <row r="38" spans="1:29" ht="15.75" thickBot="1">
      <c r="A38" s="437" t="s">
        <v>1843</v>
      </c>
      <c r="B38" s="438" t="str">
        <f>B37</f>
        <v>元/平方米</v>
      </c>
      <c r="C38" s="1156" t="e">
        <f>R39</f>
        <v>#DIV/0!</v>
      </c>
      <c r="D38" s="2313" t="s">
        <v>2136</v>
      </c>
      <c r="E38" s="1157" t="e">
        <f>R38</f>
        <v>#DIV/0!</v>
      </c>
      <c r="F38" s="2314"/>
      <c r="G38" s="1156" t="e">
        <f>T38</f>
        <v>#DIV/0!</v>
      </c>
      <c r="H38" s="2314"/>
      <c r="I38" s="1157" t="e">
        <f>V38</f>
        <v>#DIV/0!</v>
      </c>
      <c r="J38" s="2314"/>
      <c r="K38" s="2316">
        <f>F38+H38+J38</f>
        <v>0</v>
      </c>
      <c r="L38" s="2717"/>
      <c r="M38" s="2718"/>
      <c r="N38" s="2718"/>
      <c r="O38" s="2718"/>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75" thickBot="1">
      <c r="A39" s="441" t="s">
        <v>1844</v>
      </c>
      <c r="B39" s="442"/>
      <c r="C39" s="1159" t="e">
        <f>R39</f>
        <v>#DIV/0!</v>
      </c>
      <c r="D39" s="1159"/>
      <c r="E39" s="1159"/>
      <c r="F39" s="1159"/>
      <c r="G39" s="1159"/>
      <c r="H39" s="1159"/>
      <c r="I39" s="1159"/>
      <c r="J39" s="1159"/>
      <c r="K39" s="569"/>
      <c r="L39" s="2717"/>
      <c r="M39" s="2718"/>
      <c r="N39" s="2718"/>
      <c r="O39" s="2718"/>
      <c r="P39" s="3759" t="str">
        <f>A39</f>
        <v>估价对象XX用房的比较价值（楼面单价，元/平方米）</v>
      </c>
      <c r="Q39" s="3760"/>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1848</v>
      </c>
      <c r="B47" s="923"/>
      <c r="C47" s="936"/>
      <c r="D47" s="936"/>
      <c r="E47" s="936"/>
      <c r="F47" s="1163"/>
      <c r="G47" s="1163"/>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0" t="str">
        <f>YEAR(C7)&amp;"-"&amp;MONTH(C7)</f>
        <v>2024-7</v>
      </c>
      <c r="D48" s="1181">
        <f>EDATE(C48,-1)</f>
        <v>45444</v>
      </c>
      <c r="E48" s="1181">
        <f t="shared" ref="E48:O48" si="16">EDATE(D48,-1)</f>
        <v>45413</v>
      </c>
      <c r="F48" s="1181">
        <f t="shared" si="16"/>
        <v>45383</v>
      </c>
      <c r="G48" s="1181">
        <f t="shared" si="16"/>
        <v>45352</v>
      </c>
      <c r="H48" s="1181">
        <f t="shared" si="16"/>
        <v>45323</v>
      </c>
      <c r="I48" s="1181">
        <f t="shared" si="16"/>
        <v>45292</v>
      </c>
      <c r="J48" s="1181">
        <f t="shared" si="16"/>
        <v>45261</v>
      </c>
      <c r="K48" s="1181">
        <f t="shared" si="16"/>
        <v>45231</v>
      </c>
      <c r="L48" s="1181">
        <f t="shared" si="16"/>
        <v>45200</v>
      </c>
      <c r="M48" s="1181">
        <f t="shared" si="16"/>
        <v>45170</v>
      </c>
      <c r="N48" s="1181">
        <f t="shared" si="16"/>
        <v>45139</v>
      </c>
      <c r="O48" s="1181">
        <f t="shared" si="16"/>
        <v>45108</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18" priority="18" stopIfTrue="1" operator="containsText" text="超过">
      <formula>NOT(ISERROR(SEARCH("超过",F42)))</formula>
    </cfRule>
  </conditionalFormatting>
  <conditionalFormatting sqref="J44">
    <cfRule type="containsText" dxfId="217" priority="17" stopIfTrue="1" operator="containsText" text="超过">
      <formula>NOT(ISERROR(SEARCH("超过",J44)))</formula>
    </cfRule>
  </conditionalFormatting>
  <conditionalFormatting sqref="H44">
    <cfRule type="containsText" dxfId="216" priority="16" stopIfTrue="1" operator="containsText" text="超过">
      <formula>NOT(ISERROR(SEARCH("超过",H44)))</formula>
    </cfRule>
  </conditionalFormatting>
  <conditionalFormatting sqref="F44">
    <cfRule type="containsText" dxfId="215" priority="15" stopIfTrue="1" operator="containsText" text="超过">
      <formula>NOT(ISERROR(SEARCH("超过",F44)))</formula>
    </cfRule>
  </conditionalFormatting>
  <conditionalFormatting sqref="F43 H43 J43">
    <cfRule type="containsText" dxfId="214" priority="14" stopIfTrue="1" operator="containsText" text="超过">
      <formula>NOT(ISERROR(SEARCH("超过",F43)))</formula>
    </cfRule>
  </conditionalFormatting>
  <conditionalFormatting sqref="E42">
    <cfRule type="expression" dxfId="213" priority="13" stopIfTrue="1">
      <formula>$F$42="超过30%"</formula>
    </cfRule>
  </conditionalFormatting>
  <conditionalFormatting sqref="G44">
    <cfRule type="expression" dxfId="212" priority="12" stopIfTrue="1">
      <formula>$H$54+$H$44="超过30%"</formula>
    </cfRule>
  </conditionalFormatting>
  <conditionalFormatting sqref="E43">
    <cfRule type="expression" dxfId="211" priority="11" stopIfTrue="1">
      <formula>$F$43="超过20%"</formula>
    </cfRule>
  </conditionalFormatting>
  <conditionalFormatting sqref="E44">
    <cfRule type="expression" dxfId="210" priority="10" stopIfTrue="1">
      <formula>$F$44="超过30%"</formula>
    </cfRule>
  </conditionalFormatting>
  <conditionalFormatting sqref="G42">
    <cfRule type="expression" dxfId="209" priority="9" stopIfTrue="1">
      <formula>$H$52+$H$42="超过30%"</formula>
    </cfRule>
  </conditionalFormatting>
  <conditionalFormatting sqref="G43">
    <cfRule type="expression" dxfId="208" priority="8" stopIfTrue="1">
      <formula>$H$43="超过20%"</formula>
    </cfRule>
  </conditionalFormatting>
  <conditionalFormatting sqref="I42">
    <cfRule type="expression" dxfId="207" priority="7" stopIfTrue="1">
      <formula>$J$52+$J$42="超过30%"</formula>
    </cfRule>
  </conditionalFormatting>
  <conditionalFormatting sqref="I43">
    <cfRule type="expression" dxfId="206" priority="6" stopIfTrue="1">
      <formula>$J$53+$J$43="超过20%"</formula>
    </cfRule>
  </conditionalFormatting>
  <conditionalFormatting sqref="I44">
    <cfRule type="expression" dxfId="205" priority="5" stopIfTrue="1">
      <formula>$J$44="超过30%"</formula>
    </cfRule>
  </conditionalFormatting>
  <conditionalFormatting sqref="F38">
    <cfRule type="expression" dxfId="204" priority="4">
      <formula>$D$38="简单平均"</formula>
    </cfRule>
  </conditionalFormatting>
  <conditionalFormatting sqref="H38">
    <cfRule type="expression" dxfId="203" priority="3">
      <formula>$D$38="简单平均"</formula>
    </cfRule>
  </conditionalFormatting>
  <conditionalFormatting sqref="J38">
    <cfRule type="expression" dxfId="202" priority="2">
      <formula>$D$38="简单平均"</formula>
    </cfRule>
  </conditionalFormatting>
  <conditionalFormatting sqref="F7:F36 H7:H36 J7:J36">
    <cfRule type="cellIs" dxfId="20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3327</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683" t="s">
        <v>1678</v>
      </c>
      <c r="Q7" s="3716"/>
      <c r="R7" s="701" t="s">
        <v>14</v>
      </c>
      <c r="S7" s="702">
        <f t="shared" ref="S7:S14" si="0">F7</f>
        <v>0</v>
      </c>
      <c r="T7" s="701" t="s">
        <v>14</v>
      </c>
      <c r="U7" s="702">
        <f t="shared" ref="U7:U14" si="1">H7</f>
        <v>0</v>
      </c>
      <c r="V7" s="701" t="s">
        <v>14</v>
      </c>
      <c r="W7" s="702">
        <f t="shared" ref="W7:W14"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26" t="s">
        <v>1684</v>
      </c>
      <c r="Q9" s="1339" t="str">
        <f t="shared" ref="Q9:Q14" si="6">B9</f>
        <v>用途</v>
      </c>
      <c r="R9" s="701" t="s">
        <v>14</v>
      </c>
      <c r="S9" s="702">
        <f t="shared" si="0"/>
        <v>100</v>
      </c>
      <c r="T9" s="701" t="s">
        <v>14</v>
      </c>
      <c r="U9" s="702">
        <f t="shared" si="1"/>
        <v>100</v>
      </c>
      <c r="V9" s="701" t="s">
        <v>14</v>
      </c>
      <c r="W9" s="702">
        <f t="shared" si="2"/>
        <v>100</v>
      </c>
      <c r="X9" s="703"/>
      <c r="Y9" s="3648" t="s">
        <v>1685</v>
      </c>
      <c r="Z9" s="52" t="str">
        <f t="shared" ref="Z9:Z14" si="7">Q9</f>
        <v>用途</v>
      </c>
      <c r="AA9" s="704">
        <f t="shared" si="3"/>
        <v>1</v>
      </c>
      <c r="AB9" s="704">
        <f t="shared" si="4"/>
        <v>1</v>
      </c>
      <c r="AC9" s="704">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26"/>
      <c r="Q11" s="1339">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
      <c r="A14" s="391" t="s">
        <v>1688</v>
      </c>
      <c r="B14" s="61" t="s">
        <v>1831</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19" t="s">
        <v>1689</v>
      </c>
      <c r="Q14" s="1348" t="str">
        <f t="shared" si="6"/>
        <v>交通便捷度</v>
      </c>
      <c r="R14" s="705" t="s">
        <v>14</v>
      </c>
      <c r="S14" s="706">
        <f t="shared" si="0"/>
        <v>100</v>
      </c>
      <c r="T14" s="705" t="s">
        <v>14</v>
      </c>
      <c r="U14" s="706">
        <f t="shared" si="1"/>
        <v>100</v>
      </c>
      <c r="V14" s="705" t="s">
        <v>14</v>
      </c>
      <c r="W14" s="706">
        <f t="shared" si="2"/>
        <v>100</v>
      </c>
      <c r="X14" s="1351"/>
      <c r="Y14" s="3719" t="s">
        <v>1689</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720"/>
      <c r="Q15" s="1348"/>
      <c r="R15" s="705"/>
      <c r="S15" s="706"/>
      <c r="T15" s="705"/>
      <c r="U15" s="706"/>
      <c r="V15" s="705"/>
      <c r="W15" s="706"/>
      <c r="X15" s="1351"/>
      <c r="Y15" s="3720"/>
      <c r="Z15" s="1352"/>
      <c r="AA15" s="1349">
        <v>1</v>
      </c>
      <c r="AB15" s="1349">
        <v>1</v>
      </c>
      <c r="AC15" s="1349">
        <v>1</v>
      </c>
    </row>
    <row r="16" spans="1:29" ht="15">
      <c r="A16" s="379"/>
      <c r="B16" s="402" t="s">
        <v>1810</v>
      </c>
      <c r="C16" s="1896"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20"/>
      <c r="Q16" s="1348" t="str">
        <f>B16</f>
        <v>公共配套设施</v>
      </c>
      <c r="R16" s="705" t="s">
        <v>14</v>
      </c>
      <c r="S16" s="706">
        <f>F16</f>
        <v>100</v>
      </c>
      <c r="T16" s="705" t="s">
        <v>14</v>
      </c>
      <c r="U16" s="706">
        <f>H16</f>
        <v>100</v>
      </c>
      <c r="V16" s="705" t="s">
        <v>14</v>
      </c>
      <c r="W16" s="706">
        <f>J16</f>
        <v>100</v>
      </c>
      <c r="X16" s="1351"/>
      <c r="Y16" s="3720"/>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720"/>
      <c r="Q17" s="1348"/>
      <c r="R17" s="705"/>
      <c r="S17" s="706"/>
      <c r="T17" s="705"/>
      <c r="U17" s="706"/>
      <c r="V17" s="705"/>
      <c r="W17" s="706"/>
      <c r="X17" s="1351"/>
      <c r="Y17" s="3720"/>
      <c r="Z17" s="1352"/>
      <c r="AA17" s="1349">
        <v>1</v>
      </c>
      <c r="AB17" s="1349">
        <v>1</v>
      </c>
      <c r="AC17" s="1349">
        <v>1</v>
      </c>
    </row>
    <row r="18" spans="1:29" ht="15">
      <c r="A18" s="379"/>
      <c r="B18" s="1127" t="s">
        <v>1811</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20"/>
      <c r="Q18" s="1348" t="str">
        <f>B18</f>
        <v>基础设施水平</v>
      </c>
      <c r="R18" s="705" t="s">
        <v>14</v>
      </c>
      <c r="S18" s="706">
        <f>F18</f>
        <v>100</v>
      </c>
      <c r="T18" s="705" t="s">
        <v>14</v>
      </c>
      <c r="U18" s="706">
        <f>H18</f>
        <v>100</v>
      </c>
      <c r="V18" s="705" t="s">
        <v>14</v>
      </c>
      <c r="W18" s="706">
        <f>J18</f>
        <v>100</v>
      </c>
      <c r="X18" s="1351"/>
      <c r="Y18" s="3720"/>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720"/>
      <c r="Q19" s="1348"/>
      <c r="R19" s="705"/>
      <c r="S19" s="706"/>
      <c r="T19" s="705"/>
      <c r="U19" s="706"/>
      <c r="V19" s="705"/>
      <c r="W19" s="706"/>
      <c r="X19" s="1351"/>
      <c r="Y19" s="3720"/>
      <c r="Z19" s="1352"/>
      <c r="AA19" s="1349">
        <v>1</v>
      </c>
      <c r="AB19" s="1349">
        <v>1</v>
      </c>
      <c r="AC19" s="1349">
        <v>1</v>
      </c>
    </row>
    <row r="20" spans="1:29" ht="15">
      <c r="A20" s="379"/>
      <c r="B20" s="402" t="s">
        <v>1832</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20"/>
      <c r="Q20" s="1348" t="str">
        <f>B20</f>
        <v>自然及人文环境</v>
      </c>
      <c r="R20" s="705" t="s">
        <v>14</v>
      </c>
      <c r="S20" s="706">
        <f>F20</f>
        <v>100</v>
      </c>
      <c r="T20" s="705" t="s">
        <v>14</v>
      </c>
      <c r="U20" s="706">
        <f>H20</f>
        <v>100</v>
      </c>
      <c r="V20" s="705" t="s">
        <v>14</v>
      </c>
      <c r="W20" s="706">
        <f>J20</f>
        <v>100</v>
      </c>
      <c r="X20" s="1351"/>
      <c r="Y20" s="3720"/>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720"/>
      <c r="Q21" s="1348"/>
      <c r="R21" s="705"/>
      <c r="S21" s="706"/>
      <c r="T21" s="705"/>
      <c r="U21" s="706"/>
      <c r="V21" s="705"/>
      <c r="W21" s="706"/>
      <c r="X21" s="1351"/>
      <c r="Y21" s="3720"/>
      <c r="Z21" s="1352"/>
      <c r="AA21" s="1349">
        <v>1</v>
      </c>
      <c r="AB21" s="1349">
        <v>1</v>
      </c>
      <c r="AC21" s="1349">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20"/>
      <c r="Q22" s="1348" t="str">
        <f>B22</f>
        <v>楼层</v>
      </c>
      <c r="R22" s="705" t="s">
        <v>14</v>
      </c>
      <c r="S22" s="706">
        <f>F22</f>
        <v>100</v>
      </c>
      <c r="T22" s="705" t="s">
        <v>14</v>
      </c>
      <c r="U22" s="706">
        <f>H22</f>
        <v>100</v>
      </c>
      <c r="V22" s="705" t="s">
        <v>14</v>
      </c>
      <c r="W22" s="706">
        <f>J22</f>
        <v>100</v>
      </c>
      <c r="X22" s="1351"/>
      <c r="Y22" s="3720"/>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20"/>
      <c r="Q23" s="1348">
        <f>B23</f>
        <v>111</v>
      </c>
      <c r="R23" s="705" t="s">
        <v>14</v>
      </c>
      <c r="S23" s="706">
        <f>F23</f>
        <v>100</v>
      </c>
      <c r="T23" s="705" t="s">
        <v>14</v>
      </c>
      <c r="U23" s="706">
        <f>H23</f>
        <v>100</v>
      </c>
      <c r="V23" s="705" t="s">
        <v>14</v>
      </c>
      <c r="W23" s="706">
        <f>J23</f>
        <v>100</v>
      </c>
      <c r="X23" s="1351"/>
      <c r="Y23" s="3720"/>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20"/>
      <c r="Q24" s="1348">
        <f t="shared" ref="Q24:Q34" si="11">B24</f>
        <v>111</v>
      </c>
      <c r="R24" s="705" t="s">
        <v>14</v>
      </c>
      <c r="S24" s="706">
        <f>F24</f>
        <v>100</v>
      </c>
      <c r="T24" s="705" t="s">
        <v>14</v>
      </c>
      <c r="U24" s="706">
        <f>H24</f>
        <v>100</v>
      </c>
      <c r="V24" s="705" t="s">
        <v>14</v>
      </c>
      <c r="W24" s="706">
        <f>J24</f>
        <v>100</v>
      </c>
      <c r="X24" s="1351"/>
      <c r="Y24" s="3720"/>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0"/>
      <c r="M25" s="2711"/>
      <c r="N25" s="2711"/>
      <c r="O25" s="2765"/>
      <c r="P25" s="3720"/>
      <c r="Q25" s="1339">
        <f t="shared" si="11"/>
        <v>111</v>
      </c>
      <c r="R25" s="701" t="s">
        <v>14</v>
      </c>
      <c r="S25" s="702">
        <f>F25</f>
        <v>100</v>
      </c>
      <c r="T25" s="701" t="s">
        <v>14</v>
      </c>
      <c r="U25" s="702">
        <f>H25</f>
        <v>100</v>
      </c>
      <c r="V25" s="701" t="s">
        <v>14</v>
      </c>
      <c r="W25" s="702">
        <f>J25</f>
        <v>100</v>
      </c>
      <c r="X25" s="703"/>
      <c r="Y25" s="3720"/>
      <c r="Z25" s="52">
        <f>Q25</f>
        <v>111</v>
      </c>
      <c r="AA25" s="1349">
        <f>D25/F25</f>
        <v>1</v>
      </c>
      <c r="AB25" s="1349">
        <f>D25/H25</f>
        <v>1</v>
      </c>
      <c r="AC25" s="1349">
        <f>D25/J25</f>
        <v>1</v>
      </c>
    </row>
    <row r="26" spans="1:29" ht="28.5">
      <c r="A26" s="417" t="s">
        <v>1692</v>
      </c>
      <c r="B26" s="63" t="s">
        <v>1836</v>
      </c>
      <c r="C26" s="1963"/>
      <c r="D26" s="418">
        <v>100</v>
      </c>
      <c r="E26" s="1963"/>
      <c r="F26" s="615">
        <f>SUMIF(77:77,E26,78:78)-SUMIF(77:77,C26,78:78)+100</f>
        <v>100</v>
      </c>
      <c r="G26" s="1963"/>
      <c r="H26" s="418">
        <f>SUMIF(77:77,G26,78:78)-SUMIF(77:77,C26,78:78)+100</f>
        <v>100</v>
      </c>
      <c r="I26" s="1963"/>
      <c r="J26" s="418">
        <f>SUMIF(77:77,I26,78:78)-SUMIF(77:77,C26,78:78)+100</f>
        <v>100</v>
      </c>
      <c r="K26" s="561"/>
      <c r="L26" s="2715"/>
      <c r="M26" s="2709"/>
      <c r="N26" s="2709"/>
      <c r="O26" s="2767"/>
      <c r="P26" s="3762" t="s">
        <v>1694</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24" t="s">
        <v>1694</v>
      </c>
      <c r="Z26" s="1352" t="str">
        <f t="shared" ref="Z26:Z34" si="15">Q26</f>
        <v>公共部分装修</v>
      </c>
      <c r="AA26" s="1349">
        <f t="shared" si="3"/>
        <v>1</v>
      </c>
      <c r="AB26" s="1349">
        <f t="shared" si="4"/>
        <v>1</v>
      </c>
      <c r="AC26" s="1349">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49" t="e">
        <f t="shared" si="3"/>
        <v>#N/A</v>
      </c>
      <c r="AB27" s="1349" t="e">
        <f t="shared" si="4"/>
        <v>#N/A</v>
      </c>
      <c r="AC27" s="1349"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24"/>
      <c r="Q28" s="1348" t="str">
        <f t="shared" si="11"/>
        <v>物业等级</v>
      </c>
      <c r="R28" s="705" t="s">
        <v>14</v>
      </c>
      <c r="S28" s="706">
        <f t="shared" si="12"/>
        <v>100</v>
      </c>
      <c r="T28" s="705" t="s">
        <v>14</v>
      </c>
      <c r="U28" s="706">
        <f t="shared" si="13"/>
        <v>100</v>
      </c>
      <c r="V28" s="705" t="s">
        <v>14</v>
      </c>
      <c r="W28" s="706">
        <f t="shared" si="14"/>
        <v>100</v>
      </c>
      <c r="X28" s="1351"/>
      <c r="Y28" s="3724"/>
      <c r="Z28" s="1352" t="str">
        <f t="shared" si="15"/>
        <v>物业等级</v>
      </c>
      <c r="AA28" s="1349">
        <f t="shared" si="3"/>
        <v>1</v>
      </c>
      <c r="AB28" s="1349">
        <f t="shared" si="4"/>
        <v>1</v>
      </c>
      <c r="AC28" s="1349">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24"/>
      <c r="Q29" s="1348" t="str">
        <f t="shared" si="11"/>
        <v>有无电梯</v>
      </c>
      <c r="R29" s="705" t="s">
        <v>14</v>
      </c>
      <c r="S29" s="706">
        <f t="shared" si="12"/>
        <v>100</v>
      </c>
      <c r="T29" s="705" t="s">
        <v>14</v>
      </c>
      <c r="U29" s="706">
        <f t="shared" si="13"/>
        <v>100</v>
      </c>
      <c r="V29" s="705" t="s">
        <v>14</v>
      </c>
      <c r="W29" s="706">
        <f t="shared" si="14"/>
        <v>100</v>
      </c>
      <c r="X29" s="1351"/>
      <c r="Y29" s="3724"/>
      <c r="Z29" s="1352" t="str">
        <f t="shared" si="15"/>
        <v>有无电梯</v>
      </c>
      <c r="AA29" s="1349">
        <f t="shared" si="3"/>
        <v>1</v>
      </c>
      <c r="AB29" s="1349">
        <f t="shared" si="4"/>
        <v>1</v>
      </c>
      <c r="AC29" s="1349">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24"/>
      <c r="Q30" s="1348" t="str">
        <f t="shared" si="11"/>
        <v>建筑面积</v>
      </c>
      <c r="R30" s="705" t="s">
        <v>14</v>
      </c>
      <c r="S30" s="706" t="e">
        <f t="shared" si="12"/>
        <v>#N/A</v>
      </c>
      <c r="T30" s="705" t="s">
        <v>14</v>
      </c>
      <c r="U30" s="706" t="e">
        <f t="shared" si="13"/>
        <v>#N/A</v>
      </c>
      <c r="V30" s="705" t="s">
        <v>14</v>
      </c>
      <c r="W30" s="706" t="e">
        <f t="shared" si="14"/>
        <v>#N/A</v>
      </c>
      <c r="X30" s="1351"/>
      <c r="Y30" s="3724"/>
      <c r="Z30" s="1352" t="str">
        <f t="shared" si="15"/>
        <v>建筑面积</v>
      </c>
      <c r="AA30" s="1349" t="e">
        <f t="shared" si="3"/>
        <v>#N/A</v>
      </c>
      <c r="AB30" s="1349" t="e">
        <f t="shared" si="4"/>
        <v>#N/A</v>
      </c>
      <c r="AC30" s="1349"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24"/>
      <c r="Q31" s="1339"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24" t="s">
        <v>1694</v>
      </c>
      <c r="Q32" s="1348">
        <f t="shared" si="11"/>
        <v>111</v>
      </c>
      <c r="R32" s="705" t="s">
        <v>14</v>
      </c>
      <c r="S32" s="706">
        <f t="shared" si="12"/>
        <v>100</v>
      </c>
      <c r="T32" s="705" t="s">
        <v>14</v>
      </c>
      <c r="U32" s="706">
        <f t="shared" si="13"/>
        <v>100</v>
      </c>
      <c r="V32" s="705" t="s">
        <v>14</v>
      </c>
      <c r="W32" s="706">
        <f t="shared" si="14"/>
        <v>100</v>
      </c>
      <c r="X32" s="1351"/>
      <c r="Y32" s="3724" t="s">
        <v>1694</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24"/>
      <c r="Q33" s="1348">
        <f t="shared" si="11"/>
        <v>111</v>
      </c>
      <c r="R33" s="705" t="s">
        <v>14</v>
      </c>
      <c r="S33" s="706">
        <f t="shared" si="12"/>
        <v>100</v>
      </c>
      <c r="T33" s="705" t="s">
        <v>14</v>
      </c>
      <c r="U33" s="706">
        <f t="shared" si="13"/>
        <v>100</v>
      </c>
      <c r="V33" s="705" t="s">
        <v>14</v>
      </c>
      <c r="W33" s="706">
        <f t="shared" si="14"/>
        <v>100</v>
      </c>
      <c r="X33" s="1351"/>
      <c r="Y33" s="3724"/>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724"/>
      <c r="Q34" s="1348">
        <f t="shared" si="11"/>
        <v>111</v>
      </c>
      <c r="R34" s="705" t="s">
        <v>14</v>
      </c>
      <c r="S34" s="706">
        <f t="shared" si="12"/>
        <v>100</v>
      </c>
      <c r="T34" s="705" t="s">
        <v>14</v>
      </c>
      <c r="U34" s="706">
        <f t="shared" si="13"/>
        <v>100</v>
      </c>
      <c r="V34" s="705" t="s">
        <v>14</v>
      </c>
      <c r="W34" s="706">
        <f t="shared" si="14"/>
        <v>100</v>
      </c>
      <c r="X34" s="1351"/>
      <c r="Y34" s="3724"/>
      <c r="Z34" s="1352">
        <f t="shared" si="15"/>
        <v>111</v>
      </c>
      <c r="AA34" s="1349">
        <f t="shared" si="3"/>
        <v>1</v>
      </c>
      <c r="AB34" s="1349">
        <f t="shared" si="4"/>
        <v>1</v>
      </c>
      <c r="AC34" s="1349">
        <f t="shared" si="5"/>
        <v>1</v>
      </c>
    </row>
    <row r="35" spans="1:30" ht="15">
      <c r="A35" s="430" t="s">
        <v>1706</v>
      </c>
      <c r="B35" s="431"/>
      <c r="C35" s="1150" t="s">
        <v>0</v>
      </c>
      <c r="D35" s="1151"/>
      <c r="E35" s="1152"/>
      <c r="F35" s="1153"/>
      <c r="G35" s="1154"/>
      <c r="H35" s="1155"/>
      <c r="I35" s="1152"/>
      <c r="J35" s="1155"/>
      <c r="K35" s="714"/>
      <c r="L35" s="2717"/>
      <c r="M35" s="2718"/>
      <c r="N35" s="2709"/>
      <c r="O35" s="2718"/>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75" thickBot="1">
      <c r="A36" s="437" t="s">
        <v>1791</v>
      </c>
      <c r="B36" s="438"/>
      <c r="C36" s="1156" t="e">
        <f>R37</f>
        <v>#DIV/0!</v>
      </c>
      <c r="D36" s="2313" t="s">
        <v>2136</v>
      </c>
      <c r="E36" s="1157" t="e">
        <f>R36</f>
        <v>#DIV/0!</v>
      </c>
      <c r="F36" s="2314"/>
      <c r="G36" s="1156" t="e">
        <f>T36</f>
        <v>#DIV/0!</v>
      </c>
      <c r="H36" s="2314"/>
      <c r="I36" s="1157" t="e">
        <f>V36</f>
        <v>#DIV/0!</v>
      </c>
      <c r="J36" s="2314"/>
      <c r="K36" s="2316">
        <f>F36+H36+J36</f>
        <v>0</v>
      </c>
      <c r="L36" s="2717"/>
      <c r="M36" s="2718"/>
      <c r="N36" s="2709"/>
      <c r="O36" s="2718"/>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75" thickBot="1">
      <c r="A37" s="441" t="s">
        <v>1792</v>
      </c>
      <c r="B37" s="442"/>
      <c r="C37" s="1159" t="e">
        <f>R37</f>
        <v>#DIV/0!</v>
      </c>
      <c r="D37" s="1159"/>
      <c r="E37" s="1159"/>
      <c r="F37" s="1159"/>
      <c r="G37" s="1159"/>
      <c r="H37" s="1159"/>
      <c r="I37" s="1159"/>
      <c r="J37" s="1159"/>
      <c r="K37" s="715"/>
      <c r="L37" s="2717"/>
      <c r="M37" s="2718"/>
      <c r="N37" s="2718"/>
      <c r="O37" s="2718"/>
      <c r="P37" s="3759" t="str">
        <f>A37</f>
        <v>估价对象XX用房的比较价值（楼面单价，元/平方米）</v>
      </c>
      <c r="Q37" s="3760"/>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0" t="str">
        <f>YEAR(C7)&amp;"-"&amp;MONTH(C7)</f>
        <v>2024-7</v>
      </c>
      <c r="D46" s="1181">
        <f>EDATE(C46,-1)</f>
        <v>45444</v>
      </c>
      <c r="E46" s="1181">
        <f t="shared" ref="E46:O46" si="16">EDATE(D46,-1)</f>
        <v>45413</v>
      </c>
      <c r="F46" s="1181">
        <f t="shared" si="16"/>
        <v>45383</v>
      </c>
      <c r="G46" s="1181">
        <f t="shared" si="16"/>
        <v>45352</v>
      </c>
      <c r="H46" s="1181">
        <f t="shared" si="16"/>
        <v>45323</v>
      </c>
      <c r="I46" s="1181">
        <f t="shared" si="16"/>
        <v>45292</v>
      </c>
      <c r="J46" s="1181">
        <f t="shared" si="16"/>
        <v>45261</v>
      </c>
      <c r="K46" s="1181">
        <f t="shared" si="16"/>
        <v>45231</v>
      </c>
      <c r="L46" s="1181">
        <f t="shared" si="16"/>
        <v>45200</v>
      </c>
      <c r="M46" s="1181">
        <f t="shared" si="16"/>
        <v>45170</v>
      </c>
      <c r="N46" s="1181">
        <f t="shared" si="16"/>
        <v>45139</v>
      </c>
      <c r="O46" s="1181">
        <f t="shared" si="16"/>
        <v>45108</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200" priority="18" stopIfTrue="1" operator="containsText" text="超过">
      <formula>NOT(ISERROR(SEARCH("超过",F40)))</formula>
    </cfRule>
  </conditionalFormatting>
  <conditionalFormatting sqref="J42">
    <cfRule type="containsText" dxfId="199" priority="17" stopIfTrue="1" operator="containsText" text="超过">
      <formula>NOT(ISERROR(SEARCH("超过",J42)))</formula>
    </cfRule>
  </conditionalFormatting>
  <conditionalFormatting sqref="H42">
    <cfRule type="containsText" dxfId="198" priority="16" stopIfTrue="1" operator="containsText" text="超过">
      <formula>NOT(ISERROR(SEARCH("超过",H42)))</formula>
    </cfRule>
  </conditionalFormatting>
  <conditionalFormatting sqref="F42">
    <cfRule type="containsText" dxfId="197" priority="15" stopIfTrue="1" operator="containsText" text="超过">
      <formula>NOT(ISERROR(SEARCH("超过",F42)))</formula>
    </cfRule>
  </conditionalFormatting>
  <conditionalFormatting sqref="F41 H41 J41">
    <cfRule type="containsText" dxfId="196" priority="14" stopIfTrue="1" operator="containsText" text="超过">
      <formula>NOT(ISERROR(SEARCH("超过",F41)))</formula>
    </cfRule>
  </conditionalFormatting>
  <conditionalFormatting sqref="E40">
    <cfRule type="expression" dxfId="195" priority="13" stopIfTrue="1">
      <formula>$F$40="超过30%"</formula>
    </cfRule>
  </conditionalFormatting>
  <conditionalFormatting sqref="G42">
    <cfRule type="expression" dxfId="194" priority="12" stopIfTrue="1">
      <formula>$H$54+$H$42="超过30%"</formula>
    </cfRule>
  </conditionalFormatting>
  <conditionalFormatting sqref="E41">
    <cfRule type="expression" dxfId="193" priority="11" stopIfTrue="1">
      <formula>$F$41="超过20%"</formula>
    </cfRule>
  </conditionalFormatting>
  <conditionalFormatting sqref="E42">
    <cfRule type="expression" dxfId="192" priority="10" stopIfTrue="1">
      <formula>$F$42="超过30%"</formula>
    </cfRule>
  </conditionalFormatting>
  <conditionalFormatting sqref="G40">
    <cfRule type="expression" dxfId="191" priority="9" stopIfTrue="1">
      <formula>$H$52+$H$40="超过30%"</formula>
    </cfRule>
  </conditionalFormatting>
  <conditionalFormatting sqref="G41">
    <cfRule type="expression" dxfId="190" priority="8" stopIfTrue="1">
      <formula>$H$53+$H$41="超过20%"</formula>
    </cfRule>
  </conditionalFormatting>
  <conditionalFormatting sqref="I40">
    <cfRule type="expression" dxfId="189" priority="7" stopIfTrue="1">
      <formula>$J$40="超过30%"</formula>
    </cfRule>
  </conditionalFormatting>
  <conditionalFormatting sqref="I41">
    <cfRule type="expression" dxfId="188" priority="6" stopIfTrue="1">
      <formula>$J$41="超过20%"</formula>
    </cfRule>
  </conditionalFormatting>
  <conditionalFormatting sqref="I42">
    <cfRule type="expression" dxfId="187" priority="5" stopIfTrue="1">
      <formula>$J$42="超过30%"</formula>
    </cfRule>
  </conditionalFormatting>
  <conditionalFormatting sqref="F36">
    <cfRule type="expression" dxfId="186" priority="4">
      <formula>$D$36="简单平均"</formula>
    </cfRule>
  </conditionalFormatting>
  <conditionalFormatting sqref="H36">
    <cfRule type="expression" dxfId="185" priority="3">
      <formula>$D$36="简单平均"</formula>
    </cfRule>
  </conditionalFormatting>
  <conditionalFormatting sqref="J36">
    <cfRule type="expression" dxfId="184" priority="2">
      <formula>$D$36="简单平均"</formula>
    </cfRule>
  </conditionalFormatting>
  <conditionalFormatting sqref="F7:F34 H7:H34 J7:J34">
    <cfRule type="cellIs" dxfId="18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3"/>
      <c r="D2" s="903"/>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30"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30"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30"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30" s="108" customFormat="1" ht="15.75" thickBot="1">
      <c r="A7" s="362" t="s">
        <v>1677</v>
      </c>
      <c r="B7" s="363"/>
      <c r="C7" s="364">
        <f>'数据-取费表'!B2</f>
        <v>45485</v>
      </c>
      <c r="D7" s="365">
        <v>100</v>
      </c>
      <c r="E7" s="366"/>
      <c r="F7" s="367">
        <f>SUMIF(69:69,YEAR(E7)&amp;"-"&amp;INT((MONTH(E7)+2)/3),70:70)</f>
        <v>0</v>
      </c>
      <c r="G7" s="1970"/>
      <c r="H7" s="365">
        <f>SUMIF(69:69,YEAR(G7)&amp;"-"&amp;INT((MONTH(G7)+2)/3),70:70)</f>
        <v>0</v>
      </c>
      <c r="I7" s="1970"/>
      <c r="J7" s="365">
        <f>SUMIF(69:69,YEAR(I7)&amp;"-"&amp;INT((MONTH(I7)+2)/3),70:70)</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83" t="s">
        <v>1681</v>
      </c>
      <c r="Q8" s="3684"/>
      <c r="R8" s="701" t="s">
        <v>14</v>
      </c>
      <c r="S8" s="702">
        <f t="shared" si="0"/>
        <v>0</v>
      </c>
      <c r="T8" s="701" t="s">
        <v>14</v>
      </c>
      <c r="U8" s="702">
        <f t="shared" si="1"/>
        <v>0</v>
      </c>
      <c r="V8" s="701" t="s">
        <v>14</v>
      </c>
      <c r="W8" s="702">
        <f t="shared" si="2"/>
        <v>0</v>
      </c>
      <c r="X8" s="703"/>
      <c r="Y8" s="3683" t="s">
        <v>1681</v>
      </c>
      <c r="Z8" s="3684"/>
      <c r="AA8" s="704" t="e">
        <f t="shared" ref="AA8:AA45" si="3">D8/F8</f>
        <v>#DIV/0!</v>
      </c>
      <c r="AB8" s="704" t="e">
        <f t="shared" ref="AB8:AB45" si="4">D8/H8</f>
        <v>#DIV/0!</v>
      </c>
      <c r="AC8" s="704"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60"/>
      <c r="L9" s="2710"/>
      <c r="M9" s="2711"/>
      <c r="N9" s="2711"/>
      <c r="O9" s="2765"/>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123</v>
      </c>
      <c r="G10" s="414"/>
      <c r="H10" s="127">
        <f>ROUND(100/'数据-取费表'!G16,0)</f>
        <v>123</v>
      </c>
      <c r="I10" s="414"/>
      <c r="J10" s="127">
        <f>ROUND(100/'数据-取费表'!G16,0)</f>
        <v>123</v>
      </c>
      <c r="K10" s="620"/>
      <c r="L10" s="2712"/>
      <c r="M10" s="2713"/>
      <c r="N10" s="2713"/>
      <c r="O10" s="2766"/>
      <c r="P10" s="3726"/>
      <c r="Q10" s="1339" t="str">
        <f t="shared" si="6"/>
        <v>土地使用年限（年）</v>
      </c>
      <c r="R10" s="701" t="s">
        <v>14</v>
      </c>
      <c r="S10" s="702">
        <f t="shared" si="0"/>
        <v>123</v>
      </c>
      <c r="T10" s="701" t="s">
        <v>14</v>
      </c>
      <c r="U10" s="702">
        <f t="shared" si="1"/>
        <v>123</v>
      </c>
      <c r="V10" s="701" t="s">
        <v>14</v>
      </c>
      <c r="W10" s="702">
        <f t="shared" si="2"/>
        <v>123</v>
      </c>
      <c r="X10" s="703"/>
      <c r="Y10" s="3648"/>
      <c r="Z10" s="52" t="str">
        <f t="shared" si="7"/>
        <v>土地使用年限（年）</v>
      </c>
      <c r="AA10" s="704">
        <f t="shared" si="3"/>
        <v>0.81300813008130079</v>
      </c>
      <c r="AB10" s="704">
        <f t="shared" si="4"/>
        <v>0.81300813008130079</v>
      </c>
      <c r="AC10" s="704">
        <f t="shared" si="5"/>
        <v>0.81300813008130079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26"/>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26"/>
      <c r="Q12" s="1339" t="str">
        <f t="shared" si="6"/>
        <v>配建</v>
      </c>
      <c r="R12" s="701" t="s">
        <v>14</v>
      </c>
      <c r="S12" s="702">
        <f t="shared" si="0"/>
        <v>100</v>
      </c>
      <c r="T12" s="701" t="s">
        <v>14</v>
      </c>
      <c r="U12" s="702">
        <f t="shared" si="1"/>
        <v>100</v>
      </c>
      <c r="V12" s="701" t="s">
        <v>14</v>
      </c>
      <c r="W12" s="702">
        <f t="shared" si="2"/>
        <v>100</v>
      </c>
      <c r="X12" s="703"/>
      <c r="Y12" s="3648"/>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D14/F14</f>
        <v>1</v>
      </c>
      <c r="AB14" s="704">
        <f>D14/H14</f>
        <v>1</v>
      </c>
      <c r="AC14" s="704">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19" t="s">
        <v>1689</v>
      </c>
      <c r="Q15" s="1348" t="str">
        <f t="shared" si="6"/>
        <v>居住社区成熟度</v>
      </c>
      <c r="R15" s="705" t="s">
        <v>14</v>
      </c>
      <c r="S15" s="706">
        <f t="shared" si="0"/>
        <v>100</v>
      </c>
      <c r="T15" s="705" t="s">
        <v>14</v>
      </c>
      <c r="U15" s="706">
        <f t="shared" si="1"/>
        <v>100</v>
      </c>
      <c r="V15" s="705" t="s">
        <v>14</v>
      </c>
      <c r="W15" s="706">
        <f t="shared" si="2"/>
        <v>100</v>
      </c>
      <c r="X15" s="1351"/>
      <c r="Y15" s="3719"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720"/>
      <c r="Q16" s="1348"/>
      <c r="R16" s="705"/>
      <c r="S16" s="706"/>
      <c r="T16" s="705"/>
      <c r="U16" s="706"/>
      <c r="V16" s="705"/>
      <c r="W16" s="706"/>
      <c r="X16" s="1351"/>
      <c r="Y16" s="3720"/>
      <c r="Z16" s="1352"/>
      <c r="AA16" s="1349">
        <v>1</v>
      </c>
      <c r="AB16" s="1349">
        <v>1</v>
      </c>
      <c r="AC16" s="1349">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20"/>
      <c r="Q17" s="1348" t="str">
        <f>B17</f>
        <v>商业繁华度</v>
      </c>
      <c r="R17" s="705" t="s">
        <v>14</v>
      </c>
      <c r="S17" s="706">
        <f>F17</f>
        <v>100</v>
      </c>
      <c r="T17" s="705" t="s">
        <v>14</v>
      </c>
      <c r="U17" s="706">
        <f>H17</f>
        <v>100</v>
      </c>
      <c r="V17" s="705" t="s">
        <v>14</v>
      </c>
      <c r="W17" s="706">
        <f>J17</f>
        <v>100</v>
      </c>
      <c r="X17" s="1351"/>
      <c r="Y17" s="372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720"/>
      <c r="Q18" s="1348"/>
      <c r="R18" s="705"/>
      <c r="S18" s="706"/>
      <c r="T18" s="705"/>
      <c r="U18" s="706"/>
      <c r="V18" s="705"/>
      <c r="W18" s="706"/>
      <c r="X18" s="1351"/>
      <c r="Y18" s="3720"/>
      <c r="Z18" s="1352"/>
      <c r="AA18" s="1349">
        <v>1</v>
      </c>
      <c r="AB18" s="1349">
        <v>1</v>
      </c>
      <c r="AC18" s="1349">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20"/>
      <c r="Q19" s="1348" t="str">
        <f>B19</f>
        <v>办公集聚程度</v>
      </c>
      <c r="R19" s="705" t="s">
        <v>14</v>
      </c>
      <c r="S19" s="706">
        <f>F19</f>
        <v>100</v>
      </c>
      <c r="T19" s="705" t="s">
        <v>14</v>
      </c>
      <c r="U19" s="706">
        <f>H19</f>
        <v>100</v>
      </c>
      <c r="V19" s="705" t="s">
        <v>14</v>
      </c>
      <c r="W19" s="706">
        <f>J19</f>
        <v>100</v>
      </c>
      <c r="X19" s="1351"/>
      <c r="Y19" s="372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720"/>
      <c r="Q20" s="1348"/>
      <c r="R20" s="705"/>
      <c r="S20" s="706"/>
      <c r="T20" s="705"/>
      <c r="U20" s="706"/>
      <c r="V20" s="705"/>
      <c r="W20" s="706"/>
      <c r="X20" s="1351"/>
      <c r="Y20" s="3720"/>
      <c r="Z20" s="1352"/>
      <c r="AA20" s="1349">
        <v>1</v>
      </c>
      <c r="AB20" s="1349">
        <v>1</v>
      </c>
      <c r="AC20" s="1349">
        <v>1</v>
      </c>
    </row>
    <row r="21" spans="1:29" ht="15">
      <c r="A21" s="379"/>
      <c r="B21" s="402" t="s">
        <v>1831</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20"/>
      <c r="Q21" s="1348" t="str">
        <f>B21</f>
        <v>交通便捷度</v>
      </c>
      <c r="R21" s="705" t="s">
        <v>14</v>
      </c>
      <c r="S21" s="706">
        <f>F21</f>
        <v>100</v>
      </c>
      <c r="T21" s="705" t="s">
        <v>14</v>
      </c>
      <c r="U21" s="706">
        <f>H21</f>
        <v>100</v>
      </c>
      <c r="V21" s="705" t="s">
        <v>14</v>
      </c>
      <c r="W21" s="706">
        <f>J21</f>
        <v>100</v>
      </c>
      <c r="X21" s="1351"/>
      <c r="Y21" s="3720"/>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720"/>
      <c r="Q22" s="1348"/>
      <c r="R22" s="705"/>
      <c r="S22" s="706"/>
      <c r="T22" s="705"/>
      <c r="U22" s="706"/>
      <c r="V22" s="705"/>
      <c r="W22" s="706"/>
      <c r="X22" s="1351"/>
      <c r="Y22" s="3720"/>
      <c r="Z22" s="1352"/>
      <c r="AA22" s="1349">
        <v>1</v>
      </c>
      <c r="AB22" s="1349">
        <v>1</v>
      </c>
      <c r="AC22" s="1349">
        <v>1</v>
      </c>
    </row>
    <row r="23" spans="1:29" ht="15">
      <c r="A23" s="358"/>
      <c r="B23" s="402" t="s">
        <v>1869</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20"/>
      <c r="Q23" s="1348" t="str">
        <f t="shared" ref="Q23:Q37" si="8">B23</f>
        <v>区域土地利用方向</v>
      </c>
      <c r="R23" s="705" t="s">
        <v>14</v>
      </c>
      <c r="S23" s="706">
        <f>F23</f>
        <v>100</v>
      </c>
      <c r="T23" s="705" t="s">
        <v>14</v>
      </c>
      <c r="U23" s="706">
        <f>H23</f>
        <v>100</v>
      </c>
      <c r="V23" s="705" t="s">
        <v>14</v>
      </c>
      <c r="W23" s="706">
        <f>J23</f>
        <v>100</v>
      </c>
      <c r="X23" s="1351"/>
      <c r="Y23" s="3720"/>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5"/>
      <c r="M24" s="2709"/>
      <c r="N24" s="2709"/>
      <c r="O24" s="2767"/>
      <c r="P24" s="3720"/>
      <c r="Q24" s="1348"/>
      <c r="R24" s="705"/>
      <c r="S24" s="706"/>
      <c r="T24" s="705"/>
      <c r="U24" s="706"/>
      <c r="V24" s="705"/>
      <c r="W24" s="706"/>
      <c r="X24" s="1351"/>
      <c r="Y24" s="3720"/>
      <c r="Z24" s="1352"/>
      <c r="AA24" s="1349"/>
      <c r="AB24" s="1349"/>
      <c r="AC24" s="1349"/>
    </row>
    <row r="25" spans="1:29" ht="27">
      <c r="A25" s="358"/>
      <c r="B25" s="1127"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20"/>
      <c r="Q25" s="1348" t="str">
        <f t="shared" si="8"/>
        <v>自然及人文环境状况</v>
      </c>
      <c r="R25" s="705" t="s">
        <v>14</v>
      </c>
      <c r="S25" s="706">
        <f>F25</f>
        <v>100</v>
      </c>
      <c r="T25" s="705" t="s">
        <v>14</v>
      </c>
      <c r="U25" s="706">
        <f>H25</f>
        <v>100</v>
      </c>
      <c r="V25" s="705" t="s">
        <v>14</v>
      </c>
      <c r="W25" s="706">
        <f>J25</f>
        <v>100</v>
      </c>
      <c r="X25" s="1351"/>
      <c r="Y25" s="372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720"/>
      <c r="Q26" s="1348"/>
      <c r="R26" s="705"/>
      <c r="S26" s="706"/>
      <c r="T26" s="705"/>
      <c r="U26" s="706"/>
      <c r="V26" s="705"/>
      <c r="W26" s="706"/>
      <c r="X26" s="1351"/>
      <c r="Y26" s="3720"/>
      <c r="Z26" s="1352"/>
      <c r="AA26" s="1349">
        <v>1</v>
      </c>
      <c r="AB26" s="1349">
        <v>1</v>
      </c>
      <c r="AC26" s="1349">
        <v>1</v>
      </c>
    </row>
    <row r="27" spans="1:29" s="108" customFormat="1" ht="15">
      <c r="A27" s="597"/>
      <c r="B27" s="1127" t="s">
        <v>1776</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20"/>
      <c r="Q27" s="1339" t="str">
        <f t="shared" si="8"/>
        <v>公共配套设施</v>
      </c>
      <c r="R27" s="701" t="s">
        <v>14</v>
      </c>
      <c r="S27" s="702">
        <f>F27</f>
        <v>100</v>
      </c>
      <c r="T27" s="701" t="s">
        <v>14</v>
      </c>
      <c r="U27" s="702">
        <f>H27</f>
        <v>100</v>
      </c>
      <c r="V27" s="701" t="s">
        <v>14</v>
      </c>
      <c r="W27" s="702">
        <f>J27</f>
        <v>100</v>
      </c>
      <c r="X27" s="703"/>
      <c r="Y27" s="3720"/>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0"/>
      <c r="M28" s="2711"/>
      <c r="N28" s="2711"/>
      <c r="O28" s="2765"/>
      <c r="P28" s="3720"/>
      <c r="Q28" s="1339"/>
      <c r="R28" s="701"/>
      <c r="S28" s="702"/>
      <c r="T28" s="701"/>
      <c r="U28" s="702"/>
      <c r="V28" s="701"/>
      <c r="W28" s="702"/>
      <c r="X28" s="703"/>
      <c r="Y28" s="3720"/>
      <c r="Z28" s="52"/>
      <c r="AA28" s="1349">
        <v>1</v>
      </c>
      <c r="AB28" s="1349">
        <v>1</v>
      </c>
      <c r="AC28" s="1349">
        <v>1</v>
      </c>
    </row>
    <row r="29" spans="1:29" s="108" customFormat="1" ht="15">
      <c r="A29" s="597"/>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20"/>
      <c r="Q29" s="1339" t="str">
        <f t="shared" ref="Q29" si="9">B29</f>
        <v>基础设施水平</v>
      </c>
      <c r="R29" s="701" t="s">
        <v>14</v>
      </c>
      <c r="S29" s="702">
        <f>F29</f>
        <v>100</v>
      </c>
      <c r="T29" s="701" t="s">
        <v>14</v>
      </c>
      <c r="U29" s="702">
        <f>H29</f>
        <v>100</v>
      </c>
      <c r="V29" s="701" t="s">
        <v>14</v>
      </c>
      <c r="W29" s="702">
        <f>J29</f>
        <v>100</v>
      </c>
      <c r="X29" s="703"/>
      <c r="Y29" s="3720"/>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0"/>
      <c r="M30" s="2711"/>
      <c r="N30" s="2711"/>
      <c r="O30" s="2765"/>
      <c r="P30" s="3720"/>
      <c r="Q30" s="1339"/>
      <c r="R30" s="701"/>
      <c r="S30" s="702"/>
      <c r="T30" s="701"/>
      <c r="U30" s="702"/>
      <c r="V30" s="701"/>
      <c r="W30" s="702"/>
      <c r="X30" s="703"/>
      <c r="Y30" s="3720"/>
      <c r="Z30" s="52"/>
      <c r="AA30" s="1349">
        <v>1</v>
      </c>
      <c r="AB30" s="1349">
        <v>1</v>
      </c>
      <c r="AC30" s="1349">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20"/>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20"/>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20"/>
      <c r="Q32" s="1348" t="str">
        <f t="shared" si="8"/>
        <v>毗邻道路的类型与等级</v>
      </c>
      <c r="R32" s="705" t="s">
        <v>14</v>
      </c>
      <c r="S32" s="706">
        <f t="shared" si="10"/>
        <v>100</v>
      </c>
      <c r="T32" s="705" t="s">
        <v>14</v>
      </c>
      <c r="U32" s="706">
        <f t="shared" si="11"/>
        <v>100</v>
      </c>
      <c r="V32" s="705" t="s">
        <v>14</v>
      </c>
      <c r="W32" s="706">
        <f t="shared" si="12"/>
        <v>100</v>
      </c>
      <c r="X32" s="1351"/>
      <c r="Y32" s="372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720"/>
      <c r="Q33" s="1348"/>
      <c r="R33" s="705"/>
      <c r="S33" s="706"/>
      <c r="T33" s="705"/>
      <c r="U33" s="706"/>
      <c r="V33" s="705"/>
      <c r="W33" s="706"/>
      <c r="X33" s="1351"/>
      <c r="Y33" s="3720"/>
      <c r="Z33" s="1352"/>
      <c r="AA33" s="1349">
        <v>1</v>
      </c>
      <c r="AB33" s="1349">
        <v>1</v>
      </c>
      <c r="AC33" s="1349">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20"/>
      <c r="Q34" s="1348" t="str">
        <f t="shared" si="8"/>
        <v>土地级别</v>
      </c>
      <c r="R34" s="705" t="s">
        <v>14</v>
      </c>
      <c r="S34" s="706">
        <f t="shared" si="10"/>
        <v>100</v>
      </c>
      <c r="T34" s="705" t="s">
        <v>14</v>
      </c>
      <c r="U34" s="706">
        <f t="shared" si="11"/>
        <v>100</v>
      </c>
      <c r="V34" s="705" t="s">
        <v>14</v>
      </c>
      <c r="W34" s="706">
        <f t="shared" si="12"/>
        <v>100</v>
      </c>
      <c r="X34" s="1351"/>
      <c r="Y34" s="3720"/>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20"/>
      <c r="Q35" s="1348">
        <f t="shared" si="8"/>
        <v>111</v>
      </c>
      <c r="R35" s="705" t="s">
        <v>14</v>
      </c>
      <c r="S35" s="706">
        <f t="shared" si="10"/>
        <v>100</v>
      </c>
      <c r="T35" s="705" t="s">
        <v>14</v>
      </c>
      <c r="U35" s="706">
        <f t="shared" si="11"/>
        <v>100</v>
      </c>
      <c r="V35" s="705" t="s">
        <v>14</v>
      </c>
      <c r="W35" s="706">
        <f t="shared" si="12"/>
        <v>100</v>
      </c>
      <c r="X35" s="1351"/>
      <c r="Y35" s="3720"/>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2" t="s">
        <v>1694</v>
      </c>
      <c r="Q36" s="1348">
        <f t="shared" si="8"/>
        <v>111</v>
      </c>
      <c r="R36" s="705" t="s">
        <v>14</v>
      </c>
      <c r="S36" s="706">
        <f t="shared" si="10"/>
        <v>100</v>
      </c>
      <c r="T36" s="705" t="s">
        <v>14</v>
      </c>
      <c r="U36" s="706">
        <f t="shared" si="11"/>
        <v>100</v>
      </c>
      <c r="V36" s="705" t="s">
        <v>14</v>
      </c>
      <c r="W36" s="706">
        <f t="shared" si="12"/>
        <v>100</v>
      </c>
      <c r="X36" s="1351"/>
      <c r="Y36" s="3724" t="s">
        <v>1694</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24"/>
      <c r="Q37" s="1348">
        <f t="shared" si="8"/>
        <v>111</v>
      </c>
      <c r="R37" s="708" t="s">
        <v>14</v>
      </c>
      <c r="S37" s="709">
        <f t="shared" si="10"/>
        <v>100</v>
      </c>
      <c r="T37" s="708" t="s">
        <v>14</v>
      </c>
      <c r="U37" s="709">
        <f t="shared" si="11"/>
        <v>100</v>
      </c>
      <c r="V37" s="708" t="s">
        <v>14</v>
      </c>
      <c r="W37" s="709">
        <f t="shared" si="12"/>
        <v>100</v>
      </c>
      <c r="X37" s="710"/>
      <c r="Y37" s="3724"/>
      <c r="Z37" s="711">
        <f t="shared" si="13"/>
        <v>111</v>
      </c>
      <c r="AA37" s="1349">
        <f t="shared" si="3"/>
        <v>1</v>
      </c>
      <c r="AB37" s="1349">
        <f t="shared" si="4"/>
        <v>1</v>
      </c>
      <c r="AC37" s="1349">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24"/>
      <c r="Q38" s="1348" t="str">
        <f>B38</f>
        <v>宗地面积</v>
      </c>
      <c r="R38" s="705" t="s">
        <v>14</v>
      </c>
      <c r="S38" s="706" t="e">
        <f t="shared" si="10"/>
        <v>#N/A</v>
      </c>
      <c r="T38" s="705" t="s">
        <v>14</v>
      </c>
      <c r="U38" s="706" t="e">
        <f t="shared" si="11"/>
        <v>#N/A</v>
      </c>
      <c r="V38" s="705" t="s">
        <v>14</v>
      </c>
      <c r="W38" s="706" t="e">
        <f t="shared" si="12"/>
        <v>#N/A</v>
      </c>
      <c r="X38" s="1351"/>
      <c r="Y38" s="3724"/>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724"/>
      <c r="Q39" s="1348" t="str">
        <f t="shared" ref="Q39:Q45" si="14">B39</f>
        <v>宗地形状</v>
      </c>
      <c r="R39" s="705" t="s">
        <v>14</v>
      </c>
      <c r="S39" s="706">
        <f t="shared" si="10"/>
        <v>100</v>
      </c>
      <c r="T39" s="705" t="s">
        <v>14</v>
      </c>
      <c r="U39" s="706">
        <f t="shared" si="11"/>
        <v>100</v>
      </c>
      <c r="V39" s="705" t="s">
        <v>14</v>
      </c>
      <c r="W39" s="706">
        <f t="shared" si="12"/>
        <v>100</v>
      </c>
      <c r="X39" s="1351"/>
      <c r="Y39" s="3724"/>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724"/>
      <c r="Q40" s="1348" t="str">
        <f t="shared" si="14"/>
        <v>临街宽度及深度</v>
      </c>
      <c r="R40" s="705" t="s">
        <v>14</v>
      </c>
      <c r="S40" s="706">
        <f t="shared" si="10"/>
        <v>100</v>
      </c>
      <c r="T40" s="705" t="s">
        <v>14</v>
      </c>
      <c r="U40" s="706">
        <f t="shared" si="11"/>
        <v>100</v>
      </c>
      <c r="V40" s="705" t="s">
        <v>14</v>
      </c>
      <c r="W40" s="706">
        <f t="shared" si="12"/>
        <v>100</v>
      </c>
      <c r="X40" s="1351"/>
      <c r="Y40" s="3724"/>
      <c r="Z40" s="1352" t="str">
        <f t="shared" si="13"/>
        <v>临街宽度及深度</v>
      </c>
      <c r="AA40" s="1349">
        <f t="shared" si="3"/>
        <v>1</v>
      </c>
      <c r="AB40" s="1349">
        <f t="shared" si="4"/>
        <v>1</v>
      </c>
      <c r="AC40" s="1349">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724"/>
      <c r="Q41" s="1348"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724" t="s">
        <v>1694</v>
      </c>
      <c r="Q42" s="1348" t="str">
        <f t="shared" si="14"/>
        <v>工程地质条件</v>
      </c>
      <c r="R42" s="705" t="s">
        <v>14</v>
      </c>
      <c r="S42" s="706">
        <f t="shared" si="10"/>
        <v>100</v>
      </c>
      <c r="T42" s="705" t="s">
        <v>14</v>
      </c>
      <c r="U42" s="706">
        <f t="shared" si="11"/>
        <v>100</v>
      </c>
      <c r="V42" s="705" t="s">
        <v>14</v>
      </c>
      <c r="W42" s="706">
        <f t="shared" si="12"/>
        <v>100</v>
      </c>
      <c r="X42" s="1351"/>
      <c r="Y42" s="3724" t="s">
        <v>1694</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24"/>
      <c r="Q43" s="1348">
        <f t="shared" si="14"/>
        <v>111</v>
      </c>
      <c r="R43" s="705" t="s">
        <v>14</v>
      </c>
      <c r="S43" s="706">
        <f t="shared" si="10"/>
        <v>100</v>
      </c>
      <c r="T43" s="705" t="s">
        <v>14</v>
      </c>
      <c r="U43" s="706">
        <f t="shared" si="11"/>
        <v>100</v>
      </c>
      <c r="V43" s="705" t="s">
        <v>14</v>
      </c>
      <c r="W43" s="706">
        <f t="shared" si="12"/>
        <v>100</v>
      </c>
      <c r="X43" s="1351"/>
      <c r="Y43" s="3724"/>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24"/>
      <c r="Q44" s="1348">
        <f t="shared" si="14"/>
        <v>111</v>
      </c>
      <c r="R44" s="705" t="s">
        <v>14</v>
      </c>
      <c r="S44" s="706">
        <f t="shared" si="10"/>
        <v>100</v>
      </c>
      <c r="T44" s="705" t="s">
        <v>14</v>
      </c>
      <c r="U44" s="706">
        <f t="shared" si="11"/>
        <v>100</v>
      </c>
      <c r="V44" s="705" t="s">
        <v>14</v>
      </c>
      <c r="W44" s="706">
        <f t="shared" si="12"/>
        <v>100</v>
      </c>
      <c r="X44" s="1351"/>
      <c r="Y44" s="3724"/>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24"/>
      <c r="Q45" s="1348">
        <f t="shared" si="14"/>
        <v>111</v>
      </c>
      <c r="R45" s="708" t="s">
        <v>14</v>
      </c>
      <c r="S45" s="709">
        <f t="shared" si="10"/>
        <v>100</v>
      </c>
      <c r="T45" s="708" t="s">
        <v>14</v>
      </c>
      <c r="U45" s="709">
        <f t="shared" si="11"/>
        <v>100</v>
      </c>
      <c r="V45" s="708" t="s">
        <v>14</v>
      </c>
      <c r="W45" s="709">
        <f t="shared" si="12"/>
        <v>100</v>
      </c>
      <c r="X45" s="710"/>
      <c r="Y45" s="3724"/>
      <c r="Z45" s="711">
        <f t="shared" si="13"/>
        <v>111</v>
      </c>
      <c r="AA45" s="1349">
        <f t="shared" si="3"/>
        <v>1</v>
      </c>
      <c r="AB45" s="1349">
        <f t="shared" si="4"/>
        <v>1</v>
      </c>
      <c r="AC45" s="1349">
        <f t="shared" si="5"/>
        <v>1</v>
      </c>
    </row>
    <row r="46" spans="1:29" ht="15">
      <c r="A46" s="430" t="s">
        <v>1842</v>
      </c>
      <c r="B46" s="1978" t="s">
        <v>1877</v>
      </c>
      <c r="C46" s="630" t="s">
        <v>0</v>
      </c>
      <c r="D46" s="432"/>
      <c r="E46" s="433"/>
      <c r="F46" s="434"/>
      <c r="G46" s="435"/>
      <c r="H46" s="436"/>
      <c r="I46" s="433"/>
      <c r="J46" s="436"/>
      <c r="K46" s="714"/>
      <c r="L46" s="2717"/>
      <c r="M46" s="2718"/>
      <c r="N46" s="2709"/>
      <c r="O46" s="2718"/>
      <c r="P46" s="3726" t="str">
        <f>A46</f>
        <v>成交单价</v>
      </c>
      <c r="Q46" s="3726"/>
      <c r="R46" s="3714">
        <f>E46</f>
        <v>0</v>
      </c>
      <c r="S46" s="3714"/>
      <c r="T46" s="3714">
        <f>G46</f>
        <v>0</v>
      </c>
      <c r="U46" s="3714"/>
      <c r="V46" s="3714">
        <f>I46</f>
        <v>0</v>
      </c>
      <c r="W46" s="3714"/>
      <c r="X46" s="690"/>
      <c r="Y46" s="712"/>
      <c r="Z46" s="690"/>
      <c r="AA46" s="690"/>
      <c r="AB46" s="690"/>
      <c r="AC46" s="690"/>
    </row>
    <row r="47" spans="1:29" ht="15.75" thickBot="1">
      <c r="A47" s="437" t="s">
        <v>1791</v>
      </c>
      <c r="B47" s="631"/>
      <c r="C47" s="440" t="e">
        <f>R48</f>
        <v>#DIV/0!</v>
      </c>
      <c r="D47" s="2313" t="s">
        <v>2136</v>
      </c>
      <c r="E47" s="440" t="e">
        <f>R47</f>
        <v>#DIV/0!</v>
      </c>
      <c r="F47" s="2314"/>
      <c r="G47" s="439" t="e">
        <f>T47</f>
        <v>#DIV/0!</v>
      </c>
      <c r="H47" s="2314"/>
      <c r="I47" s="440" t="e">
        <f>V47</f>
        <v>#DIV/0!</v>
      </c>
      <c r="J47" s="2314"/>
      <c r="K47" s="2316">
        <f>F47+H47+J47</f>
        <v>0</v>
      </c>
      <c r="L47" s="2717"/>
      <c r="M47" s="2718"/>
      <c r="N47" s="2718"/>
      <c r="O47" s="2718"/>
      <c r="P47" s="3726" t="str">
        <f>A47</f>
        <v>比较价值（元/平方米）</v>
      </c>
      <c r="Q47" s="3726"/>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7"/>
      <c r="M48" s="2718"/>
      <c r="N48" s="2718"/>
      <c r="O48" s="2718"/>
      <c r="P48" s="3759" t="str">
        <f>A48</f>
        <v>估价对象XX用房的比较价值（楼面单价，元/平方米）</v>
      </c>
      <c r="Q48" s="3760"/>
      <c r="R48" s="3765" t="e">
        <f>ROUND(IF(D47="简单平均",AVERAGE(R47:W47),R47*F47+T47*H47+V47*J47),0)</f>
        <v>#DIV/0!</v>
      </c>
      <c r="S48" s="3765"/>
      <c r="T48" s="3765"/>
      <c r="U48" s="3765"/>
      <c r="V48" s="3765"/>
      <c r="W48" s="3765"/>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79" t="s">
        <v>1881</v>
      </c>
      <c r="D55" s="1980" t="s">
        <v>1882</v>
      </c>
      <c r="E55" s="634" t="s">
        <v>1883</v>
      </c>
      <c r="F55" s="886" t="s">
        <v>1884</v>
      </c>
      <c r="G55" s="3701" t="s">
        <v>1885</v>
      </c>
      <c r="H55" s="3766"/>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0">
        <v>1</v>
      </c>
      <c r="E56" s="638">
        <f>'数据-汇总表'!E8+'数据-汇总表'!E9</f>
        <v>971.86</v>
      </c>
      <c r="F56" s="882" t="e">
        <f t="shared" ref="F56:F64" si="15">ROUND(B56*E56/10000,0)</f>
        <v>#DIV/0!</v>
      </c>
      <c r="G56" s="3697"/>
      <c r="H56" s="3726"/>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1">
        <v>0.25</v>
      </c>
      <c r="E57" s="642"/>
      <c r="F57" s="882" t="e">
        <f t="shared" si="15"/>
        <v>#DIV/0!</v>
      </c>
      <c r="G57" s="2999" t="s">
        <v>1890</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1">
        <v>0.25</v>
      </c>
      <c r="E58" s="642"/>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1">
        <v>0.25</v>
      </c>
      <c r="E59" s="642"/>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0.25</v>
      </c>
      <c r="D60" s="941">
        <v>0.25</v>
      </c>
      <c r="E60" s="217">
        <f>'数据-汇总表'!E11</f>
        <v>0</v>
      </c>
      <c r="F60" s="882" t="e">
        <f t="shared" si="15"/>
        <v>#DIV/0!</v>
      </c>
      <c r="G60" s="1983" t="s">
        <v>1894</v>
      </c>
      <c r="H60" s="883" t="str">
        <f>项目基本情况!C37</f>
        <v>四级</v>
      </c>
      <c r="I60" s="887">
        <f>SUMIF(修正!A57:A68,H60,修正!E57:E68)</f>
        <v>0.25</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0.25</v>
      </c>
      <c r="D61" s="941">
        <v>0.25</v>
      </c>
      <c r="E61" s="217">
        <f>'数据-汇总表'!E12</f>
        <v>0</v>
      </c>
      <c r="F61" s="882" t="e">
        <f t="shared" si="15"/>
        <v>#DIV/0!</v>
      </c>
      <c r="G61" s="888" t="s">
        <v>1896</v>
      </c>
      <c r="H61" s="883" t="str">
        <f>IF(G61="商业",项目基本情况!B37,IF(G61="办公",项目基本情况!C37,IF(G61="住宅",项目基本情况!D37,项目基本情况!E37)))</f>
        <v>四级</v>
      </c>
      <c r="I61" s="887">
        <f>SUMIF(修正!A57:A68,H61,修正!F57:F68)</f>
        <v>0.25</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1">
        <v>0.25</v>
      </c>
      <c r="E63" s="217">
        <f>'数据-汇总表'!E14</f>
        <v>0</v>
      </c>
      <c r="F63" s="882" t="e">
        <f t="shared" si="15"/>
        <v>#DIV/0!</v>
      </c>
      <c r="G63" s="1983" t="s">
        <v>1890</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0.15</v>
      </c>
      <c r="D64" s="941">
        <v>0.25</v>
      </c>
      <c r="E64" s="217">
        <f>'数据-汇总表'!E15</f>
        <v>0</v>
      </c>
      <c r="F64" s="882" t="e">
        <f t="shared" si="15"/>
        <v>#DIV/0!</v>
      </c>
      <c r="G64" s="1984" t="s">
        <v>1894</v>
      </c>
      <c r="H64" s="893" t="str">
        <f>项目基本情况!C37</f>
        <v>四级</v>
      </c>
      <c r="I64" s="889">
        <f>SUMIF(修正!A57:A68,H64,修正!G57:G68)</f>
        <v>0.15</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971.86</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7" customFormat="1" ht="15">
      <c r="A69" s="1985" t="s">
        <v>1902</v>
      </c>
      <c r="B69" s="1105"/>
      <c r="C69" s="1178" t="str">
        <f>YEAR(C67)&amp;"-"&amp;ROUNDUP(MONTH(C67)/3,0)</f>
        <v>2024-3</v>
      </c>
      <c r="D69" s="1178" t="str">
        <f>YEAR(D67)&amp;"-"&amp;ROUNDUP(MONTH(D67)/3,0)</f>
        <v>2024-2</v>
      </c>
      <c r="E69" s="1178" t="str">
        <f t="shared" ref="E69:O69" si="19">YEAR(E67)&amp;"-"&amp;ROUNDUP(MONTH(E67)/3,0)</f>
        <v>2024-1</v>
      </c>
      <c r="F69" s="1178" t="str">
        <f t="shared" si="19"/>
        <v>2023-4</v>
      </c>
      <c r="G69" s="1178" t="str">
        <f t="shared" si="19"/>
        <v>2023-3</v>
      </c>
      <c r="H69" s="1178" t="str">
        <f t="shared" si="19"/>
        <v>2023-2</v>
      </c>
      <c r="I69" s="1178" t="str">
        <f t="shared" si="19"/>
        <v>2023-1</v>
      </c>
      <c r="J69" s="1178" t="str">
        <f t="shared" si="19"/>
        <v>2022-4</v>
      </c>
      <c r="K69" s="1178" t="str">
        <f t="shared" si="19"/>
        <v>2022-3</v>
      </c>
      <c r="L69" s="1178" t="str">
        <f t="shared" si="19"/>
        <v>2022-2</v>
      </c>
      <c r="M69" s="1178" t="str">
        <f t="shared" si="19"/>
        <v>2022-1</v>
      </c>
      <c r="N69" s="1178" t="str">
        <f t="shared" si="19"/>
        <v>2021-4</v>
      </c>
      <c r="O69" s="1178" t="str">
        <f t="shared" si="19"/>
        <v>2021-3</v>
      </c>
      <c r="P69" s="2769"/>
      <c r="Q69" s="2734"/>
      <c r="R69" s="2734"/>
      <c r="S69" s="2734"/>
      <c r="T69" s="2734"/>
      <c r="U69" s="2734"/>
      <c r="V69" s="2734"/>
      <c r="W69" s="2734"/>
      <c r="X69" s="2734"/>
      <c r="Y69" s="2734"/>
      <c r="Z69" s="2734"/>
      <c r="AA69" s="2734"/>
      <c r="AB69" s="2734"/>
      <c r="AC69" s="2734"/>
    </row>
    <row r="70" spans="1:29" s="108" customFormat="1" ht="30" customHeight="1">
      <c r="A70" s="1986"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39"/>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4"/>
      <c r="D2" s="904"/>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767" t="s">
        <v>1917</v>
      </c>
      <c r="D6" s="3768"/>
      <c r="E6" s="3769" t="s">
        <v>1917</v>
      </c>
      <c r="F6" s="3770"/>
      <c r="G6" s="3767" t="s">
        <v>1917</v>
      </c>
      <c r="H6" s="3768"/>
      <c r="I6" s="3767" t="s">
        <v>1917</v>
      </c>
      <c r="J6" s="3768"/>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83" t="s">
        <v>1681</v>
      </c>
      <c r="Q8" s="3684"/>
      <c r="R8" s="701" t="s">
        <v>14</v>
      </c>
      <c r="S8" s="702">
        <f t="shared" si="0"/>
        <v>0</v>
      </c>
      <c r="T8" s="701" t="s">
        <v>14</v>
      </c>
      <c r="U8" s="702">
        <f t="shared" si="1"/>
        <v>0</v>
      </c>
      <c r="V8" s="701" t="s">
        <v>14</v>
      </c>
      <c r="W8" s="702">
        <f t="shared" si="2"/>
        <v>0</v>
      </c>
      <c r="X8" s="703"/>
      <c r="Y8" s="3683" t="s">
        <v>1681</v>
      </c>
      <c r="Z8" s="3684"/>
      <c r="AA8" s="704" t="e">
        <f t="shared" ref="AA8:AA40" si="3">D8/F8</f>
        <v>#DIV/0!</v>
      </c>
      <c r="AB8" s="704" t="e">
        <f t="shared" ref="AB8:AB40" si="4">D8/H8</f>
        <v>#DIV/0!</v>
      </c>
      <c r="AC8" s="704"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123</v>
      </c>
      <c r="G10" s="383"/>
      <c r="H10" s="127">
        <f>ROUND(100/'数据-取费表'!G16,0)</f>
        <v>123</v>
      </c>
      <c r="I10" s="383"/>
      <c r="J10" s="127">
        <f>ROUND(100/'数据-取费表'!G16,0)</f>
        <v>123</v>
      </c>
      <c r="K10" s="620"/>
      <c r="L10" s="2712"/>
      <c r="M10" s="2713"/>
      <c r="N10" s="2713"/>
      <c r="O10" s="2766"/>
      <c r="P10" s="3726"/>
      <c r="Q10" s="1339" t="str">
        <f t="shared" si="6"/>
        <v>土地使用年限（年）</v>
      </c>
      <c r="R10" s="701" t="s">
        <v>14</v>
      </c>
      <c r="S10" s="702">
        <f t="shared" si="0"/>
        <v>123</v>
      </c>
      <c r="T10" s="701" t="s">
        <v>14</v>
      </c>
      <c r="U10" s="702">
        <f t="shared" si="1"/>
        <v>123</v>
      </c>
      <c r="V10" s="701" t="s">
        <v>14</v>
      </c>
      <c r="W10" s="702">
        <f t="shared" si="2"/>
        <v>123</v>
      </c>
      <c r="X10" s="703"/>
      <c r="Y10" s="3648"/>
      <c r="Z10" s="52" t="str">
        <f t="shared" si="7"/>
        <v>土地使用年限（年）</v>
      </c>
      <c r="AA10" s="704">
        <f t="shared" si="3"/>
        <v>0.81300813008130079</v>
      </c>
      <c r="AB10" s="704">
        <f t="shared" si="4"/>
        <v>0.81300813008130079</v>
      </c>
      <c r="AC10" s="704">
        <f t="shared" si="5"/>
        <v>0.81300813008130079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26"/>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1688</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19" t="s">
        <v>1689</v>
      </c>
      <c r="Q15" s="1348" t="str">
        <f t="shared" si="6"/>
        <v>产业集聚程度</v>
      </c>
      <c r="R15" s="705" t="s">
        <v>14</v>
      </c>
      <c r="S15" s="706">
        <f t="shared" si="0"/>
        <v>100</v>
      </c>
      <c r="T15" s="705" t="s">
        <v>14</v>
      </c>
      <c r="U15" s="706">
        <f t="shared" si="1"/>
        <v>100</v>
      </c>
      <c r="V15" s="705" t="s">
        <v>14</v>
      </c>
      <c r="W15" s="706">
        <f t="shared" si="2"/>
        <v>100</v>
      </c>
      <c r="X15" s="1351"/>
      <c r="Y15" s="3719" t="s">
        <v>1689</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720"/>
      <c r="Q16" s="1348"/>
      <c r="R16" s="705"/>
      <c r="S16" s="706"/>
      <c r="T16" s="705"/>
      <c r="U16" s="706"/>
      <c r="V16" s="705"/>
      <c r="W16" s="706"/>
      <c r="X16" s="1351"/>
      <c r="Y16" s="3720"/>
      <c r="Z16" s="1352"/>
      <c r="AA16" s="1349">
        <v>1</v>
      </c>
      <c r="AB16" s="1349">
        <v>1</v>
      </c>
      <c r="AC16" s="1349">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20"/>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720"/>
      <c r="Q18" s="1348"/>
      <c r="R18" s="705"/>
      <c r="S18" s="706"/>
      <c r="T18" s="705"/>
      <c r="U18" s="706"/>
      <c r="V18" s="705"/>
      <c r="W18" s="706"/>
      <c r="X18" s="1351"/>
      <c r="Y18" s="3720"/>
      <c r="Z18" s="1352"/>
      <c r="AA18" s="1349">
        <v>1</v>
      </c>
      <c r="AB18" s="1349">
        <v>1</v>
      </c>
      <c r="AC18" s="1349">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20"/>
      <c r="Q19" s="1348" t="str">
        <f t="shared" ref="Q19:Q33" si="8">B19</f>
        <v>区域土地利用方向</v>
      </c>
      <c r="R19" s="705" t="s">
        <v>14</v>
      </c>
      <c r="S19" s="706">
        <f>F19</f>
        <v>100</v>
      </c>
      <c r="T19" s="705" t="s">
        <v>14</v>
      </c>
      <c r="U19" s="706">
        <f>H19</f>
        <v>100</v>
      </c>
      <c r="V19" s="705" t="s">
        <v>14</v>
      </c>
      <c r="W19" s="706">
        <f>J19</f>
        <v>100</v>
      </c>
      <c r="X19" s="1351"/>
      <c r="Y19" s="3720"/>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5"/>
      <c r="M20" s="2709"/>
      <c r="N20" s="2709"/>
      <c r="O20" s="2767"/>
      <c r="P20" s="3720"/>
      <c r="Q20" s="1348"/>
      <c r="R20" s="705"/>
      <c r="S20" s="706"/>
      <c r="T20" s="705"/>
      <c r="U20" s="706"/>
      <c r="V20" s="705"/>
      <c r="W20" s="706"/>
      <c r="X20" s="1351"/>
      <c r="Y20" s="3720"/>
      <c r="Z20" s="1352"/>
      <c r="AA20" s="1349"/>
      <c r="AB20" s="1349"/>
      <c r="AC20" s="1349"/>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20"/>
      <c r="Q21" s="1348" t="str">
        <f t="shared" si="8"/>
        <v>环境状况</v>
      </c>
      <c r="R21" s="705" t="s">
        <v>14</v>
      </c>
      <c r="S21" s="706">
        <f>F21</f>
        <v>100</v>
      </c>
      <c r="T21" s="705" t="s">
        <v>14</v>
      </c>
      <c r="U21" s="706">
        <f>H21</f>
        <v>100</v>
      </c>
      <c r="V21" s="705" t="s">
        <v>14</v>
      </c>
      <c r="W21" s="706">
        <f>J21</f>
        <v>100</v>
      </c>
      <c r="X21" s="1351"/>
      <c r="Y21" s="3720"/>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720"/>
      <c r="Q22" s="1348"/>
      <c r="R22" s="705"/>
      <c r="S22" s="706"/>
      <c r="T22" s="705"/>
      <c r="U22" s="706"/>
      <c r="V22" s="705"/>
      <c r="W22" s="706"/>
      <c r="X22" s="1351"/>
      <c r="Y22" s="3720"/>
      <c r="Z22" s="1352"/>
      <c r="AA22" s="1349">
        <v>1</v>
      </c>
      <c r="AB22" s="1349">
        <v>1</v>
      </c>
      <c r="AC22" s="1349">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20"/>
      <c r="Q23" s="1339" t="str">
        <f t="shared" si="8"/>
        <v>公共配套设施</v>
      </c>
      <c r="R23" s="701" t="s">
        <v>14</v>
      </c>
      <c r="S23" s="702">
        <f>F23</f>
        <v>100</v>
      </c>
      <c r="T23" s="701" t="s">
        <v>14</v>
      </c>
      <c r="U23" s="702">
        <f>H23</f>
        <v>100</v>
      </c>
      <c r="V23" s="701" t="s">
        <v>14</v>
      </c>
      <c r="W23" s="702">
        <f>J23</f>
        <v>100</v>
      </c>
      <c r="X23" s="703"/>
      <c r="Y23" s="3720"/>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0"/>
      <c r="M24" s="2711"/>
      <c r="N24" s="2711"/>
      <c r="O24" s="2765"/>
      <c r="P24" s="3720"/>
      <c r="Q24" s="1339"/>
      <c r="R24" s="701"/>
      <c r="S24" s="702"/>
      <c r="T24" s="701"/>
      <c r="U24" s="702"/>
      <c r="V24" s="701"/>
      <c r="W24" s="702"/>
      <c r="X24" s="703"/>
      <c r="Y24" s="3720"/>
      <c r="Z24" s="52"/>
      <c r="AA24" s="704">
        <v>1</v>
      </c>
      <c r="AB24" s="704">
        <v>1</v>
      </c>
      <c r="AC24" s="704">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20"/>
      <c r="Q25" s="1339" t="str">
        <f t="shared" ref="Q25" si="9">B25</f>
        <v>基础设施水平</v>
      </c>
      <c r="R25" s="701" t="s">
        <v>14</v>
      </c>
      <c r="S25" s="702">
        <f>F25</f>
        <v>100</v>
      </c>
      <c r="T25" s="701" t="s">
        <v>14</v>
      </c>
      <c r="U25" s="702">
        <f>H25</f>
        <v>100</v>
      </c>
      <c r="V25" s="701" t="s">
        <v>14</v>
      </c>
      <c r="W25" s="702">
        <f>J25</f>
        <v>100</v>
      </c>
      <c r="X25" s="703"/>
      <c r="Y25" s="3720"/>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0"/>
      <c r="M26" s="2711"/>
      <c r="N26" s="2711"/>
      <c r="O26" s="2765"/>
      <c r="P26" s="3720"/>
      <c r="Q26" s="1339"/>
      <c r="R26" s="701"/>
      <c r="S26" s="702"/>
      <c r="T26" s="701"/>
      <c r="U26" s="702"/>
      <c r="V26" s="701"/>
      <c r="W26" s="702"/>
      <c r="X26" s="703"/>
      <c r="Y26" s="3720"/>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20"/>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20"/>
      <c r="Z27" s="1352" t="str">
        <f t="shared" ref="Z27:Z40" si="13">Q27</f>
        <v>临街状况</v>
      </c>
      <c r="AA27" s="1349">
        <f t="shared" si="3"/>
        <v>1</v>
      </c>
      <c r="AB27" s="1349">
        <f t="shared" si="4"/>
        <v>1</v>
      </c>
      <c r="AC27" s="1349">
        <f t="shared" si="5"/>
        <v>1</v>
      </c>
    </row>
    <row r="28" spans="1:29" ht="27">
      <c r="A28" s="379"/>
      <c r="B28" s="581"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20"/>
      <c r="Q28" s="1348" t="str">
        <f t="shared" si="8"/>
        <v>毗邻道路的类型与等级</v>
      </c>
      <c r="R28" s="705" t="s">
        <v>14</v>
      </c>
      <c r="S28" s="706">
        <f t="shared" si="10"/>
        <v>100</v>
      </c>
      <c r="T28" s="705" t="s">
        <v>14</v>
      </c>
      <c r="U28" s="706">
        <f t="shared" si="11"/>
        <v>100</v>
      </c>
      <c r="V28" s="705" t="s">
        <v>14</v>
      </c>
      <c r="W28" s="706">
        <f t="shared" si="12"/>
        <v>100</v>
      </c>
      <c r="X28" s="1351"/>
      <c r="Y28" s="3720"/>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720"/>
      <c r="Q29" s="1348"/>
      <c r="R29" s="705"/>
      <c r="S29" s="706"/>
      <c r="T29" s="705"/>
      <c r="U29" s="706"/>
      <c r="V29" s="705"/>
      <c r="W29" s="706"/>
      <c r="X29" s="1351"/>
      <c r="Y29" s="3720"/>
      <c r="Z29" s="1352"/>
      <c r="AA29" s="1349">
        <v>1</v>
      </c>
      <c r="AB29" s="1349">
        <v>1</v>
      </c>
      <c r="AC29" s="1349">
        <v>1</v>
      </c>
    </row>
    <row r="30" spans="1:29" ht="15">
      <c r="A30" s="379"/>
      <c r="B30" s="602" t="s">
        <v>1871</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20"/>
      <c r="Q30" s="1348" t="str">
        <f t="shared" si="8"/>
        <v>土地级别</v>
      </c>
      <c r="R30" s="705" t="s">
        <v>14</v>
      </c>
      <c r="S30" s="706">
        <f t="shared" si="10"/>
        <v>100</v>
      </c>
      <c r="T30" s="705" t="s">
        <v>14</v>
      </c>
      <c r="U30" s="706">
        <f t="shared" si="11"/>
        <v>100</v>
      </c>
      <c r="V30" s="705" t="s">
        <v>14</v>
      </c>
      <c r="W30" s="706">
        <f t="shared" si="12"/>
        <v>100</v>
      </c>
      <c r="X30" s="1351"/>
      <c r="Y30" s="3720"/>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20"/>
      <c r="Q31" s="1348">
        <f t="shared" si="8"/>
        <v>111</v>
      </c>
      <c r="R31" s="705" t="s">
        <v>14</v>
      </c>
      <c r="S31" s="706">
        <f t="shared" si="10"/>
        <v>100</v>
      </c>
      <c r="T31" s="705" t="s">
        <v>14</v>
      </c>
      <c r="U31" s="706">
        <f t="shared" si="11"/>
        <v>100</v>
      </c>
      <c r="V31" s="705" t="s">
        <v>14</v>
      </c>
      <c r="W31" s="706">
        <f t="shared" si="12"/>
        <v>100</v>
      </c>
      <c r="X31" s="1351"/>
      <c r="Y31" s="3720"/>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2" t="s">
        <v>1694</v>
      </c>
      <c r="Q32" s="1348">
        <f t="shared" si="8"/>
        <v>111</v>
      </c>
      <c r="R32" s="705" t="s">
        <v>14</v>
      </c>
      <c r="S32" s="706">
        <f t="shared" si="10"/>
        <v>100</v>
      </c>
      <c r="T32" s="705" t="s">
        <v>14</v>
      </c>
      <c r="U32" s="706">
        <f t="shared" si="11"/>
        <v>100</v>
      </c>
      <c r="V32" s="705" t="s">
        <v>14</v>
      </c>
      <c r="W32" s="706">
        <f t="shared" si="12"/>
        <v>100</v>
      </c>
      <c r="X32" s="1351"/>
      <c r="Y32" s="3724" t="s">
        <v>1694</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24"/>
      <c r="Q33" s="1348">
        <f t="shared" si="8"/>
        <v>111</v>
      </c>
      <c r="R33" s="708" t="s">
        <v>14</v>
      </c>
      <c r="S33" s="709">
        <f t="shared" si="10"/>
        <v>100</v>
      </c>
      <c r="T33" s="708" t="s">
        <v>14</v>
      </c>
      <c r="U33" s="709">
        <f t="shared" si="11"/>
        <v>100</v>
      </c>
      <c r="V33" s="708" t="s">
        <v>14</v>
      </c>
      <c r="W33" s="709">
        <f t="shared" si="12"/>
        <v>100</v>
      </c>
      <c r="X33" s="710"/>
      <c r="Y33" s="3724"/>
      <c r="Z33" s="711">
        <f t="shared" si="13"/>
        <v>111</v>
      </c>
      <c r="AA33" s="1349">
        <f t="shared" si="3"/>
        <v>1</v>
      </c>
      <c r="AB33" s="1349">
        <f t="shared" si="4"/>
        <v>1</v>
      </c>
      <c r="AC33" s="1349">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24"/>
      <c r="Q34" s="1348" t="str">
        <f>B34</f>
        <v>宗地面积</v>
      </c>
      <c r="R34" s="705" t="s">
        <v>14</v>
      </c>
      <c r="S34" s="706" t="e">
        <f t="shared" si="10"/>
        <v>#N/A</v>
      </c>
      <c r="T34" s="705" t="s">
        <v>14</v>
      </c>
      <c r="U34" s="706" t="e">
        <f t="shared" si="11"/>
        <v>#N/A</v>
      </c>
      <c r="V34" s="705" t="s">
        <v>14</v>
      </c>
      <c r="W34" s="706" t="e">
        <f t="shared" si="12"/>
        <v>#N/A</v>
      </c>
      <c r="X34" s="1351"/>
      <c r="Y34" s="3724"/>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724"/>
      <c r="Q35" s="1348" t="str">
        <f t="shared" ref="Q35:Q40" si="14">B35</f>
        <v>宗地形状</v>
      </c>
      <c r="R35" s="705" t="s">
        <v>14</v>
      </c>
      <c r="S35" s="706">
        <f t="shared" si="10"/>
        <v>100</v>
      </c>
      <c r="T35" s="705" t="s">
        <v>14</v>
      </c>
      <c r="U35" s="706">
        <f t="shared" si="11"/>
        <v>100</v>
      </c>
      <c r="V35" s="705" t="s">
        <v>14</v>
      </c>
      <c r="W35" s="706">
        <f t="shared" si="12"/>
        <v>100</v>
      </c>
      <c r="X35" s="1351"/>
      <c r="Y35" s="3724"/>
      <c r="Z35" s="1352" t="str">
        <f t="shared" si="13"/>
        <v>宗地形状</v>
      </c>
      <c r="AA35" s="1349">
        <f t="shared" si="3"/>
        <v>1</v>
      </c>
      <c r="AB35" s="1349">
        <f t="shared" si="4"/>
        <v>1</v>
      </c>
      <c r="AC35" s="1349">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724"/>
      <c r="Q36" s="1348"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724" t="s">
        <v>1694</v>
      </c>
      <c r="Q37" s="1348" t="str">
        <f t="shared" si="14"/>
        <v>工程地质条件</v>
      </c>
      <c r="R37" s="705" t="s">
        <v>14</v>
      </c>
      <c r="S37" s="706">
        <f t="shared" si="10"/>
        <v>100</v>
      </c>
      <c r="T37" s="705" t="s">
        <v>14</v>
      </c>
      <c r="U37" s="706">
        <f t="shared" si="11"/>
        <v>100</v>
      </c>
      <c r="V37" s="705" t="s">
        <v>14</v>
      </c>
      <c r="W37" s="706">
        <f t="shared" si="12"/>
        <v>100</v>
      </c>
      <c r="X37" s="1351"/>
      <c r="Y37" s="3724" t="s">
        <v>1694</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24"/>
      <c r="Q38" s="1348">
        <f t="shared" si="14"/>
        <v>111</v>
      </c>
      <c r="R38" s="705" t="s">
        <v>14</v>
      </c>
      <c r="S38" s="706">
        <f t="shared" si="10"/>
        <v>100</v>
      </c>
      <c r="T38" s="705" t="s">
        <v>14</v>
      </c>
      <c r="U38" s="706">
        <f t="shared" si="11"/>
        <v>100</v>
      </c>
      <c r="V38" s="705" t="s">
        <v>14</v>
      </c>
      <c r="W38" s="706">
        <f t="shared" si="12"/>
        <v>100</v>
      </c>
      <c r="X38" s="1351"/>
      <c r="Y38" s="3724"/>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24"/>
      <c r="Q39" s="1348">
        <f t="shared" si="14"/>
        <v>111</v>
      </c>
      <c r="R39" s="705" t="s">
        <v>14</v>
      </c>
      <c r="S39" s="706">
        <f t="shared" si="10"/>
        <v>100</v>
      </c>
      <c r="T39" s="705" t="s">
        <v>14</v>
      </c>
      <c r="U39" s="706">
        <f t="shared" si="11"/>
        <v>100</v>
      </c>
      <c r="V39" s="705" t="s">
        <v>14</v>
      </c>
      <c r="W39" s="706">
        <f t="shared" si="12"/>
        <v>100</v>
      </c>
      <c r="X39" s="1351"/>
      <c r="Y39" s="3724"/>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24"/>
      <c r="Q40" s="1348">
        <f t="shared" si="14"/>
        <v>111</v>
      </c>
      <c r="R40" s="708" t="s">
        <v>14</v>
      </c>
      <c r="S40" s="709">
        <f t="shared" si="10"/>
        <v>100</v>
      </c>
      <c r="T40" s="708" t="s">
        <v>14</v>
      </c>
      <c r="U40" s="709">
        <f t="shared" si="11"/>
        <v>100</v>
      </c>
      <c r="V40" s="708" t="s">
        <v>14</v>
      </c>
      <c r="W40" s="709">
        <f t="shared" si="12"/>
        <v>100</v>
      </c>
      <c r="X40" s="710"/>
      <c r="Y40" s="3724"/>
      <c r="Z40" s="711">
        <f t="shared" si="13"/>
        <v>111</v>
      </c>
      <c r="AA40" s="1349">
        <f t="shared" si="3"/>
        <v>1</v>
      </c>
      <c r="AB40" s="1349">
        <f t="shared" si="4"/>
        <v>1</v>
      </c>
      <c r="AC40" s="1349">
        <f t="shared" si="5"/>
        <v>1</v>
      </c>
    </row>
    <row r="41" spans="1:31" ht="15">
      <c r="A41" s="430" t="s">
        <v>1842</v>
      </c>
      <c r="B41" s="1978" t="s">
        <v>1920</v>
      </c>
      <c r="C41" s="630" t="s">
        <v>0</v>
      </c>
      <c r="D41" s="432"/>
      <c r="E41" s="433"/>
      <c r="F41" s="434"/>
      <c r="G41" s="435"/>
      <c r="H41" s="436"/>
      <c r="I41" s="433"/>
      <c r="J41" s="436"/>
      <c r="K41" s="714"/>
      <c r="L41" s="2717"/>
      <c r="M41" s="2709"/>
      <c r="N41" s="2709"/>
      <c r="O41" s="2718"/>
      <c r="P41" s="3726" t="str">
        <f>A41</f>
        <v>成交单价</v>
      </c>
      <c r="Q41" s="3726"/>
      <c r="R41" s="3714">
        <f>E41</f>
        <v>0</v>
      </c>
      <c r="S41" s="3714"/>
      <c r="T41" s="3714">
        <f>G41</f>
        <v>0</v>
      </c>
      <c r="U41" s="3714"/>
      <c r="V41" s="3714">
        <f>I41</f>
        <v>0</v>
      </c>
      <c r="W41" s="3714"/>
      <c r="X41" s="690"/>
      <c r="Y41" s="712"/>
      <c r="Z41" s="690"/>
      <c r="AA41" s="690"/>
      <c r="AB41" s="690"/>
      <c r="AC41" s="690"/>
    </row>
    <row r="42" spans="1:31" ht="15.75" thickBot="1">
      <c r="A42" s="437" t="s">
        <v>1791</v>
      </c>
      <c r="B42" s="631"/>
      <c r="C42" s="440" t="e">
        <f>R43</f>
        <v>#DIV/0!</v>
      </c>
      <c r="D42" s="2313" t="s">
        <v>2136</v>
      </c>
      <c r="E42" s="440" t="e">
        <f>R42</f>
        <v>#DIV/0!</v>
      </c>
      <c r="F42" s="2314"/>
      <c r="G42" s="439" t="e">
        <f>T42</f>
        <v>#DIV/0!</v>
      </c>
      <c r="H42" s="2314"/>
      <c r="I42" s="440" t="e">
        <f>V42</f>
        <v>#DIV/0!</v>
      </c>
      <c r="J42" s="2314"/>
      <c r="K42" s="2316">
        <f>F42+H42+J42</f>
        <v>0</v>
      </c>
      <c r="L42" s="2717"/>
      <c r="M42" s="2709"/>
      <c r="N42" s="2709"/>
      <c r="O42" s="2718"/>
      <c r="P42" s="3726" t="str">
        <f>A42</f>
        <v>比较价值（元/平方米）</v>
      </c>
      <c r="Q42" s="3726"/>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59" t="str">
        <f>A43</f>
        <v>估价对象XX用房的比较价值（楼面单价，元/平方米）</v>
      </c>
      <c r="Q43" s="3760"/>
      <c r="R43" s="3765" t="e">
        <f>ROUND(IF(D42="简单平均",AVERAGE(R42:W42),R42*F42+T42*H42+V42*J42),0)</f>
        <v>#DIV/0!</v>
      </c>
      <c r="S43" s="3765"/>
      <c r="T43" s="3765"/>
      <c r="U43" s="3765"/>
      <c r="V43" s="3765"/>
      <c r="W43" s="3765"/>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79" t="s">
        <v>1881</v>
      </c>
      <c r="D50" s="1980" t="s">
        <v>1882</v>
      </c>
      <c r="E50" s="634" t="s">
        <v>1883</v>
      </c>
      <c r="F50" s="635" t="s">
        <v>1884</v>
      </c>
      <c r="G50" s="3701" t="s">
        <v>1885</v>
      </c>
      <c r="H50" s="3766"/>
      <c r="I50" s="1352" t="s">
        <v>1921</v>
      </c>
      <c r="J50" s="1352">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0">
        <v>1</v>
      </c>
      <c r="E51" s="638">
        <f>'数据-汇总表'!E8+'数据-汇总表'!E9</f>
        <v>971.86</v>
      </c>
      <c r="F51" s="639" t="e">
        <f t="shared" ref="F51:F60" si="15">ROUND(B51*E51/10000,0)</f>
        <v>#DIV/0!</v>
      </c>
      <c r="G51" s="3697"/>
      <c r="H51" s="3726"/>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1">
        <v>0.25</v>
      </c>
      <c r="E52" s="642"/>
      <c r="F52" s="639" t="e">
        <f t="shared" si="15"/>
        <v>#DIV/0!</v>
      </c>
      <c r="G52" s="2999" t="s">
        <v>1890</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1">
        <v>0.25</v>
      </c>
      <c r="E53" s="642"/>
      <c r="F53" s="639" t="e">
        <f t="shared" si="15"/>
        <v>#DIV/0!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1">
        <v>0.25</v>
      </c>
      <c r="E54" s="642"/>
      <c r="F54" s="639" t="e">
        <f t="shared" si="15"/>
        <v>#DIV/0!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1"/>
      <c r="E55" s="642"/>
      <c r="F55" s="639"/>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1">
        <v>0.25</v>
      </c>
      <c r="E56" s="217">
        <f>'数据-汇总表'!E11</f>
        <v>0</v>
      </c>
      <c r="F56" s="639" t="e">
        <f t="shared" si="15"/>
        <v>#DIV/0!</v>
      </c>
      <c r="G56" s="1983" t="s">
        <v>1894</v>
      </c>
      <c r="H56" s="883" t="str">
        <f>项目基本情况!C37</f>
        <v>四级</v>
      </c>
      <c r="I56" s="769">
        <f>SUMIF(修正!A57:A68,H56,修正!E57:E68)</f>
        <v>0.25</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1">
        <v>0.25</v>
      </c>
      <c r="E57" s="217">
        <f>'数据-汇总表'!E12</f>
        <v>0</v>
      </c>
      <c r="F57" s="639" t="e">
        <f t="shared" si="15"/>
        <v>#DIV/0!</v>
      </c>
      <c r="G57" s="888" t="s">
        <v>1896</v>
      </c>
      <c r="H57" s="883" t="str">
        <f>IF(G57="商业",项目基本情况!B37,IF(G57="办公",项目基本情况!C37,IF(G57="住宅",项目基本情况!D37,项目基本情况!E37)))</f>
        <v>四级</v>
      </c>
      <c r="I57" s="769">
        <f>SUMIF(修正!A57:A68,H57,修正!F57:F68)</f>
        <v>0.25</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1">
        <v>0.25</v>
      </c>
      <c r="E58" s="217">
        <f>'数据-汇总表'!E13</f>
        <v>0</v>
      </c>
      <c r="F58" s="639" t="e">
        <f t="shared" si="15"/>
        <v>#DIV/0!</v>
      </c>
      <c r="G58" s="888" t="s">
        <v>1898</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1">
        <v>0.25</v>
      </c>
      <c r="E59" s="217">
        <f>'数据-汇总表'!E14</f>
        <v>0</v>
      </c>
      <c r="F59" s="639" t="e">
        <f t="shared" si="15"/>
        <v>#DIV/0!</v>
      </c>
      <c r="G59" s="1983" t="s">
        <v>1890</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1">
        <v>0.25</v>
      </c>
      <c r="E60" s="217">
        <f>'数据-汇总表'!E15</f>
        <v>0</v>
      </c>
      <c r="F60" s="639" t="e">
        <f t="shared" si="15"/>
        <v>#DIV/0!</v>
      </c>
      <c r="G60" s="1984" t="s">
        <v>1894</v>
      </c>
      <c r="H60" s="893" t="str">
        <f>项目基本情况!C37</f>
        <v>四级</v>
      </c>
      <c r="I60" s="769">
        <f>SUMIF(修正!A57:A68,H60,修正!G57:G68)</f>
        <v>0.15</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36"/>
      <c r="P64" s="2762"/>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5"/>
      <c r="C65" s="1178" t="str">
        <f>YEAR(C63)&amp;"-"&amp;ROUNDUP(MONTH(C63)/3,0)</f>
        <v>2024-3</v>
      </c>
      <c r="D65" s="1178" t="str">
        <f t="shared" ref="D65:O65" si="19">YEAR(D63)&amp;"-"&amp;ROUNDUP(MONTH(D63)/3,0)</f>
        <v>2024-2</v>
      </c>
      <c r="E65" s="1178" t="str">
        <f t="shared" si="19"/>
        <v>2024-1</v>
      </c>
      <c r="F65" s="1178" t="str">
        <f t="shared" si="19"/>
        <v>2023-4</v>
      </c>
      <c r="G65" s="1178" t="str">
        <f t="shared" si="19"/>
        <v>2023-3</v>
      </c>
      <c r="H65" s="1178" t="str">
        <f t="shared" si="19"/>
        <v>2023-2</v>
      </c>
      <c r="I65" s="1178" t="str">
        <f t="shared" si="19"/>
        <v>2023-1</v>
      </c>
      <c r="J65" s="1178" t="str">
        <f t="shared" si="19"/>
        <v>2022-4</v>
      </c>
      <c r="K65" s="1178" t="str">
        <f t="shared" si="19"/>
        <v>2022-3</v>
      </c>
      <c r="L65" s="1178" t="str">
        <f t="shared" si="19"/>
        <v>2022-2</v>
      </c>
      <c r="M65" s="1178" t="str">
        <f t="shared" si="19"/>
        <v>2022-1</v>
      </c>
      <c r="N65" s="1178" t="str">
        <f t="shared" si="19"/>
        <v>2021-4</v>
      </c>
      <c r="O65" s="1178" t="str">
        <f t="shared" si="19"/>
        <v>2021-3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4" priority="18" stopIfTrue="1" operator="containsText" text="超过">
      <formula>NOT(ISERROR(SEARCH("超过",F46)))</formula>
    </cfRule>
  </conditionalFormatting>
  <conditionalFormatting sqref="J48">
    <cfRule type="containsText" dxfId="163" priority="17" stopIfTrue="1" operator="containsText" text="超过">
      <formula>NOT(ISERROR(SEARCH("超过",J48)))</formula>
    </cfRule>
  </conditionalFormatting>
  <conditionalFormatting sqref="H48">
    <cfRule type="containsText" dxfId="162" priority="16" stopIfTrue="1" operator="containsText" text="超过">
      <formula>NOT(ISERROR(SEARCH("超过",H48)))</formula>
    </cfRule>
  </conditionalFormatting>
  <conditionalFormatting sqref="F48">
    <cfRule type="containsText" dxfId="161" priority="15" stopIfTrue="1" operator="containsText" text="超过">
      <formula>NOT(ISERROR(SEARCH("超过",F48)))</formula>
    </cfRule>
  </conditionalFormatting>
  <conditionalFormatting sqref="F47 H47 J47">
    <cfRule type="containsText" dxfId="160" priority="14" stopIfTrue="1" operator="containsText" text="超过">
      <formula>NOT(ISERROR(SEARCH("超过",F47)))</formula>
    </cfRule>
  </conditionalFormatting>
  <conditionalFormatting sqref="E46">
    <cfRule type="expression" dxfId="159" priority="13" stopIfTrue="1">
      <formula>$F$46="超过30%"</formula>
    </cfRule>
  </conditionalFormatting>
  <conditionalFormatting sqref="G48">
    <cfRule type="expression" dxfId="158" priority="12" stopIfTrue="1">
      <formula>$H$48="超过30%"</formula>
    </cfRule>
  </conditionalFormatting>
  <conditionalFormatting sqref="E48">
    <cfRule type="expression" dxfId="157" priority="10" stopIfTrue="1">
      <formula>$F$48="超过30%"</formula>
    </cfRule>
  </conditionalFormatting>
  <conditionalFormatting sqref="G46">
    <cfRule type="expression" dxfId="156" priority="9" stopIfTrue="1">
      <formula>$H$46="超过30%"</formula>
    </cfRule>
  </conditionalFormatting>
  <conditionalFormatting sqref="G47">
    <cfRule type="expression" dxfId="155" priority="8" stopIfTrue="1">
      <formula>$H$47="超过20%"</formula>
    </cfRule>
  </conditionalFormatting>
  <conditionalFormatting sqref="I46">
    <cfRule type="expression" dxfId="154" priority="7" stopIfTrue="1">
      <formula>$J$46="超过30%"</formula>
    </cfRule>
  </conditionalFormatting>
  <conditionalFormatting sqref="I47">
    <cfRule type="expression" dxfId="153" priority="6" stopIfTrue="1">
      <formula>$J$47="超过20%"</formula>
    </cfRule>
  </conditionalFormatting>
  <conditionalFormatting sqref="I48">
    <cfRule type="expression" dxfId="152" priority="5" stopIfTrue="1">
      <formula>$J$48="超过30%"</formula>
    </cfRule>
  </conditionalFormatting>
  <conditionalFormatting sqref="E47">
    <cfRule type="expression" dxfId="151" priority="53" stopIfTrue="1">
      <formula>#REF!+$F$47="超过20%"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3"/>
      <c r="C1" s="2143"/>
      <c r="D1" s="2143"/>
      <c r="E1" s="2143"/>
      <c r="F1" s="2786"/>
      <c r="G1" s="2786"/>
      <c r="H1" s="2786"/>
      <c r="I1" s="2786"/>
      <c r="J1" s="2786"/>
      <c r="K1" s="2786"/>
      <c r="L1" s="2786"/>
      <c r="M1" s="2786"/>
      <c r="N1" s="2786"/>
      <c r="O1" s="2786"/>
      <c r="P1" s="2786"/>
    </row>
    <row r="2" spans="1:16" ht="15.75">
      <c r="A2" s="2141" t="s">
        <v>2071</v>
      </c>
      <c r="B2" s="2595">
        <f ca="1">SUMIF(B6:B13,"&lt;&gt;#ref!",B6:B13)</f>
        <v>306</v>
      </c>
      <c r="C2" s="2141" t="s">
        <v>2072</v>
      </c>
      <c r="D2" s="2141" t="s">
        <v>2073</v>
      </c>
      <c r="E2" s="2605">
        <f ca="1">SUMIF(E6:E13,"&lt;&gt;#ref!",E6:E13)</f>
        <v>198.18</v>
      </c>
      <c r="F2" s="2786"/>
      <c r="G2" s="2786"/>
      <c r="H2" s="2786"/>
      <c r="I2" s="2786"/>
      <c r="J2" s="2786"/>
      <c r="K2" s="2786"/>
      <c r="L2" s="2786"/>
      <c r="M2" s="2786"/>
      <c r="N2" s="2786"/>
      <c r="O2" s="2786"/>
      <c r="P2" s="2786"/>
    </row>
    <row r="3" spans="1:16" ht="15.75">
      <c r="A3" s="2141" t="s">
        <v>2074</v>
      </c>
      <c r="B3" s="2595">
        <f ca="1">ROUND(B2*10000/E2,0)</f>
        <v>15441</v>
      </c>
      <c r="C3" s="2141"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2"/>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306</v>
      </c>
      <c r="C6" s="2141" t="s">
        <v>2072</v>
      </c>
      <c r="D6" s="2786"/>
      <c r="E6" s="2605">
        <f ca="1">SUMIF(INDIRECT("'"&amp;A6&amp;"'"&amp;"!C:C"),"建筑面积",INDIRECT("'"&amp;A6&amp;"'"&amp;"!D:D"))</f>
        <v>198.18</v>
      </c>
      <c r="F6" s="2786"/>
      <c r="G6" s="2786"/>
      <c r="H6" s="2786"/>
      <c r="I6" s="2786"/>
      <c r="J6" s="2786"/>
      <c r="K6" s="2786"/>
      <c r="L6" s="2786"/>
      <c r="M6" s="2786"/>
      <c r="N6" s="2786"/>
      <c r="O6" s="2786"/>
      <c r="P6" s="2786"/>
    </row>
    <row r="7" spans="1:16" ht="15.75">
      <c r="A7" s="2602"/>
      <c r="B7" s="2595" t="e">
        <f ca="1">SUMIF(INDIRECT("'"&amp;A7&amp;"'"&amp;"!A:A"),"总价",INDIRECT("'"&amp;A7&amp;"'"&amp;"!B:B"))</f>
        <v>#REF!</v>
      </c>
      <c r="C7" s="2141"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J22" sqref="J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t="s">
        <v>3471</v>
      </c>
      <c r="C1" s="1855" t="s">
        <v>1561</v>
      </c>
      <c r="D1" s="198"/>
      <c r="E1" s="198"/>
      <c r="F1" s="198"/>
      <c r="G1" s="1122">
        <f>MATCH(B1,'数据-取费表'!A6:A16,0)+5</f>
        <v>6</v>
      </c>
      <c r="H1" s="1057" t="str">
        <f>IF(ISERROR(FIND("住宅",B1)),"非住宅","住宅")</f>
        <v>非住宅</v>
      </c>
    </row>
    <row r="2" spans="1:8" s="200" customFormat="1" ht="18" customHeight="1">
      <c r="A2" s="201" t="s">
        <v>1460</v>
      </c>
      <c r="B2" s="3417">
        <f ca="1">ROUND(IF(D2="——",C52/10000,C52/10000-E2),4)</f>
        <v>533.93769999999995</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26942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3194087.2800000003</v>
      </c>
      <c r="D5" s="211" t="s">
        <v>1467</v>
      </c>
      <c r="E5" s="212" t="s">
        <v>1468</v>
      </c>
      <c r="F5" s="212" t="s">
        <v>1469</v>
      </c>
      <c r="G5" s="213"/>
    </row>
    <row r="6" spans="1:8" s="214" customFormat="1" ht="13.5" customHeight="1">
      <c r="A6" s="774" t="s">
        <v>1470</v>
      </c>
      <c r="B6" s="215" t="s">
        <v>1471</v>
      </c>
      <c r="C6" s="216">
        <f>基准地价修正!C33*基准地价修正!D33</f>
        <v>3061088.2800000003</v>
      </c>
      <c r="D6" s="217"/>
      <c r="E6" s="218"/>
      <c r="F6" s="218"/>
      <c r="G6" s="219"/>
    </row>
    <row r="7" spans="1:8" s="214" customFormat="1" ht="13.5" customHeight="1">
      <c r="A7" s="774" t="s">
        <v>1472</v>
      </c>
      <c r="B7" s="215" t="s">
        <v>1473</v>
      </c>
      <c r="C7" s="220">
        <f>ROUND(C6*F7,0)</f>
        <v>93363</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39636</v>
      </c>
      <c r="D8" s="222"/>
      <c r="E8" s="220"/>
      <c r="F8" s="221"/>
      <c r="G8" s="1852" t="s">
        <v>3465</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39636</v>
      </c>
      <c r="D10" s="841">
        <f ca="1">IF(B1="",'数据-汇总表'!E6,IF(INDIRECT("'数据-取费表'!c"&amp;$G$1)="住宅",INDIRECT("'数据-取费表'!s"&amp;$G$1),INDIRECT("'数据-取费表'!k"&amp;$G$1)+INDIRECT("'数据-取费表'!s"&amp;$G$1)))</f>
        <v>198.18</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198.18</v>
      </c>
      <c r="E19" s="211">
        <f>'数据-取费表'!B31</f>
        <v>200</v>
      </c>
      <c r="F19" s="231"/>
      <c r="G19" s="1852" t="s">
        <v>3466</v>
      </c>
    </row>
    <row r="20" spans="1:7" s="214" customFormat="1" ht="13.5" customHeight="1">
      <c r="A20" s="255" t="s">
        <v>1572</v>
      </c>
      <c r="B20" s="210" t="s">
        <v>1573</v>
      </c>
      <c r="C20" s="232">
        <f ca="1">ROUND((C5+C19)*F20,0)</f>
        <v>63882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226398</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224194</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2204</v>
      </c>
      <c r="D25" s="238"/>
      <c r="E25" s="241"/>
      <c r="F25" s="239"/>
      <c r="G25" s="242" t="s">
        <v>1586</v>
      </c>
    </row>
    <row r="26" spans="1:7" s="214" customFormat="1">
      <c r="A26" s="776"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488695</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488695</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4304510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976036</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891810</v>
      </c>
      <c r="D34" s="217"/>
      <c r="E34" s="220"/>
      <c r="F34" s="257"/>
      <c r="G34" s="219"/>
    </row>
    <row r="35" spans="1:7" ht="13.5" customHeight="1">
      <c r="A35" s="776" t="s">
        <v>351</v>
      </c>
      <c r="B35" s="215" t="s">
        <v>1525</v>
      </c>
      <c r="C35" s="220">
        <f ca="1">ROUND(C34*F35,0)</f>
        <v>26754</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39636</v>
      </c>
      <c r="D37" s="217">
        <f ca="1">D19</f>
        <v>198.18</v>
      </c>
      <c r="E37" s="249">
        <f>'数据-取费表'!B35</f>
        <v>200</v>
      </c>
      <c r="F37" s="259"/>
      <c r="G37" s="261"/>
    </row>
    <row r="38" spans="1:7" ht="13.5" customHeight="1">
      <c r="A38" s="776" t="s">
        <v>354</v>
      </c>
      <c r="B38" s="215" t="s">
        <v>1531</v>
      </c>
      <c r="C38" s="220">
        <f ca="1">ROUND(C34*F38,0)</f>
        <v>17836</v>
      </c>
      <c r="D38" s="220"/>
      <c r="E38" s="220"/>
      <c r="F38" s="259">
        <f>'数据-取费表'!B36</f>
        <v>0.02</v>
      </c>
      <c r="G38" s="219" t="s">
        <v>1526</v>
      </c>
    </row>
    <row r="39" spans="1:7" s="214" customFormat="1" ht="13.5" customHeight="1">
      <c r="A39" s="255" t="s">
        <v>1532</v>
      </c>
      <c r="B39" s="210" t="s">
        <v>1533</v>
      </c>
      <c r="C39" s="232">
        <f ca="1">ROUND(C33*F20,0)</f>
        <v>19521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34346</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33673</v>
      </c>
      <c r="D42" s="238"/>
      <c r="E42" s="238"/>
      <c r="F42" s="239"/>
      <c r="G42" s="3672" t="s">
        <v>1589</v>
      </c>
    </row>
    <row r="43" spans="1:7" ht="13.5" customHeight="1">
      <c r="A43" s="776" t="s">
        <v>347</v>
      </c>
      <c r="B43" s="215" t="s">
        <v>1543</v>
      </c>
      <c r="C43" s="238">
        <f ca="1">ROUND(IF('数据-取费表'!B22&lt;=1,C39*F22*'数据-取费表'!B20/2,C39*(POWER((1+F22),'数据-取费表'!B20/2)-1)),0)</f>
        <v>673</v>
      </c>
      <c r="D43" s="238"/>
      <c r="E43" s="238"/>
      <c r="F43" s="239"/>
      <c r="G43" s="3673"/>
    </row>
    <row r="44" spans="1:7" ht="13.5" customHeight="1">
      <c r="A44" s="776" t="s">
        <v>348</v>
      </c>
      <c r="B44" s="215" t="s">
        <v>1544</v>
      </c>
      <c r="C44" s="238">
        <f ca="1">ROUND(IF('数据-取费表'!B22&lt;=1,C40*F22*'数据-取费表'!B20/2,C40*(POWER((1+F22),'数据-取费表'!B20/2)-1)),4)</f>
        <v>6.9999999999999999E-4</v>
      </c>
      <c r="D44" s="238"/>
      <c r="E44" s="238"/>
      <c r="F44" s="239"/>
      <c r="G44" s="3674"/>
    </row>
    <row r="45" spans="1:7" s="214" customFormat="1" ht="13.5" customHeight="1">
      <c r="A45" s="255" t="s">
        <v>1545</v>
      </c>
      <c r="B45" s="244" t="s">
        <v>1511</v>
      </c>
      <c r="C45" s="245">
        <f ca="1">C46</f>
        <v>149334</v>
      </c>
      <c r="D45" s="235">
        <f ca="1">C47</f>
        <v>3.0000000000000001E-3</v>
      </c>
      <c r="E45" s="236" t="s">
        <v>1537</v>
      </c>
      <c r="F45" s="246">
        <f ca="1">F27</f>
        <v>0.15</v>
      </c>
      <c r="G45" s="247" t="s">
        <v>1546</v>
      </c>
    </row>
    <row r="46" spans="1:7" s="214" customFormat="1" ht="13.5" customHeight="1">
      <c r="A46" s="776" t="s">
        <v>346</v>
      </c>
      <c r="B46" s="248" t="s">
        <v>1547</v>
      </c>
      <c r="C46" s="249">
        <f ca="1">ROUND((C33+C39)*F27,0)</f>
        <v>149334</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1277613</v>
      </c>
      <c r="D49" s="232"/>
      <c r="E49" s="232"/>
      <c r="F49" s="264"/>
      <c r="G49" s="234" t="s">
        <v>1552</v>
      </c>
    </row>
    <row r="50" spans="1:7" s="258" customFormat="1">
      <c r="A50" s="255" t="s">
        <v>1553</v>
      </c>
      <c r="B50" s="210" t="s">
        <v>1554</v>
      </c>
      <c r="C50" s="232"/>
      <c r="D50" s="232"/>
      <c r="E50" s="232"/>
      <c r="F50" s="264">
        <f>IF('数据-取费表'!B24=0,'数据-取费表'!N16,1)</f>
        <v>0.81</v>
      </c>
      <c r="G50" s="247"/>
    </row>
    <row r="51" spans="1:7" ht="16.5" customHeight="1">
      <c r="A51" s="255" t="s">
        <v>1556</v>
      </c>
      <c r="B51" s="210" t="s">
        <v>1591</v>
      </c>
      <c r="C51" s="232">
        <f ca="1">ROUND(C49*F50,0)</f>
        <v>1034867</v>
      </c>
      <c r="D51" s="232"/>
      <c r="E51" s="232"/>
      <c r="F51" s="264"/>
      <c r="G51" s="234" t="s">
        <v>1558</v>
      </c>
    </row>
    <row r="52" spans="1:7" s="208" customFormat="1" ht="16.5" thickBot="1">
      <c r="A52" s="265" t="s">
        <v>1559</v>
      </c>
      <c r="B52" s="266"/>
      <c r="C52" s="267">
        <f ca="1">C31+C51</f>
        <v>5339377</v>
      </c>
      <c r="D52" s="266"/>
      <c r="E52" s="266"/>
      <c r="F52" s="266"/>
      <c r="G52" s="268"/>
    </row>
    <row r="55" spans="1:7" ht="15">
      <c r="B55" s="270" t="s">
        <v>1560</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1924</v>
      </c>
      <c r="B1" s="197"/>
      <c r="C1" s="201" t="s">
        <v>1925</v>
      </c>
      <c r="D1" s="342">
        <f>SUM(D33:D34,D37:D42)</f>
        <v>198.18</v>
      </c>
      <c r="E1" s="1991"/>
      <c r="F1" s="1991"/>
      <c r="G1" s="1991"/>
      <c r="H1" s="1991"/>
      <c r="I1" s="1991"/>
      <c r="J1" s="1991"/>
      <c r="K1" s="1115"/>
      <c r="L1" s="1992" t="s">
        <v>1926</v>
      </c>
      <c r="M1" s="859">
        <f>SUMPRODUCT((区片价!B5:B9=I2)*(区片价!C3:G3=E2)*(区片价!C5:G9))</f>
        <v>0</v>
      </c>
      <c r="N1" s="862">
        <f>SUMPRODUCT((因素修正幅度!B5:B9=I2)*(因素修正幅度!C3:G3=E2)*(因素修正幅度!C5:G9))</f>
        <v>0</v>
      </c>
      <c r="O1" s="1993"/>
      <c r="P1" s="1993"/>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f>C30</f>
        <v>306</v>
      </c>
      <c r="C2" s="1995" t="s">
        <v>1933</v>
      </c>
      <c r="D2" s="1996" t="s">
        <v>1934</v>
      </c>
      <c r="E2" s="3415" t="s">
        <v>21</v>
      </c>
      <c r="F2" s="1996" t="s">
        <v>1935</v>
      </c>
      <c r="G2" s="1997" t="str">
        <f>IF(E2="商业",项目基本情况!B37,IF(E2="办公",项目基本情况!C37,IF(E2="住宅",项目基本情况!D37,IF(E2="工业",项目基本情况!E37,项目基本情况!F37))))</f>
        <v>四级</v>
      </c>
      <c r="H2" s="1996" t="s">
        <v>1936</v>
      </c>
      <c r="I2" s="1997" t="str">
        <f>IF(E2="商业",项目基本情况!B38,IF(E2="办公",项目基本情况!C38,IF(E2="住宅",项目基本情况!D38,IF(E2="工业",项目基本情况!E38,项目基本情况!F38))))</f>
        <v>Ⅳ-16</v>
      </c>
      <c r="J2" s="1998"/>
      <c r="K2" s="1115"/>
      <c r="L2" s="1999" t="s">
        <v>1937</v>
      </c>
      <c r="M2" s="860">
        <f>SUMPRODUCT((区片价!B10:B29=I2)*(区片价!C3:G3=E2)*(区片价!C10:G29))</f>
        <v>0</v>
      </c>
      <c r="N2" s="862">
        <f>SUMPRODUCT((因素修正幅度!B10:B29=I2)*(因素修正幅度!C3:G3=E2)*(因素修正幅度!C10:G29))</f>
        <v>0</v>
      </c>
      <c r="O2" s="1115"/>
      <c r="P2" s="1115"/>
      <c r="Q2" s="1115"/>
      <c r="R2" s="1208">
        <v>1</v>
      </c>
      <c r="S2" s="3354">
        <f>ROUND(SUMPRODUCT((B106:B110=R2)*(C105:N105=G2)*(C106:N110)),4)</f>
        <v>1.5019</v>
      </c>
      <c r="T2" s="3354">
        <f t="shared" ref="T2:T16" si="0">ROUND($C$5*$C$22*$C$23*$C$24*S2*$C$28,0)</f>
        <v>24977</v>
      </c>
      <c r="U2" s="1209"/>
      <c r="V2" s="3354">
        <f>ROUND(T2*U2/10000,0)</f>
        <v>0</v>
      </c>
      <c r="W2" s="1212"/>
      <c r="X2" s="1212"/>
      <c r="Y2" s="1212"/>
      <c r="Z2" s="1212"/>
      <c r="AA2" s="1212"/>
      <c r="AB2" s="1212"/>
      <c r="AC2" s="1213"/>
      <c r="AD2" s="1214"/>
      <c r="AE2" s="1214"/>
      <c r="AF2" s="1214"/>
      <c r="AG2" s="1214"/>
      <c r="AH2" s="1214"/>
      <c r="AI2" s="1214"/>
      <c r="AJ2" s="1215"/>
    </row>
    <row r="3" spans="1:36" ht="15.75">
      <c r="A3" s="203" t="s">
        <v>1938</v>
      </c>
      <c r="B3" s="204">
        <f>ROUND(B2*10000/D1,0)</f>
        <v>15441</v>
      </c>
      <c r="C3" s="1995" t="s">
        <v>1939</v>
      </c>
      <c r="D3" s="1996" t="s">
        <v>1940</v>
      </c>
      <c r="E3" s="3413" t="s">
        <v>3460</v>
      </c>
      <c r="F3" s="2000" t="s">
        <v>3463</v>
      </c>
      <c r="G3" s="748">
        <f>IF(F3="宗地容积率",'数据-汇总表'!I4,IF(F3="估价对象容积率",'数据-汇总表'!I6,'数据-汇总表'!I7))</f>
        <v>3.7</v>
      </c>
      <c r="H3" s="170" t="s">
        <v>1941</v>
      </c>
      <c r="I3" s="771"/>
      <c r="J3" s="1998" t="s">
        <v>1942</v>
      </c>
      <c r="K3" s="1115"/>
      <c r="L3" s="1999" t="s">
        <v>1943</v>
      </c>
      <c r="M3" s="860">
        <f>SUMPRODUCT((区片价!B30:B54=I2)*(区片价!C3:G3=E2)*(区片价!C30:G54))</f>
        <v>0</v>
      </c>
      <c r="N3" s="862">
        <f>SUMPRODUCT((因素修正幅度!B30:B54=I2)*(因素修正幅度!C3:G3=E2)*(因素修正幅度!C30:G54))</f>
        <v>0</v>
      </c>
      <c r="O3" s="1115"/>
      <c r="P3" s="1115"/>
      <c r="Q3" s="1115"/>
      <c r="R3" s="1208">
        <v>2</v>
      </c>
      <c r="S3" s="3354">
        <f>ROUND(SUMPRODUCT((B106:B110=R3)*(C105:N105=G2)*(C106:N110)),4)</f>
        <v>1.1838</v>
      </c>
      <c r="T3" s="3354">
        <f t="shared" si="0"/>
        <v>19687</v>
      </c>
      <c r="U3" s="1209"/>
      <c r="V3" s="3354">
        <f t="shared" ref="V3:V16" si="1">ROUND(T3*U3/10000,0)</f>
        <v>0</v>
      </c>
      <c r="W3" s="1212"/>
      <c r="X3" s="1212"/>
      <c r="Y3" s="1212"/>
      <c r="Z3" s="1212"/>
      <c r="AA3" s="1212"/>
      <c r="AB3" s="1212"/>
      <c r="AC3" s="1213"/>
      <c r="AD3" s="1214"/>
      <c r="AE3" s="1214"/>
      <c r="AF3" s="1214"/>
      <c r="AG3" s="1214"/>
      <c r="AH3" s="1214"/>
      <c r="AI3" s="1214"/>
      <c r="AJ3" s="1215"/>
    </row>
    <row r="4" spans="1:36" ht="15.75">
      <c r="A4" s="3778"/>
      <c r="B4" s="3779"/>
      <c r="C4" s="3779"/>
      <c r="D4" s="3780"/>
      <c r="E4" s="3780"/>
      <c r="F4" s="3780"/>
      <c r="G4" s="3780"/>
      <c r="H4" s="3780"/>
      <c r="I4" s="3780"/>
      <c r="J4" s="3781"/>
      <c r="K4" s="1115"/>
      <c r="L4" s="1999" t="s">
        <v>1944</v>
      </c>
      <c r="M4" s="860">
        <f>SUMPRODUCT((区片价!B55:B86=I2)*(区片价!C3:G3=E2)*(区片价!C55:G86))</f>
        <v>18620</v>
      </c>
      <c r="N4" s="862">
        <f>SUMPRODUCT((因素修正幅度!B55:B86=I2)*(因素修正幅度!C3:G3=E2)*(因素修正幅度!C55:G86))</f>
        <v>8.8999999999999996E-2</v>
      </c>
      <c r="O4" s="1115"/>
      <c r="P4" s="1115"/>
      <c r="Q4" s="1115"/>
      <c r="R4" s="1208">
        <v>3</v>
      </c>
      <c r="S4" s="3354">
        <f>ROUND(SUMPRODUCT((B106:B110=R4)*(C105:N105=G2)*(C106:N110)),4)</f>
        <v>1.0004999999999999</v>
      </c>
      <c r="T4" s="3354">
        <f t="shared" si="0"/>
        <v>16638</v>
      </c>
      <c r="U4" s="1209"/>
      <c r="V4" s="3354">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1945</v>
      </c>
      <c r="C5" s="749">
        <f>ROUND(IF(E2="商业",C6*C7*C17+C20,(IF(E2="住宅",C6*C13*C17+C20,IF(E2="办公",C6*C12*C17+C20,C6+C20)))),0)</f>
        <v>18600</v>
      </c>
      <c r="D5" s="1335">
        <f>ROUND(C6*C17+C20,0)</f>
        <v>18600</v>
      </c>
      <c r="E5" s="1335"/>
      <c r="F5" s="2003"/>
      <c r="G5" s="2004"/>
      <c r="H5" s="2004"/>
      <c r="I5" s="2004"/>
      <c r="J5" s="2005"/>
      <c r="K5" s="2006"/>
      <c r="L5" s="1999" t="s">
        <v>1946</v>
      </c>
      <c r="M5" s="860">
        <f>SUMPRODUCT((区片价!B87:B126=I2)*(区片价!C3:G3=E2)*(区片价!C87:G126))</f>
        <v>0</v>
      </c>
      <c r="N5" s="862">
        <f>SUMPRODUCT((因素修正幅度!B87:B126=I2)*(因素修正幅度!C3:G3=E2)*(因素修正幅度!C87:G126))</f>
        <v>0</v>
      </c>
      <c r="O5" s="1115"/>
      <c r="P5" s="1115"/>
      <c r="Q5" s="1115"/>
      <c r="R5" s="1208">
        <v>4</v>
      </c>
      <c r="S5" s="3354">
        <f>ROUND(SUMPRODUCT((B106:B110=R5)*(C105:N105=G2)*(C106:N110)),4)</f>
        <v>0.88239999999999996</v>
      </c>
      <c r="T5" s="3354">
        <f t="shared" si="0"/>
        <v>14674</v>
      </c>
      <c r="U5" s="1209"/>
      <c r="V5" s="3354">
        <f t="shared" si="1"/>
        <v>0</v>
      </c>
      <c r="W5" s="1212"/>
      <c r="X5" s="1212"/>
      <c r="Y5" s="1212"/>
      <c r="Z5" s="1212"/>
      <c r="AA5" s="1212"/>
      <c r="AB5" s="1212"/>
      <c r="AC5" s="2007"/>
      <c r="AD5" s="2008"/>
      <c r="AE5" s="2008"/>
      <c r="AF5" s="2008"/>
      <c r="AG5" s="2008"/>
      <c r="AH5" s="2008"/>
      <c r="AI5" s="2008"/>
      <c r="AJ5" s="2009"/>
    </row>
    <row r="6" spans="1:36" ht="15.75" thickBot="1">
      <c r="A6" s="2011" t="s">
        <v>1947</v>
      </c>
      <c r="B6" s="2012" t="s">
        <v>1948</v>
      </c>
      <c r="C6" s="750">
        <f>SUMIF(L1:L12,G2,M1:M12)</f>
        <v>18620</v>
      </c>
      <c r="D6" s="2013"/>
      <c r="E6" s="2014"/>
      <c r="F6" s="2014"/>
      <c r="G6" s="2015"/>
      <c r="H6" s="2015"/>
      <c r="I6" s="2015"/>
      <c r="J6" s="2016"/>
      <c r="K6" s="1380"/>
      <c r="L6" s="1999" t="s">
        <v>1949</v>
      </c>
      <c r="M6" s="860">
        <f>SUMPRODUCT((区片价!B127:B189=I2)*(区片价!C3:G3=E2)*(区片价!C127:G189))</f>
        <v>0</v>
      </c>
      <c r="N6" s="862">
        <f>SUMPRODUCT((因素修正幅度!B127:B189=I2)*(因素修正幅度!C3:G3=E2)*(因素修正幅度!C127:G189))</f>
        <v>0</v>
      </c>
      <c r="O6" s="1115"/>
      <c r="P6" s="1115"/>
      <c r="Q6" s="1115"/>
      <c r="R6" s="1208">
        <v>5</v>
      </c>
      <c r="S6" s="3354">
        <f>ROUND(SUMPRODUCT((B106:B110=R6)*(C105:N105=G2)*(C106:N110)),4)</f>
        <v>0.84799999999999998</v>
      </c>
      <c r="T6" s="3354">
        <f t="shared" si="0"/>
        <v>14102</v>
      </c>
      <c r="U6" s="1209"/>
      <c r="V6" s="3354">
        <f t="shared" si="1"/>
        <v>0</v>
      </c>
      <c r="W6" s="1212"/>
      <c r="X6" s="1212"/>
      <c r="Y6" s="1212"/>
      <c r="Z6" s="1212"/>
      <c r="AA6" s="1212"/>
      <c r="AB6" s="1212"/>
      <c r="AC6" s="2007"/>
      <c r="AD6" s="2008"/>
      <c r="AE6" s="2008"/>
      <c r="AF6" s="2008"/>
      <c r="AG6" s="2008"/>
      <c r="AH6" s="2008"/>
      <c r="AI6" s="2008"/>
      <c r="AJ6" s="2009"/>
    </row>
    <row r="7" spans="1:36" ht="24.75" thickBot="1">
      <c r="A7" s="3297" t="s">
        <v>3230</v>
      </c>
      <c r="B7" s="2017" t="s">
        <v>1950</v>
      </c>
      <c r="C7" s="751">
        <f>IF(C8="不临65条商业街",1,ROUND(1+(1.6*E8+1.2*E9+0.8*E10+0.4*E11)*C9,4))</f>
        <v>1</v>
      </c>
      <c r="D7" s="2018" t="s">
        <v>1951</v>
      </c>
      <c r="E7" s="772"/>
      <c r="F7" s="2019"/>
      <c r="G7" s="2020"/>
      <c r="H7" s="2020"/>
      <c r="I7" s="2020"/>
      <c r="J7" s="2021"/>
      <c r="K7" s="1380"/>
      <c r="L7" s="1999" t="s">
        <v>1952</v>
      </c>
      <c r="M7" s="860">
        <f>SUMPRODUCT((区片价!B190:B233=I2)*(区片价!C3:G3=E2)*(区片价!C190:G233))</f>
        <v>0</v>
      </c>
      <c r="N7" s="862">
        <f>SUMPRODUCT((因素修正幅度!B190:B233=I2)*(因素修正幅度!C3:G3=E2)*(因素修正幅度!C190:G233))</f>
        <v>0</v>
      </c>
      <c r="O7" s="1115"/>
      <c r="P7" s="1115"/>
      <c r="Q7" s="1115"/>
      <c r="R7" s="1208">
        <v>6</v>
      </c>
      <c r="S7" s="3412"/>
      <c r="T7" s="3354">
        <f t="shared" si="0"/>
        <v>0</v>
      </c>
      <c r="U7" s="1209"/>
      <c r="V7" s="3354">
        <f t="shared" si="1"/>
        <v>0</v>
      </c>
      <c r="W7" s="1354" t="s">
        <v>1953</v>
      </c>
      <c r="X7" s="1210" t="str">
        <f>G2</f>
        <v>四级</v>
      </c>
      <c r="Y7" s="1210" t="s">
        <v>1954</v>
      </c>
      <c r="Z7" s="1211">
        <f>G3</f>
        <v>3.7</v>
      </c>
      <c r="AA7" s="1212"/>
      <c r="AB7" s="1212"/>
      <c r="AC7" s="1213"/>
      <c r="AD7" s="1214"/>
      <c r="AE7" s="1214"/>
      <c r="AF7" s="1214"/>
      <c r="AG7" s="1214"/>
      <c r="AH7" s="1214"/>
      <c r="AI7" s="1214"/>
      <c r="AJ7" s="1215"/>
    </row>
    <row r="8" spans="1:36" ht="25.5">
      <c r="A8" s="3292"/>
      <c r="B8" s="170" t="s">
        <v>1955</v>
      </c>
      <c r="C8" s="2022" t="s">
        <v>3461</v>
      </c>
      <c r="D8" s="752" t="s">
        <v>112</v>
      </c>
      <c r="E8" s="753" t="e">
        <f>ROUND(C11/E7,4)</f>
        <v>#DIV/0!</v>
      </c>
      <c r="F8" s="2023" t="s">
        <v>1956</v>
      </c>
      <c r="G8" s="2024"/>
      <c r="H8" s="2024"/>
      <c r="I8" s="2024"/>
      <c r="J8" s="2025"/>
      <c r="K8" s="1115"/>
      <c r="L8" s="1999" t="s">
        <v>1957</v>
      </c>
      <c r="M8" s="860">
        <f>SUMPRODUCT((区片价!B234:B276=I2)*(区片价!C3:G3=E2)*(区片价!C234:G276))</f>
        <v>0</v>
      </c>
      <c r="N8" s="862">
        <f>SUMPRODUCT((因素修正幅度!B234:B276=I2)*(因素修正幅度!C3:G3=E2)*(因素修正幅度!C234:G276))</f>
        <v>0</v>
      </c>
      <c r="O8" s="1115"/>
      <c r="P8" s="1115"/>
      <c r="Q8" s="1115"/>
      <c r="R8" s="1208">
        <v>7</v>
      </c>
      <c r="S8" s="1209"/>
      <c r="T8" s="3354">
        <f t="shared" si="0"/>
        <v>0</v>
      </c>
      <c r="U8" s="1209"/>
      <c r="V8" s="3354">
        <f t="shared" si="1"/>
        <v>0</v>
      </c>
      <c r="W8" s="3775" t="s">
        <v>1958</v>
      </c>
      <c r="X8" s="3776"/>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92"/>
      <c r="B9" s="170" t="s">
        <v>1971</v>
      </c>
      <c r="C9" s="754">
        <f>SUMIF(修正!C71:C138,C8,修正!E71:E138)</f>
        <v>0</v>
      </c>
      <c r="D9" s="171" t="s">
        <v>113</v>
      </c>
      <c r="E9" s="171" t="e">
        <f>ROUND(C11/E7,4)</f>
        <v>#DIV/0!</v>
      </c>
      <c r="F9" s="2023" t="s">
        <v>1972</v>
      </c>
      <c r="G9" s="2024"/>
      <c r="H9" s="2024"/>
      <c r="I9" s="2024"/>
      <c r="J9" s="2025"/>
      <c r="K9" s="1115"/>
      <c r="L9" s="1999" t="s">
        <v>1973</v>
      </c>
      <c r="M9" s="860">
        <f>SUMPRODUCT((区片价!B277:B326=I2)*(区片价!C3:G3=E2)*(区片价!C277:G326))</f>
        <v>0</v>
      </c>
      <c r="N9" s="862">
        <f>SUMPRODUCT((因素修正幅度!B277:B326=I2)*(因素修正幅度!C3:G3=E2)*(因素修正幅度!C277:G326))</f>
        <v>0</v>
      </c>
      <c r="O9" s="1115"/>
      <c r="P9" s="1115"/>
      <c r="Q9" s="1115"/>
      <c r="R9" s="1208">
        <v>8</v>
      </c>
      <c r="S9" s="1209"/>
      <c r="T9" s="3354">
        <f t="shared" si="0"/>
        <v>0</v>
      </c>
      <c r="U9" s="1209"/>
      <c r="V9" s="3354">
        <f t="shared" si="1"/>
        <v>0</v>
      </c>
      <c r="W9" s="3777"/>
      <c r="X9" s="3355" t="s">
        <v>3261</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3" t="s">
        <v>1975</v>
      </c>
      <c r="G10" s="2024"/>
      <c r="H10" s="2024"/>
      <c r="I10" s="2024"/>
      <c r="J10" s="2025"/>
      <c r="K10" s="1115"/>
      <c r="L10" s="1999"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4">
        <f t="shared" si="0"/>
        <v>0</v>
      </c>
      <c r="U10" s="1209"/>
      <c r="V10" s="3354">
        <f t="shared" si="1"/>
        <v>0</v>
      </c>
      <c r="W10" s="37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1977</v>
      </c>
      <c r="C11" s="755">
        <f>C10/4</f>
        <v>0</v>
      </c>
      <c r="D11" s="755" t="s">
        <v>115</v>
      </c>
      <c r="E11" s="755" t="e">
        <f>ROUND(C11/E7,4)</f>
        <v>#DIV/0!</v>
      </c>
      <c r="F11" s="2027" t="s">
        <v>1978</v>
      </c>
      <c r="G11" s="2028"/>
      <c r="H11" s="2028"/>
      <c r="I11" s="2028"/>
      <c r="J11" s="2029"/>
      <c r="K11" s="1115"/>
      <c r="L11" s="1999"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3231</v>
      </c>
      <c r="B12" s="3298" t="s">
        <v>3232</v>
      </c>
      <c r="C12" s="3299">
        <v>1</v>
      </c>
      <c r="D12" s="3300" t="s">
        <v>3233</v>
      </c>
      <c r="E12" s="3301" t="s">
        <v>3234</v>
      </c>
      <c r="F12" s="3302"/>
      <c r="G12" s="3303"/>
      <c r="H12" s="3303"/>
      <c r="I12" s="3303"/>
      <c r="J12" s="3304"/>
      <c r="K12" s="1115"/>
      <c r="L12" s="2035"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3235</v>
      </c>
      <c r="B13" s="2030" t="s">
        <v>1980</v>
      </c>
      <c r="C13" s="751">
        <f>ROUND(C16*D16*E16*F16*G16*H16*I16*J16,4)</f>
        <v>0</v>
      </c>
      <c r="D13" s="2031" t="s">
        <v>1981</v>
      </c>
      <c r="E13" s="2032"/>
      <c r="F13" s="2032"/>
      <c r="G13" s="2033"/>
      <c r="H13" s="2033"/>
      <c r="I13" s="2033"/>
      <c r="J13" s="2034"/>
      <c r="K13" s="1115"/>
      <c r="L13" s="3293"/>
      <c r="M13" s="3294"/>
      <c r="N13" s="3295"/>
      <c r="O13" s="1115"/>
      <c r="P13" s="1115"/>
      <c r="Q13" s="1115"/>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6" t="s">
        <v>1983</v>
      </c>
      <c r="C14" s="2037" t="s">
        <v>1984</v>
      </c>
      <c r="D14" s="1346" t="s">
        <v>1985</v>
      </c>
      <c r="E14" s="27" t="s">
        <v>1986</v>
      </c>
      <c r="F14" s="3305" t="s">
        <v>3236</v>
      </c>
      <c r="G14" s="3305" t="s">
        <v>3236</v>
      </c>
      <c r="H14" s="3305" t="s">
        <v>3236</v>
      </c>
      <c r="I14" s="3305" t="s">
        <v>3236</v>
      </c>
      <c r="J14" s="3305" t="s">
        <v>3236</v>
      </c>
      <c r="K14" s="1115"/>
      <c r="L14" s="1115"/>
      <c r="M14" s="1115"/>
      <c r="N14" s="1115"/>
      <c r="O14" s="1115"/>
      <c r="P14" s="1115"/>
      <c r="Q14" s="1115"/>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8"/>
      <c r="C15" s="2039"/>
      <c r="D15" s="2040"/>
      <c r="E15" s="2041"/>
      <c r="F15" s="3306" t="s">
        <v>3237</v>
      </c>
      <c r="G15" s="3307"/>
      <c r="H15" s="3308"/>
      <c r="I15" s="3309"/>
      <c r="J15" s="3310"/>
      <c r="K15" s="1115"/>
      <c r="L15" s="1115"/>
      <c r="M15" s="1115"/>
      <c r="N15" s="1115"/>
      <c r="O15" s="1115"/>
      <c r="P15" s="1115"/>
      <c r="Q15" s="1115"/>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5"/>
      <c r="L16" s="1993"/>
      <c r="M16" s="1993"/>
      <c r="N16" s="1993"/>
      <c r="O16" s="1993"/>
      <c r="P16" s="1993"/>
      <c r="Q16" s="1115"/>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3238</v>
      </c>
      <c r="B17" s="3314" t="s">
        <v>3239</v>
      </c>
      <c r="C17" s="3324">
        <f>ROUND(IF(OR(E2="工业",E2="公共服务"),1,IF(AND(E18=0,E19=0),1,IF(AND(E18=J24,E19=G19),0.8,IF(E19=0,1+E17*(-0.2),1+E17*G17*(-0.2))))),4)</f>
        <v>1</v>
      </c>
      <c r="D17" s="3315" t="s">
        <v>3240</v>
      </c>
      <c r="E17" s="3324">
        <f>ROUND(G18/I18,2)</f>
        <v>0</v>
      </c>
      <c r="F17" s="3315" t="s">
        <v>3243</v>
      </c>
      <c r="G17" s="3324" t="e">
        <f>ROUND(E19/G19,2)</f>
        <v>#DIV/0!</v>
      </c>
      <c r="H17" s="3324"/>
      <c r="I17" s="3324"/>
      <c r="J17" s="3325"/>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6"/>
      <c r="B18" s="3003"/>
      <c r="C18" s="3321"/>
      <c r="D18" s="3316" t="s">
        <v>3241</v>
      </c>
      <c r="E18" s="3322"/>
      <c r="F18" s="3317" t="s">
        <v>3244</v>
      </c>
      <c r="G18" s="3321">
        <f>ROUND(1-(1/(POWER(1+G24,E18))),4)</f>
        <v>0</v>
      </c>
      <c r="H18" s="3317" t="s">
        <v>3246</v>
      </c>
      <c r="I18" s="3321">
        <f>ROUND(1-(1/(POWER(1+G24,J24))),4)</f>
        <v>0.93120000000000003</v>
      </c>
      <c r="J18" s="3327"/>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1"/>
    </row>
    <row r="19" spans="1:37" s="2010" customFormat="1" ht="15" thickBot="1">
      <c r="A19" s="3328"/>
      <c r="B19" s="3329"/>
      <c r="C19" s="3330"/>
      <c r="D19" s="3330" t="s">
        <v>3242</v>
      </c>
      <c r="E19" s="3331"/>
      <c r="F19" s="3332" t="s">
        <v>3245</v>
      </c>
      <c r="G19" s="3331"/>
      <c r="H19" s="3330"/>
      <c r="I19" s="3330"/>
      <c r="J19" s="3333"/>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4"/>
      <c r="AH19" s="2137"/>
      <c r="AI19" s="2785"/>
      <c r="AJ19" s="2785"/>
      <c r="AK19" s="2053"/>
    </row>
    <row r="20" spans="1:37" s="2010" customFormat="1" ht="14.25">
      <c r="A20" s="3782" t="s">
        <v>3247</v>
      </c>
      <c r="B20" s="167" t="s">
        <v>1992</v>
      </c>
      <c r="C20" s="3318">
        <f>ROUND(IF(F21="与级别开发程度一致",0,(G21-E21)/C21),0)</f>
        <v>-20</v>
      </c>
      <c r="D20" s="3334" t="s">
        <v>1996</v>
      </c>
      <c r="E20" s="3335"/>
      <c r="F20" s="3788" t="s">
        <v>1993</v>
      </c>
      <c r="G20" s="3789"/>
      <c r="H20" s="3319" t="s">
        <v>3387</v>
      </c>
      <c r="I20" s="3319" t="s">
        <v>3388</v>
      </c>
      <c r="J20" s="3320" t="s">
        <v>3389</v>
      </c>
      <c r="K20" s="2043" t="s">
        <v>3390</v>
      </c>
      <c r="L20" s="2043" t="s">
        <v>3391</v>
      </c>
      <c r="M20" s="2043" t="s">
        <v>3392</v>
      </c>
      <c r="N20" s="2043" t="s">
        <v>3393</v>
      </c>
      <c r="O20" s="2044"/>
      <c r="P20" s="1993"/>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10" customFormat="1" ht="26.25" thickBot="1">
      <c r="A21" s="3783"/>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3462</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10" customFormat="1" ht="15.75" thickBot="1">
      <c r="A22" s="2154" t="s">
        <v>363</v>
      </c>
      <c r="B22" s="2155" t="s">
        <v>1998</v>
      </c>
      <c r="C22" s="2156">
        <f>SUMIF(修正!C20:C51,E3,修正!E20:E51)</f>
        <v>1</v>
      </c>
      <c r="D22" s="2157"/>
      <c r="E22" s="2158"/>
      <c r="F22" s="2158"/>
      <c r="G22" s="2158"/>
      <c r="H22" s="2158"/>
      <c r="I22" s="2158"/>
      <c r="J22" s="2159"/>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6" t="s">
        <v>364</v>
      </c>
      <c r="B23" s="2047" t="s">
        <v>1999</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0" t="s">
        <v>2000</v>
      </c>
      <c r="E23" s="757">
        <v>44197</v>
      </c>
      <c r="F23" s="2050" t="s">
        <v>2001</v>
      </c>
      <c r="G23" s="758">
        <f>'数据-取费表'!B2</f>
        <v>45485</v>
      </c>
      <c r="H23" s="3336" t="s">
        <v>3249</v>
      </c>
      <c r="I23" s="3337" t="str">
        <f>IF(H23="季度增幅（自定义）",SUMIF(N25:N28,E2,O25:O28),"")</f>
        <v/>
      </c>
      <c r="J23" s="3439" t="s">
        <v>3248</v>
      </c>
      <c r="K23" s="1121"/>
      <c r="L23" s="2051" t="s">
        <v>2002</v>
      </c>
      <c r="M23" s="1324">
        <f>ROUND(SUMIF(地价!B2:G2,E2,地价!B16:G16),0)</f>
        <v>350</v>
      </c>
      <c r="N23" s="2052" t="s">
        <v>2003</v>
      </c>
      <c r="O23" s="759">
        <f>ROUNDDOWN(DATEDIF(E23,G23,"M")/3,0)</f>
        <v>14</v>
      </c>
      <c r="P23" s="1118"/>
      <c r="Q23" s="2781"/>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2004</v>
      </c>
      <c r="C24" s="760">
        <f>ROUND(POWER(1+G24,J24-I24)*(POWER(1+G24,I24)-1)/(POWER(1+G24,J24)-1),4)</f>
        <v>0.83399999999999996</v>
      </c>
      <c r="D24" s="2056" t="s">
        <v>2005</v>
      </c>
      <c r="E24" s="1331">
        <f>存贷款利率!E24/100</f>
        <v>4.3499999999999997E-2</v>
      </c>
      <c r="F24" s="2056" t="s">
        <v>1997</v>
      </c>
      <c r="G24" s="764">
        <f>SUMIF(M30:Q30,E2,M33:Q33)</f>
        <v>5.5E-2</v>
      </c>
      <c r="H24" s="2056" t="s">
        <v>2006</v>
      </c>
      <c r="I24" s="765">
        <f>SUMIF('数据-取费表'!C6:C15,E2,'数据-取费表'!F6:F15)/COUNTIF('数据-取费表'!C6:C15,E2)</f>
        <v>28</v>
      </c>
      <c r="J24" s="766">
        <f>IF(E2="住宅",70,IF(E2="商业",40,50))</f>
        <v>50</v>
      </c>
      <c r="K24" s="1121"/>
      <c r="L24" s="2057" t="s">
        <v>2007</v>
      </c>
      <c r="M24" s="1325">
        <f>ROUND(SUMPRODUCT((地价!A4:A16=YEAR(G23)&amp;"-"&amp;ROUNDUP(MONTH(G23)/3,0))*(地价!B2:G2=E2)*(地价!B4:G16)),0)</f>
        <v>0</v>
      </c>
      <c r="N24" s="2058" t="s">
        <v>2008</v>
      </c>
      <c r="O24" s="2059" t="s">
        <v>2009</v>
      </c>
      <c r="P24" s="2060" t="s">
        <v>2010</v>
      </c>
      <c r="Q24" s="1993"/>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1" t="s">
        <v>366</v>
      </c>
      <c r="B25" s="2062" t="s">
        <v>3328</v>
      </c>
      <c r="C25" s="767">
        <f>IF(B25="容积率修正",IF(G3&lt;10,D26,J26),C27)</f>
        <v>0.92879999999999996</v>
      </c>
      <c r="D25" s="2063"/>
      <c r="E25" s="2063"/>
      <c r="F25" s="2063"/>
      <c r="G25" s="2063"/>
      <c r="H25" s="2063"/>
      <c r="I25" s="2063"/>
      <c r="J25" s="2064"/>
      <c r="K25" s="1121"/>
      <c r="L25" s="2781"/>
      <c r="M25" s="2781"/>
      <c r="N25" s="2065" t="s">
        <v>2011</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2012</v>
      </c>
      <c r="B26" s="2066" t="s">
        <v>2013</v>
      </c>
      <c r="C26" s="3338" t="s">
        <v>3250</v>
      </c>
      <c r="D26" s="1348">
        <f>IF(E26=G26,F26,IF(G3&lt;10,ROUND(F26+(H26-F26)*(G3-E26)/(G26-E26),4),"——"))</f>
        <v>0.92879999999999996</v>
      </c>
      <c r="E26" s="748">
        <f>ROUNDDOWN(G3,1)</f>
        <v>3.7</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48">
        <f>ROUNDUP(G3,1)</f>
        <v>3.7</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3338" t="s">
        <v>3251</v>
      </c>
      <c r="J26" s="768" t="str">
        <f>IF(G3&gt;=10,D115,"——")</f>
        <v>——</v>
      </c>
      <c r="K26" s="1121"/>
      <c r="L26" s="2781"/>
      <c r="M26" s="2781"/>
      <c r="N26" s="2065" t="s">
        <v>2014</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2015</v>
      </c>
      <c r="B27" s="2067" t="s">
        <v>2016</v>
      </c>
      <c r="C27" s="837">
        <f>ROUND(IF(I3&lt;6,SUMPRODUCT((B106:B110=I3)*(C105:N105=G2)*(C106:N110)),SUMIF(C105:N105,G2,C112:N112)),4)</f>
        <v>0</v>
      </c>
      <c r="D27" s="2042"/>
      <c r="E27" s="2042"/>
      <c r="F27" s="2068"/>
      <c r="G27" s="2069"/>
      <c r="H27" s="2070"/>
      <c r="I27" s="2071"/>
      <c r="J27" s="2072"/>
      <c r="K27" s="1115"/>
      <c r="L27" s="1993"/>
      <c r="M27" s="1993"/>
      <c r="N27" s="2065" t="s">
        <v>2017</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2018</v>
      </c>
      <c r="C28" s="756">
        <f>SUMIF(A47:A101,E2,B47:B101)</f>
        <v>1.0459000000000001</v>
      </c>
      <c r="D28" s="2048"/>
      <c r="E28" s="2073"/>
      <c r="F28" s="2073"/>
      <c r="G28" s="2073"/>
      <c r="H28" s="2073"/>
      <c r="I28" s="2073"/>
      <c r="J28" s="2074"/>
      <c r="K28" s="1121"/>
      <c r="L28" s="2781"/>
      <c r="M28" s="2781"/>
      <c r="N28" s="2075"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2020</v>
      </c>
      <c r="C29" s="761"/>
      <c r="D29" s="2020"/>
      <c r="E29" s="2020"/>
      <c r="F29" s="2077"/>
      <c r="G29" s="2020"/>
      <c r="H29" s="2020"/>
      <c r="I29" s="2020"/>
      <c r="J29" s="2021"/>
      <c r="K29" s="1115"/>
      <c r="L29" s="1993"/>
      <c r="M29" s="1993"/>
      <c r="N29" s="2778" t="s">
        <v>2021</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2022</v>
      </c>
      <c r="C30" s="2317">
        <f>IF(B25="容积率修正",E33+SUM(E37:E42),SUM(V2:V16)+SUM(E37:E42))</f>
        <v>306</v>
      </c>
      <c r="D30" s="2079"/>
      <c r="E30" s="2042"/>
      <c r="F30" s="2080"/>
      <c r="G30" s="2042"/>
      <c r="H30" s="2042"/>
      <c r="I30" s="2042"/>
      <c r="J30" s="2081"/>
      <c r="K30" s="1115"/>
      <c r="L30" s="3344" t="s">
        <v>1934</v>
      </c>
      <c r="M30" s="3345" t="s">
        <v>1988</v>
      </c>
      <c r="N30" s="3345" t="s">
        <v>1989</v>
      </c>
      <c r="O30" s="3345" t="s">
        <v>1990</v>
      </c>
      <c r="P30" s="3345" t="s">
        <v>1991</v>
      </c>
      <c r="Q30" s="3348" t="s">
        <v>3255</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2023</v>
      </c>
      <c r="C31" s="762">
        <f>E34+SUM(I37:I42)</f>
        <v>0</v>
      </c>
      <c r="D31" s="2083"/>
      <c r="E31" s="2084"/>
      <c r="F31" s="2085"/>
      <c r="G31" s="2084"/>
      <c r="H31" s="2084"/>
      <c r="I31" s="2084"/>
      <c r="J31" s="2086"/>
      <c r="K31" s="1115"/>
      <c r="L31" s="3346" t="s">
        <v>1994</v>
      </c>
      <c r="M31" s="1996">
        <v>0.25</v>
      </c>
      <c r="N31" s="1996">
        <v>0.2</v>
      </c>
      <c r="O31" s="1996">
        <v>0.15</v>
      </c>
      <c r="P31" s="1996">
        <v>0.1</v>
      </c>
      <c r="Q31" s="3341">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5"/>
      <c r="L32" s="3347" t="s">
        <v>1997</v>
      </c>
      <c r="M32" s="2563">
        <f>ROUND($E$24*(1+M31),3)</f>
        <v>5.3999999999999999E-2</v>
      </c>
      <c r="N32" s="2563">
        <f>ROUND($E$24*(1+N31),3)</f>
        <v>5.1999999999999998E-2</v>
      </c>
      <c r="O32" s="2563">
        <f>ROUND($E$24*(1+O31),3)</f>
        <v>0.05</v>
      </c>
      <c r="P32" s="2563">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2028</v>
      </c>
      <c r="C33" s="175">
        <f>ROUND(C5*C22*C23*C24*C25*C28,0)</f>
        <v>15446</v>
      </c>
      <c r="D33" s="2094">
        <f>'数据-汇总表'!F19</f>
        <v>198.18</v>
      </c>
      <c r="E33" s="769">
        <f>ROUND(C33*D33/10000,0)</f>
        <v>306</v>
      </c>
      <c r="F33" s="3339" t="s">
        <v>3253</v>
      </c>
      <c r="G33" s="2095"/>
      <c r="H33" s="2095"/>
      <c r="I33" s="2095"/>
      <c r="J33" s="2096"/>
      <c r="K33" s="1115"/>
      <c r="L33" s="3342" t="s">
        <v>3256</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2029</v>
      </c>
      <c r="C34" s="187">
        <f>ROUND(IF(E2="工业",C33*M42,IF(B25="楼层修正",SUM(V2:V16)*M41*10000/D34,C33*M41)),0)</f>
        <v>3862</v>
      </c>
      <c r="D34" s="2099"/>
      <c r="E34" s="769">
        <f>ROUND(IF(B25="楼层修正",SUM(V2:V16)*M40,C34*D34/10000),0)</f>
        <v>0</v>
      </c>
      <c r="F34" s="2100" t="s">
        <v>2030</v>
      </c>
      <c r="G34" s="2101"/>
      <c r="H34" s="2101"/>
      <c r="I34" s="2101"/>
      <c r="J34" s="2102"/>
      <c r="K34" s="1115"/>
      <c r="L34" s="3342" t="s">
        <v>3257</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2031</v>
      </c>
      <c r="C35" s="3340" t="s">
        <v>3254</v>
      </c>
      <c r="D35" s="2033"/>
      <c r="E35" s="2105"/>
      <c r="F35" s="2105"/>
      <c r="G35" s="2031" t="s">
        <v>2032</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0" t="s">
        <v>3258</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86"/>
      <c r="B37" s="2109" t="s">
        <v>2034</v>
      </c>
      <c r="C37" s="175">
        <f>ROUND(D5*C22*C23*C24*C28*F37,0)</f>
        <v>9978</v>
      </c>
      <c r="D37" s="2094"/>
      <c r="E37" s="171">
        <f>ROUND(C37*D37/10000,0)</f>
        <v>0</v>
      </c>
      <c r="F37" s="171">
        <f>SUMIF(修正!A57:A68,G2,修正!B57:B68)</f>
        <v>0.6</v>
      </c>
      <c r="G37" s="171">
        <f>ROUND(IF(E2="工业",C37*$M$42,C37*$M$41),0)</f>
        <v>2495</v>
      </c>
      <c r="H37" s="171">
        <f>D37</f>
        <v>0</v>
      </c>
      <c r="I37" s="171">
        <f>ROUND(G37*H37/10000,0)</f>
        <v>0</v>
      </c>
      <c r="J37" s="3005"/>
      <c r="K37" s="3352" t="s">
        <v>3259</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87"/>
      <c r="B38" s="2037" t="s">
        <v>2035</v>
      </c>
      <c r="C38" s="175">
        <f>ROUND(D5*C22*C23*C24*C28*F38,0)</f>
        <v>4989</v>
      </c>
      <c r="D38" s="2094"/>
      <c r="E38" s="171">
        <f t="shared" ref="E38:E42" si="4">ROUND(C38*D38/10000,0)</f>
        <v>0</v>
      </c>
      <c r="F38" s="171">
        <f>SUMIF(修正!A57:A68,G2,修正!C57:C68)</f>
        <v>0.3</v>
      </c>
      <c r="G38" s="171">
        <f>ROUND(IF(E2="工业",C38*$M$42,C38*$M$41),0)</f>
        <v>1247</v>
      </c>
      <c r="H38" s="171">
        <f t="shared" ref="H38:H42" si="5">D38</f>
        <v>0</v>
      </c>
      <c r="I38" s="171">
        <f t="shared" ref="I38:I42" si="6">ROUND(G38*H38/10000,0)</f>
        <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787"/>
      <c r="B39" s="2037" t="s">
        <v>3252</v>
      </c>
      <c r="C39" s="175">
        <f>ROUND(D5*C22*C23*C24*C28*F39,0)</f>
        <v>4158</v>
      </c>
      <c r="D39" s="2094"/>
      <c r="E39" s="171">
        <f t="shared" si="4"/>
        <v>0</v>
      </c>
      <c r="F39" s="171">
        <f>SUMIF(修正!A57:A68,G2,修正!D57:D68)</f>
        <v>0.25</v>
      </c>
      <c r="G39" s="171">
        <f>ROUND(IF(E2="工业",C39*$M$42,C39*$M$41),0)</f>
        <v>1040</v>
      </c>
      <c r="H39" s="171">
        <f t="shared" si="5"/>
        <v>0</v>
      </c>
      <c r="I39" s="171">
        <f t="shared" si="6"/>
        <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2036</v>
      </c>
      <c r="C40" s="171">
        <f>ROUND(D5*C22*C23*C24*C28*F40,0)</f>
        <v>4158</v>
      </c>
      <c r="D40" s="2094"/>
      <c r="E40" s="171">
        <f t="shared" si="4"/>
        <v>0</v>
      </c>
      <c r="F40" s="175">
        <f>SUMIF(修正!A57:A68,G2,修正!E57:E68)</f>
        <v>0.25</v>
      </c>
      <c r="G40" s="171">
        <f>ROUND(IF(E2="工业",C40*$M$42,C40*$M$41),0)</f>
        <v>1040</v>
      </c>
      <c r="H40" s="171">
        <f t="shared" si="5"/>
        <v>0</v>
      </c>
      <c r="I40" s="171">
        <f t="shared" si="6"/>
        <v>0</v>
      </c>
      <c r="J40" s="2110"/>
      <c r="L40" s="2112" t="s">
        <v>2037</v>
      </c>
      <c r="M40" s="2113"/>
      <c r="Z40" s="1116"/>
      <c r="AA40" s="1116"/>
      <c r="AB40" s="1116"/>
      <c r="AC40" s="1116"/>
      <c r="AD40" s="1116"/>
      <c r="AE40" s="1116"/>
      <c r="AF40" s="1116"/>
      <c r="AG40" s="1116"/>
      <c r="AH40" s="1116"/>
      <c r="AI40" s="1116"/>
      <c r="AJ40" s="1116"/>
    </row>
    <row r="41" spans="1:37" s="1115" customFormat="1">
      <c r="A41" s="2111"/>
      <c r="B41" s="2037" t="s">
        <v>2038</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3260</v>
      </c>
      <c r="M41" s="2114">
        <v>0.25</v>
      </c>
      <c r="Z41" s="1116"/>
      <c r="AA41" s="1116"/>
      <c r="AB41" s="1116"/>
      <c r="AC41" s="1116"/>
      <c r="AD41" s="1116"/>
      <c r="AE41" s="1116"/>
      <c r="AF41" s="1116"/>
      <c r="AG41" s="1116"/>
      <c r="AH41" s="1116"/>
      <c r="AI41" s="1116"/>
      <c r="AJ41" s="1116"/>
    </row>
    <row r="42" spans="1:37" s="1115" customFormat="1" ht="13.5" thickBot="1">
      <c r="A42" s="2097"/>
      <c r="B42" s="2115" t="s">
        <v>2039</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1991</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v>
      </c>
      <c r="D44" s="171" t="s">
        <v>1997</v>
      </c>
      <c r="E44" s="2149">
        <f>G24</f>
        <v>5.5E-2</v>
      </c>
      <c r="F44" s="171" t="s">
        <v>2006</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2040</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2041</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2042</v>
      </c>
      <c r="B49" s="1347" t="s">
        <v>2043</v>
      </c>
      <c r="C49" s="1347" t="s">
        <v>2044</v>
      </c>
      <c r="D49" s="1347" t="s">
        <v>2045</v>
      </c>
      <c r="E49" s="739" t="s">
        <v>2046</v>
      </c>
      <c r="F49" s="2127" t="s">
        <v>2047</v>
      </c>
      <c r="G49" s="1347" t="s">
        <v>310</v>
      </c>
      <c r="H49" s="2128" t="s">
        <v>2048</v>
      </c>
      <c r="I49" s="1347" t="s">
        <v>2049</v>
      </c>
      <c r="J49" s="552" t="s">
        <v>1719</v>
      </c>
      <c r="K49" s="552" t="s">
        <v>1720</v>
      </c>
      <c r="L49" s="552" t="s">
        <v>1721</v>
      </c>
      <c r="M49" s="552" t="s">
        <v>1722</v>
      </c>
      <c r="N49" s="552" t="s">
        <v>1723</v>
      </c>
      <c r="AA49" s="1116"/>
      <c r="AB49" s="1116"/>
      <c r="AC49" s="1116"/>
      <c r="AD49" s="1116"/>
      <c r="AE49" s="1116"/>
      <c r="AF49" s="1116"/>
      <c r="AG49" s="1116"/>
      <c r="AH49" s="1116"/>
      <c r="AI49" s="1116"/>
      <c r="AJ49" s="1116"/>
      <c r="AK49" s="1116"/>
    </row>
    <row r="50" spans="1:37" s="1115" customFormat="1" ht="24.75">
      <c r="A50" s="2126" t="s">
        <v>2050</v>
      </c>
      <c r="B50" s="2129" t="str">
        <f>估价对象房地状况!C4</f>
        <v>较好</v>
      </c>
      <c r="C50" s="2040"/>
      <c r="D50" s="1061">
        <f t="shared" ref="D50:D58" si="7">SUMIF($J$49:$N$49,C50,J50:N50)</f>
        <v>0</v>
      </c>
      <c r="E50" s="740">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6" t="s">
        <v>2051</v>
      </c>
      <c r="B51" s="2130" t="str">
        <f>估价对象房地状况!C18</f>
        <v>较好</v>
      </c>
      <c r="C51" s="2040"/>
      <c r="D51" s="1061">
        <f t="shared" si="7"/>
        <v>0</v>
      </c>
      <c r="E51" s="741"/>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2" t="s">
        <v>3262</v>
      </c>
      <c r="B52" s="2130">
        <f>估价对象房地状况!C19</f>
        <v>0</v>
      </c>
      <c r="C52" s="2040"/>
      <c r="D52" s="1061">
        <f t="shared" si="7"/>
        <v>0</v>
      </c>
      <c r="E52" s="741"/>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2052</v>
      </c>
      <c r="B53" s="2131" t="s">
        <v>2053</v>
      </c>
      <c r="C53" s="2040"/>
      <c r="D53" s="1061">
        <f t="shared" si="7"/>
        <v>0</v>
      </c>
      <c r="E53" s="741"/>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2054</v>
      </c>
      <c r="B54" s="2130">
        <f>估价对象房地状况!C24</f>
        <v>0</v>
      </c>
      <c r="C54" s="2040"/>
      <c r="D54" s="1061">
        <f t="shared" si="7"/>
        <v>0</v>
      </c>
      <c r="E54" s="741"/>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2055</v>
      </c>
      <c r="B55" s="2132" t="s">
        <v>2056</v>
      </c>
      <c r="C55" s="2040"/>
      <c r="D55" s="1061">
        <f t="shared" si="7"/>
        <v>0</v>
      </c>
      <c r="E55" s="741"/>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3" t="s">
        <v>2057</v>
      </c>
      <c r="B56" s="1322" t="str">
        <f>估价对象房地状况!C21</f>
        <v>较好</v>
      </c>
      <c r="C56" s="2040"/>
      <c r="D56" s="1061">
        <f t="shared" si="7"/>
        <v>0</v>
      </c>
      <c r="E56" s="741"/>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3" t="s">
        <v>2058</v>
      </c>
      <c r="B57" s="2130" t="str">
        <f>估价对象房地状况!C22</f>
        <v>七通</v>
      </c>
      <c r="C57" s="2040"/>
      <c r="D57" s="1061">
        <f t="shared" si="7"/>
        <v>0</v>
      </c>
      <c r="E57" s="741"/>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4" t="s">
        <v>2059</v>
      </c>
      <c r="B58" s="2135" t="str">
        <f>估价对象房地状况!C20</f>
        <v>较好</v>
      </c>
      <c r="C58" s="2040"/>
      <c r="D58" s="1061">
        <f t="shared" si="7"/>
        <v>0</v>
      </c>
      <c r="E58" s="742"/>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2060</v>
      </c>
      <c r="B59" s="2123">
        <f>1+E61</f>
        <v>1.0459000000000001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2042</v>
      </c>
      <c r="B60" s="1347"/>
      <c r="C60" s="1347" t="s">
        <v>2044</v>
      </c>
      <c r="D60" s="1347" t="s">
        <v>2045</v>
      </c>
      <c r="E60" s="739" t="s">
        <v>2046</v>
      </c>
      <c r="F60" s="2127" t="s">
        <v>2061</v>
      </c>
      <c r="G60" s="1347" t="s">
        <v>310</v>
      </c>
      <c r="H60" s="2128" t="s">
        <v>2048</v>
      </c>
      <c r="I60" s="1347" t="s">
        <v>2049</v>
      </c>
      <c r="J60" s="552" t="s">
        <v>1719</v>
      </c>
      <c r="K60" s="552" t="s">
        <v>1720</v>
      </c>
      <c r="L60" s="552" t="s">
        <v>1721</v>
      </c>
      <c r="M60" s="552" t="s">
        <v>1722</v>
      </c>
      <c r="N60" s="552" t="s">
        <v>1723</v>
      </c>
      <c r="AA60" s="1116"/>
      <c r="AB60" s="1116"/>
      <c r="AC60" s="1116"/>
      <c r="AD60" s="1116"/>
      <c r="AE60" s="1116"/>
      <c r="AF60" s="1116"/>
      <c r="AG60" s="1116"/>
      <c r="AH60" s="1116"/>
      <c r="AI60" s="1116"/>
      <c r="AJ60" s="1116"/>
      <c r="AK60" s="1116"/>
    </row>
    <row r="61" spans="1:37" s="1115" customFormat="1" ht="24">
      <c r="A61" s="2126" t="s">
        <v>2062</v>
      </c>
      <c r="B61" s="2129" t="str">
        <f>估价对象房地状况!C17</f>
        <v>较好</v>
      </c>
      <c r="C61" s="2040" t="s">
        <v>3403</v>
      </c>
      <c r="D61" s="1061">
        <f t="shared" ref="D61:D69" si="12">SUMIF($J$60:$N$60,C61,J61:N61)</f>
        <v>1.11E-2</v>
      </c>
      <c r="E61" s="740">
        <f>ROUND(SUM(D61:D69),4)</f>
        <v>4.5900000000000003E-2</v>
      </c>
      <c r="F61" s="1810">
        <f>IF(E2="办公",SUMIF(L1:L12,G2,N1:N12),"——")</f>
        <v>8.8999999999999996E-2</v>
      </c>
      <c r="G61" s="1059">
        <v>1.11E-2</v>
      </c>
      <c r="H61" s="1062">
        <f t="shared" ref="H61:H69" si="13">IFERROR(ROUNDDOWN($F$61*I61/2,4),"——")</f>
        <v>1.11E-2</v>
      </c>
      <c r="I61" s="3360">
        <v>0.25</v>
      </c>
      <c r="J61" s="1060">
        <f t="shared" ref="J61:J69" si="14">K61+$G61</f>
        <v>2.2200000000000001E-2</v>
      </c>
      <c r="K61" s="1060">
        <f t="shared" ref="K61:K69" si="15">$L61+$G61</f>
        <v>1.11E-2</v>
      </c>
      <c r="L61" s="1060">
        <v>0</v>
      </c>
      <c r="M61" s="1060">
        <f t="shared" ref="M61:N69" si="16">L61-$G61</f>
        <v>-1.11E-2</v>
      </c>
      <c r="N61" s="1060">
        <f t="shared" si="16"/>
        <v>-2.2200000000000001E-2</v>
      </c>
      <c r="AA61" s="1116"/>
      <c r="AB61" s="1116"/>
      <c r="AC61" s="1116"/>
      <c r="AD61" s="1116"/>
      <c r="AE61" s="1116"/>
      <c r="AF61" s="1116"/>
      <c r="AG61" s="1116"/>
      <c r="AH61" s="1116"/>
      <c r="AI61" s="1116"/>
      <c r="AJ61" s="1116"/>
      <c r="AK61" s="1116"/>
    </row>
    <row r="62" spans="1:37" s="1115" customFormat="1" ht="14.25">
      <c r="A62" s="2126" t="s">
        <v>2051</v>
      </c>
      <c r="B62" s="2130" t="str">
        <f>估价对象房地状况!C18</f>
        <v>较好</v>
      </c>
      <c r="C62" s="2040" t="s">
        <v>3403</v>
      </c>
      <c r="D62" s="1061">
        <f t="shared" si="12"/>
        <v>1.15E-2</v>
      </c>
      <c r="E62" s="741"/>
      <c r="F62" s="1810"/>
      <c r="G62" s="1059">
        <v>1.15E-2</v>
      </c>
      <c r="H62" s="1062">
        <f t="shared" si="13"/>
        <v>1.15E-2</v>
      </c>
      <c r="I62" s="3360">
        <v>0.26</v>
      </c>
      <c r="J62" s="1060">
        <f t="shared" si="14"/>
        <v>2.3E-2</v>
      </c>
      <c r="K62" s="1060">
        <f t="shared" si="15"/>
        <v>1.15E-2</v>
      </c>
      <c r="L62" s="1060">
        <v>0</v>
      </c>
      <c r="M62" s="1060">
        <f t="shared" si="16"/>
        <v>-1.15E-2</v>
      </c>
      <c r="N62" s="1060">
        <f t="shared" si="16"/>
        <v>-2.3E-2</v>
      </c>
      <c r="AA62" s="1116"/>
      <c r="AB62" s="1116"/>
      <c r="AC62" s="1116"/>
      <c r="AD62" s="1116"/>
      <c r="AE62" s="1116"/>
      <c r="AF62" s="1116"/>
      <c r="AG62" s="1116"/>
      <c r="AH62" s="1116"/>
      <c r="AI62" s="1116"/>
      <c r="AJ62" s="1116"/>
      <c r="AK62" s="1116"/>
    </row>
    <row r="63" spans="1:37" s="1115" customFormat="1" ht="36">
      <c r="A63" s="3362" t="s">
        <v>3262</v>
      </c>
      <c r="B63" s="2130">
        <f>估价对象房地状况!C19</f>
        <v>0</v>
      </c>
      <c r="C63" s="2040" t="s">
        <v>3403</v>
      </c>
      <c r="D63" s="1061">
        <f t="shared" si="12"/>
        <v>4.7999999999999996E-3</v>
      </c>
      <c r="E63" s="741"/>
      <c r="F63" s="1810"/>
      <c r="G63" s="1059">
        <v>4.7999999999999996E-3</v>
      </c>
      <c r="H63" s="1062">
        <f t="shared" si="13"/>
        <v>4.7999999999999996E-3</v>
      </c>
      <c r="I63" s="3360">
        <v>0.11</v>
      </c>
      <c r="J63" s="1060">
        <f t="shared" si="14"/>
        <v>9.5999999999999992E-3</v>
      </c>
      <c r="K63" s="1060">
        <f t="shared" si="15"/>
        <v>4.7999999999999996E-3</v>
      </c>
      <c r="L63" s="1060">
        <v>0</v>
      </c>
      <c r="M63" s="1060">
        <f t="shared" si="16"/>
        <v>-4.7999999999999996E-3</v>
      </c>
      <c r="N63" s="1060">
        <f t="shared" si="16"/>
        <v>-9.5999999999999992E-3</v>
      </c>
      <c r="AA63" s="1116"/>
      <c r="AB63" s="1116"/>
      <c r="AC63" s="1116"/>
      <c r="AD63" s="1116"/>
      <c r="AE63" s="1116"/>
      <c r="AF63" s="1116"/>
      <c r="AG63" s="1116"/>
      <c r="AH63" s="1116"/>
      <c r="AI63" s="1116"/>
      <c r="AJ63" s="1116"/>
      <c r="AK63" s="1116"/>
    </row>
    <row r="64" spans="1:37" s="1115" customFormat="1" ht="36.75">
      <c r="A64" s="2126" t="s">
        <v>2052</v>
      </c>
      <c r="B64" s="2131" t="s">
        <v>2053</v>
      </c>
      <c r="C64" s="2040" t="s">
        <v>3403</v>
      </c>
      <c r="D64" s="1061">
        <f t="shared" si="12"/>
        <v>2.2000000000000001E-3</v>
      </c>
      <c r="E64" s="741"/>
      <c r="F64" s="1810"/>
      <c r="G64" s="1059">
        <v>2.2000000000000001E-3</v>
      </c>
      <c r="H64" s="1062">
        <f t="shared" si="13"/>
        <v>2.2000000000000001E-3</v>
      </c>
      <c r="I64" s="3360">
        <v>0.05</v>
      </c>
      <c r="J64" s="1060">
        <f t="shared" si="14"/>
        <v>4.4000000000000003E-3</v>
      </c>
      <c r="K64" s="1060">
        <f t="shared" si="15"/>
        <v>2.2000000000000001E-3</v>
      </c>
      <c r="L64" s="1060">
        <v>0</v>
      </c>
      <c r="M64" s="1060">
        <f t="shared" si="16"/>
        <v>-2.2000000000000001E-3</v>
      </c>
      <c r="N64" s="1060">
        <f t="shared" si="16"/>
        <v>-4.4000000000000003E-3</v>
      </c>
      <c r="AA64" s="1116"/>
      <c r="AB64" s="1116"/>
      <c r="AC64" s="1116"/>
      <c r="AD64" s="1116"/>
      <c r="AE64" s="1116"/>
      <c r="AF64" s="1116"/>
      <c r="AG64" s="1116"/>
      <c r="AH64" s="1116"/>
      <c r="AI64" s="1116"/>
      <c r="AJ64" s="1116"/>
      <c r="AK64" s="1116"/>
    </row>
    <row r="65" spans="1:37" s="1115" customFormat="1" ht="24">
      <c r="A65" s="2126" t="s">
        <v>2054</v>
      </c>
      <c r="B65" s="2130">
        <f>估价对象房地状况!C24</f>
        <v>0</v>
      </c>
      <c r="C65" s="2040" t="s">
        <v>3406</v>
      </c>
      <c r="D65" s="1061">
        <f t="shared" si="12"/>
        <v>0</v>
      </c>
      <c r="E65" s="741"/>
      <c r="F65" s="1810"/>
      <c r="G65" s="1059">
        <v>2.2000000000000001E-3</v>
      </c>
      <c r="H65" s="1062">
        <f t="shared" si="13"/>
        <v>2.2000000000000001E-3</v>
      </c>
      <c r="I65" s="3360">
        <v>0.05</v>
      </c>
      <c r="J65" s="1060">
        <f t="shared" si="14"/>
        <v>4.4000000000000003E-3</v>
      </c>
      <c r="K65" s="1060">
        <f t="shared" si="15"/>
        <v>2.2000000000000001E-3</v>
      </c>
      <c r="L65" s="1060">
        <v>0</v>
      </c>
      <c r="M65" s="1060">
        <f t="shared" si="16"/>
        <v>-2.2000000000000001E-3</v>
      </c>
      <c r="N65" s="1060">
        <f t="shared" si="16"/>
        <v>-4.4000000000000003E-3</v>
      </c>
      <c r="AA65" s="1116"/>
      <c r="AB65" s="1116"/>
      <c r="AC65" s="1116"/>
      <c r="AD65" s="1116"/>
      <c r="AE65" s="1116"/>
      <c r="AF65" s="1116"/>
      <c r="AG65" s="1116"/>
      <c r="AH65" s="1116"/>
      <c r="AI65" s="1116"/>
      <c r="AJ65" s="1116"/>
      <c r="AK65" s="1116"/>
    </row>
    <row r="66" spans="1:37" s="1115" customFormat="1" ht="24">
      <c r="A66" s="2126" t="s">
        <v>2055</v>
      </c>
      <c r="B66" s="2132" t="s">
        <v>2056</v>
      </c>
      <c r="C66" s="2040" t="s">
        <v>3403</v>
      </c>
      <c r="D66" s="1061">
        <f t="shared" si="12"/>
        <v>2.5999999999999999E-3</v>
      </c>
      <c r="E66" s="741"/>
      <c r="F66" s="1810"/>
      <c r="G66" s="1059">
        <v>2.5999999999999999E-3</v>
      </c>
      <c r="H66" s="1062">
        <f t="shared" si="13"/>
        <v>2.5999999999999999E-3</v>
      </c>
      <c r="I66" s="3360">
        <v>0.06</v>
      </c>
      <c r="J66" s="1060">
        <f t="shared" si="14"/>
        <v>5.1999999999999998E-3</v>
      </c>
      <c r="K66" s="1060">
        <f t="shared" si="15"/>
        <v>2.5999999999999999E-3</v>
      </c>
      <c r="L66" s="1060">
        <v>0</v>
      </c>
      <c r="M66" s="1060">
        <f t="shared" si="16"/>
        <v>-2.5999999999999999E-3</v>
      </c>
      <c r="N66" s="1060">
        <f t="shared" si="16"/>
        <v>-5.1999999999999998E-3</v>
      </c>
      <c r="AA66" s="1116"/>
      <c r="AB66" s="1116"/>
      <c r="AC66" s="1116"/>
      <c r="AD66" s="1116"/>
      <c r="AE66" s="1116"/>
      <c r="AF66" s="1116"/>
      <c r="AG66" s="1116"/>
      <c r="AH66" s="1116"/>
      <c r="AI66" s="1116"/>
      <c r="AJ66" s="1116"/>
      <c r="AK66" s="1116"/>
    </row>
    <row r="67" spans="1:37" s="1115" customFormat="1" ht="24">
      <c r="A67" s="2126" t="s">
        <v>2057</v>
      </c>
      <c r="B67" s="1322" t="str">
        <f>估价对象房地状况!C21</f>
        <v>较好</v>
      </c>
      <c r="C67" s="2040" t="s">
        <v>3403</v>
      </c>
      <c r="D67" s="1061">
        <f t="shared" si="12"/>
        <v>2.5999999999999999E-3</v>
      </c>
      <c r="E67" s="741"/>
      <c r="F67" s="1810"/>
      <c r="G67" s="1059">
        <v>2.5999999999999999E-3</v>
      </c>
      <c r="H67" s="1062">
        <f t="shared" si="13"/>
        <v>2.5999999999999999E-3</v>
      </c>
      <c r="I67" s="3360">
        <v>0.06</v>
      </c>
      <c r="J67" s="1060">
        <f t="shared" si="14"/>
        <v>5.1999999999999998E-3</v>
      </c>
      <c r="K67" s="1060">
        <f t="shared" si="15"/>
        <v>2.5999999999999999E-3</v>
      </c>
      <c r="L67" s="1060">
        <v>0</v>
      </c>
      <c r="M67" s="1060">
        <f t="shared" si="16"/>
        <v>-2.5999999999999999E-3</v>
      </c>
      <c r="N67" s="1060">
        <f t="shared" si="16"/>
        <v>-5.1999999999999998E-3</v>
      </c>
      <c r="AA67" s="1116"/>
      <c r="AB67" s="1116"/>
      <c r="AC67" s="1116"/>
      <c r="AD67" s="1116"/>
      <c r="AE67" s="1116"/>
      <c r="AF67" s="1116"/>
      <c r="AG67" s="1116"/>
      <c r="AH67" s="1116"/>
      <c r="AI67" s="1116"/>
      <c r="AJ67" s="1116"/>
      <c r="AK67" s="1116"/>
    </row>
    <row r="68" spans="1:37" s="1115" customFormat="1" ht="24">
      <c r="A68" s="2126" t="s">
        <v>2058</v>
      </c>
      <c r="B68" s="1322" t="str">
        <f>估价对象房地状况!C22</f>
        <v>七通</v>
      </c>
      <c r="C68" s="2040" t="s">
        <v>3464</v>
      </c>
      <c r="D68" s="1061">
        <f t="shared" si="12"/>
        <v>8.0000000000000002E-3</v>
      </c>
      <c r="E68" s="741"/>
      <c r="F68" s="1810"/>
      <c r="G68" s="1059">
        <v>4.0000000000000001E-3</v>
      </c>
      <c r="H68" s="1062">
        <f t="shared" si="13"/>
        <v>4.0000000000000001E-3</v>
      </c>
      <c r="I68" s="3360">
        <v>0.09</v>
      </c>
      <c r="J68" s="1060">
        <f t="shared" si="14"/>
        <v>8.0000000000000002E-3</v>
      </c>
      <c r="K68" s="1060">
        <f t="shared" si="15"/>
        <v>4.0000000000000001E-3</v>
      </c>
      <c r="L68" s="1060">
        <v>0</v>
      </c>
      <c r="M68" s="1060">
        <f t="shared" si="16"/>
        <v>-4.0000000000000001E-3</v>
      </c>
      <c r="N68" s="1060">
        <f t="shared" si="16"/>
        <v>-8.0000000000000002E-3</v>
      </c>
      <c r="AA68" s="1116"/>
      <c r="AB68" s="1116"/>
      <c r="AC68" s="1116"/>
      <c r="AD68" s="1116"/>
      <c r="AE68" s="1116"/>
      <c r="AF68" s="1116"/>
      <c r="AG68" s="1116"/>
      <c r="AH68" s="1116"/>
      <c r="AI68" s="1116"/>
      <c r="AJ68" s="1116"/>
      <c r="AK68" s="1116"/>
    </row>
    <row r="69" spans="1:37" s="1115" customFormat="1" ht="24.75" thickBot="1">
      <c r="A69" s="2134" t="s">
        <v>2059</v>
      </c>
      <c r="B69" s="2136" t="str">
        <f>估价对象房地状况!C20</f>
        <v>较好</v>
      </c>
      <c r="C69" s="2040" t="s">
        <v>3403</v>
      </c>
      <c r="D69" s="1061">
        <f t="shared" si="12"/>
        <v>3.0999999999999999E-3</v>
      </c>
      <c r="E69" s="742"/>
      <c r="F69" s="1810"/>
      <c r="G69" s="1059">
        <v>3.0999999999999999E-3</v>
      </c>
      <c r="H69" s="1062">
        <f t="shared" si="13"/>
        <v>3.0999999999999999E-3</v>
      </c>
      <c r="I69" s="3361">
        <v>7.0000000000000007E-2</v>
      </c>
      <c r="J69" s="1060">
        <f t="shared" si="14"/>
        <v>6.1999999999999998E-3</v>
      </c>
      <c r="K69" s="1060">
        <f t="shared" si="15"/>
        <v>3.0999999999999999E-3</v>
      </c>
      <c r="L69" s="1060">
        <v>0</v>
      </c>
      <c r="M69" s="1060">
        <f t="shared" si="16"/>
        <v>-3.0999999999999999E-3</v>
      </c>
      <c r="N69" s="1060">
        <f t="shared" si="16"/>
        <v>-6.1999999999999998E-3</v>
      </c>
      <c r="AA69" s="1116"/>
      <c r="AB69" s="1116"/>
      <c r="AC69" s="1116"/>
      <c r="AD69" s="1116"/>
      <c r="AE69" s="1116"/>
      <c r="AF69" s="1116"/>
      <c r="AG69" s="1116"/>
      <c r="AH69" s="1116"/>
      <c r="AI69" s="1116"/>
      <c r="AJ69" s="1116"/>
      <c r="AK69" s="1116"/>
    </row>
    <row r="70" spans="1:37" s="1115" customFormat="1" ht="15">
      <c r="A70" s="2122" t="s">
        <v>2063</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2042</v>
      </c>
      <c r="B71" s="1347"/>
      <c r="C71" s="1347" t="s">
        <v>2044</v>
      </c>
      <c r="D71" s="1347" t="s">
        <v>2045</v>
      </c>
      <c r="E71" s="739" t="s">
        <v>2046</v>
      </c>
      <c r="F71" s="2127" t="s">
        <v>2061</v>
      </c>
      <c r="G71" s="1347" t="s">
        <v>310</v>
      </c>
      <c r="H71" s="2128" t="s">
        <v>2048</v>
      </c>
      <c r="I71" s="1347" t="s">
        <v>2049</v>
      </c>
      <c r="J71" s="552" t="s">
        <v>1719</v>
      </c>
      <c r="K71" s="552" t="s">
        <v>1720</v>
      </c>
      <c r="L71" s="552" t="s">
        <v>1721</v>
      </c>
      <c r="M71" s="552" t="s">
        <v>1722</v>
      </c>
      <c r="N71" s="552" t="s">
        <v>1723</v>
      </c>
      <c r="AA71" s="1116"/>
      <c r="AB71" s="1116"/>
      <c r="AC71" s="1116"/>
      <c r="AD71" s="1116"/>
      <c r="AE71" s="1116"/>
      <c r="AF71" s="1116"/>
      <c r="AG71" s="1116"/>
      <c r="AH71" s="1116"/>
      <c r="AI71" s="1116"/>
      <c r="AJ71" s="1116"/>
      <c r="AK71" s="1116"/>
    </row>
    <row r="72" spans="1:37" s="1115" customFormat="1" ht="24">
      <c r="A72" s="2126" t="s">
        <v>2064</v>
      </c>
      <c r="B72" s="2129" t="str">
        <f>估价对象房地状况!C15</f>
        <v>较好</v>
      </c>
      <c r="C72" s="2040"/>
      <c r="D72" s="1061">
        <f t="shared" ref="D72:D80" si="17">SUMIF($J$71:$N$71,C72,J72:N72)</f>
        <v>0</v>
      </c>
      <c r="E72" s="740">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2051</v>
      </c>
      <c r="B73" s="2130" t="str">
        <f>估价对象房地状况!C18</f>
        <v>较好</v>
      </c>
      <c r="C73" s="2040"/>
      <c r="D73" s="1061">
        <f t="shared" si="17"/>
        <v>0</v>
      </c>
      <c r="E73" s="743"/>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2" t="s">
        <v>3262</v>
      </c>
      <c r="B74" s="2130">
        <f>估价对象房地状况!C19</f>
        <v>0</v>
      </c>
      <c r="C74" s="2040"/>
      <c r="D74" s="1061">
        <f t="shared" si="17"/>
        <v>0</v>
      </c>
      <c r="E74" s="743"/>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2065</v>
      </c>
      <c r="B75" s="2130">
        <f>估价对象房地状况!C24</f>
        <v>0</v>
      </c>
      <c r="C75" s="2040"/>
      <c r="D75" s="1061">
        <f t="shared" si="17"/>
        <v>0</v>
      </c>
      <c r="E75" s="743"/>
      <c r="F75" s="1810"/>
      <c r="G75" s="1059"/>
      <c r="H75" s="1062" t="str">
        <f t="shared" si="18"/>
        <v>——</v>
      </c>
      <c r="I75" s="3360">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2057</v>
      </c>
      <c r="B76" s="1322" t="str">
        <f>估价对象房地状况!C21</f>
        <v>较好</v>
      </c>
      <c r="C76" s="2040"/>
      <c r="D76" s="1061">
        <f t="shared" si="17"/>
        <v>0</v>
      </c>
      <c r="E76" s="743"/>
      <c r="F76" s="1810"/>
      <c r="G76" s="1059"/>
      <c r="H76" s="1062" t="str">
        <f t="shared" si="18"/>
        <v>——</v>
      </c>
      <c r="I76" s="3360">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2058</v>
      </c>
      <c r="B77" s="1322" t="str">
        <f>估价对象房地状况!C22</f>
        <v>七通</v>
      </c>
      <c r="C77" s="2040"/>
      <c r="D77" s="1061">
        <f t="shared" si="17"/>
        <v>0</v>
      </c>
      <c r="E77" s="743"/>
      <c r="F77" s="1810"/>
      <c r="G77" s="1059"/>
      <c r="H77" s="1062" t="str">
        <f t="shared" si="18"/>
        <v>——</v>
      </c>
      <c r="I77" s="3360">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2055</v>
      </c>
      <c r="B78" s="2132" t="s">
        <v>2056</v>
      </c>
      <c r="C78" s="2040"/>
      <c r="D78" s="1061">
        <f t="shared" si="17"/>
        <v>0</v>
      </c>
      <c r="E78" s="743"/>
      <c r="F78" s="1810"/>
      <c r="G78" s="1059"/>
      <c r="H78" s="1062" t="str">
        <f t="shared" si="18"/>
        <v>——</v>
      </c>
      <c r="I78" s="3360">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2059</v>
      </c>
      <c r="B79" s="2129" t="str">
        <f>估价对象房地状况!C20</f>
        <v>较好</v>
      </c>
      <c r="C79" s="2040"/>
      <c r="D79" s="1061">
        <f t="shared" si="17"/>
        <v>0</v>
      </c>
      <c r="E79" s="743"/>
      <c r="F79" s="1810"/>
      <c r="G79" s="1059"/>
      <c r="H79" s="1062" t="str">
        <f t="shared" si="18"/>
        <v>——</v>
      </c>
      <c r="I79" s="3360">
        <v>0.12</v>
      </c>
      <c r="J79" s="1060">
        <f t="shared" si="19"/>
        <v>0</v>
      </c>
      <c r="K79" s="1060">
        <f t="shared" si="20"/>
        <v>0</v>
      </c>
      <c r="L79" s="1060">
        <v>0</v>
      </c>
      <c r="M79" s="1060">
        <f t="shared" si="21"/>
        <v>0</v>
      </c>
      <c r="N79" s="1060">
        <f t="shared" si="21"/>
        <v>0</v>
      </c>
      <c r="Z79" s="1994"/>
      <c r="AA79" s="2049"/>
      <c r="AG79" s="1117"/>
      <c r="AK79" s="2049"/>
    </row>
    <row r="80" spans="1:37" ht="24.75" thickBot="1">
      <c r="A80" s="2134" t="s">
        <v>2066</v>
      </c>
      <c r="B80" s="2138"/>
      <c r="C80" s="2040"/>
      <c r="D80" s="1061">
        <f t="shared" si="17"/>
        <v>0</v>
      </c>
      <c r="E80" s="744"/>
      <c r="F80" s="1810"/>
      <c r="G80" s="1059"/>
      <c r="H80" s="1062" t="str">
        <f t="shared" si="18"/>
        <v>——</v>
      </c>
      <c r="I80" s="3361">
        <v>0.05</v>
      </c>
      <c r="J80" s="1060">
        <f t="shared" si="19"/>
        <v>0</v>
      </c>
      <c r="K80" s="1060">
        <f t="shared" si="20"/>
        <v>0</v>
      </c>
      <c r="L80" s="1060">
        <v>0</v>
      </c>
      <c r="M80" s="1060">
        <f t="shared" si="21"/>
        <v>0</v>
      </c>
      <c r="N80" s="1060">
        <f t="shared" si="21"/>
        <v>0</v>
      </c>
      <c r="Z80" s="1994"/>
      <c r="AA80" s="2049"/>
      <c r="AG80" s="1117"/>
      <c r="AK80" s="2049"/>
    </row>
    <row r="81" spans="1:37" ht="15">
      <c r="A81" s="2122" t="s">
        <v>2067</v>
      </c>
      <c r="B81" s="2123">
        <f>1+E83</f>
        <v>1</v>
      </c>
      <c r="C81" s="737"/>
      <c r="D81" s="737"/>
      <c r="E81" s="738"/>
      <c r="F81" s="2125"/>
      <c r="G81" s="3"/>
      <c r="H81" s="3"/>
      <c r="I81" s="3"/>
      <c r="J81" s="4"/>
      <c r="K81" s="4"/>
      <c r="L81" s="4"/>
      <c r="M81" s="4"/>
      <c r="N81" s="4"/>
      <c r="Z81" s="1994"/>
      <c r="AA81" s="2049"/>
      <c r="AG81" s="1117"/>
      <c r="AK81" s="2049"/>
    </row>
    <row r="82" spans="1:37" ht="24.75">
      <c r="A82" s="2126" t="s">
        <v>2042</v>
      </c>
      <c r="B82" s="1347"/>
      <c r="C82" s="1347" t="s">
        <v>2044</v>
      </c>
      <c r="D82" s="1347" t="s">
        <v>2045</v>
      </c>
      <c r="E82" s="739" t="s">
        <v>2046</v>
      </c>
      <c r="F82" s="2127" t="s">
        <v>2061</v>
      </c>
      <c r="G82" s="1347" t="s">
        <v>310</v>
      </c>
      <c r="H82" s="2128" t="s">
        <v>2048</v>
      </c>
      <c r="I82" s="1347" t="s">
        <v>2049</v>
      </c>
      <c r="J82" s="552" t="s">
        <v>1719</v>
      </c>
      <c r="K82" s="552" t="s">
        <v>1720</v>
      </c>
      <c r="L82" s="552" t="s">
        <v>1721</v>
      </c>
      <c r="M82" s="552" t="s">
        <v>1722</v>
      </c>
      <c r="N82" s="552" t="s">
        <v>1723</v>
      </c>
      <c r="Z82" s="1994"/>
      <c r="AA82" s="2049"/>
      <c r="AG82" s="1117"/>
      <c r="AK82" s="2049"/>
    </row>
    <row r="83" spans="1:37" ht="38.25">
      <c r="A83" s="2126" t="s">
        <v>2068</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2051</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0">
        <v>0.3</v>
      </c>
      <c r="J84" s="1060">
        <f t="shared" si="24"/>
        <v>0</v>
      </c>
      <c r="K84" s="1060">
        <f t="shared" si="25"/>
        <v>0</v>
      </c>
      <c r="L84" s="1060">
        <v>0</v>
      </c>
      <c r="M84" s="1060">
        <f t="shared" si="26"/>
        <v>0</v>
      </c>
      <c r="N84" s="1060">
        <f t="shared" si="26"/>
        <v>0</v>
      </c>
      <c r="Z84" s="1994"/>
      <c r="AA84" s="2049"/>
      <c r="AG84" s="1117"/>
      <c r="AK84" s="2049"/>
    </row>
    <row r="85" spans="1:37" ht="36">
      <c r="A85" s="3362" t="s">
        <v>3263</v>
      </c>
      <c r="B85" s="2130">
        <f>估价对象房地状况!G17</f>
        <v>0</v>
      </c>
      <c r="C85" s="2040"/>
      <c r="D85" s="1061">
        <f t="shared" si="22"/>
        <v>0</v>
      </c>
      <c r="E85" s="743"/>
      <c r="F85" s="1810"/>
      <c r="G85" s="1059"/>
      <c r="H85" s="1062" t="str">
        <f t="shared" si="23"/>
        <v>——</v>
      </c>
      <c r="I85" s="3360">
        <v>0.1</v>
      </c>
      <c r="J85" s="1060">
        <f t="shared" si="24"/>
        <v>0</v>
      </c>
      <c r="K85" s="1060">
        <f t="shared" si="25"/>
        <v>0</v>
      </c>
      <c r="L85" s="1060">
        <v>0</v>
      </c>
      <c r="M85" s="1060">
        <f t="shared" si="26"/>
        <v>0</v>
      </c>
      <c r="N85" s="1060">
        <f t="shared" si="26"/>
        <v>0</v>
      </c>
      <c r="Z85" s="1994"/>
      <c r="AA85" s="2049"/>
      <c r="AG85" s="1117"/>
      <c r="AK85" s="2049"/>
    </row>
    <row r="86" spans="1:37" ht="14.25">
      <c r="A86" s="2126" t="s">
        <v>2065</v>
      </c>
      <c r="B86" s="2130">
        <f>估价对象房地状况!G22</f>
        <v>0</v>
      </c>
      <c r="C86" s="2040"/>
      <c r="D86" s="1061">
        <f t="shared" si="22"/>
        <v>0</v>
      </c>
      <c r="E86" s="743"/>
      <c r="F86" s="1810"/>
      <c r="G86" s="1059"/>
      <c r="H86" s="1062" t="str">
        <f t="shared" si="23"/>
        <v>——</v>
      </c>
      <c r="I86" s="3360">
        <v>0.05</v>
      </c>
      <c r="J86" s="1060">
        <f t="shared" si="24"/>
        <v>0</v>
      </c>
      <c r="K86" s="1060">
        <f t="shared" si="25"/>
        <v>0</v>
      </c>
      <c r="L86" s="1060">
        <v>0</v>
      </c>
      <c r="M86" s="1060">
        <f t="shared" si="26"/>
        <v>0</v>
      </c>
      <c r="N86" s="1060">
        <f t="shared" si="26"/>
        <v>0</v>
      </c>
      <c r="Z86" s="1994"/>
      <c r="AA86" s="2049"/>
      <c r="AG86" s="1117"/>
      <c r="AK86" s="2049"/>
    </row>
    <row r="87" spans="1:37" ht="25.5">
      <c r="A87" s="2126" t="s">
        <v>2057</v>
      </c>
      <c r="B87" s="1322" t="str">
        <f>估价对象房地状况!G19</f>
        <v>估价对象所在区域公共配套设施齐备情况</v>
      </c>
      <c r="C87" s="2040"/>
      <c r="D87" s="1061">
        <f t="shared" si="22"/>
        <v>0</v>
      </c>
      <c r="E87" s="743"/>
      <c r="F87" s="1810"/>
      <c r="G87" s="1059"/>
      <c r="H87" s="1062" t="str">
        <f t="shared" si="23"/>
        <v>——</v>
      </c>
      <c r="I87" s="3360">
        <v>0.06</v>
      </c>
      <c r="J87" s="1060">
        <f t="shared" si="24"/>
        <v>0</v>
      </c>
      <c r="K87" s="1060">
        <f t="shared" si="25"/>
        <v>0</v>
      </c>
      <c r="L87" s="1060">
        <v>0</v>
      </c>
      <c r="M87" s="1060">
        <f t="shared" si="26"/>
        <v>0</v>
      </c>
      <c r="N87" s="1060">
        <f t="shared" si="26"/>
        <v>0</v>
      </c>
    </row>
    <row r="88" spans="1:37" ht="25.5">
      <c r="A88" s="2126" t="s">
        <v>2058</v>
      </c>
      <c r="B88" s="1322" t="str">
        <f>估价对象房地状况!G20</f>
        <v>估价对象所在区域基础设施水平</v>
      </c>
      <c r="C88" s="2040"/>
      <c r="D88" s="1061">
        <f t="shared" si="22"/>
        <v>0</v>
      </c>
      <c r="E88" s="743"/>
      <c r="F88" s="1810"/>
      <c r="G88" s="1059"/>
      <c r="H88" s="1062" t="str">
        <f t="shared" si="23"/>
        <v>——</v>
      </c>
      <c r="I88" s="3360">
        <v>0.12</v>
      </c>
      <c r="J88" s="1060">
        <f t="shared" si="24"/>
        <v>0</v>
      </c>
      <c r="K88" s="1060">
        <f t="shared" si="25"/>
        <v>0</v>
      </c>
      <c r="L88" s="1060">
        <v>0</v>
      </c>
      <c r="M88" s="1060">
        <f t="shared" si="26"/>
        <v>0</v>
      </c>
      <c r="N88" s="1060">
        <f t="shared" si="26"/>
        <v>0</v>
      </c>
    </row>
    <row r="89" spans="1:37" ht="24">
      <c r="A89" s="2126" t="s">
        <v>2055</v>
      </c>
      <c r="B89" s="2132" t="s">
        <v>2069</v>
      </c>
      <c r="C89" s="2040"/>
      <c r="D89" s="1061">
        <f t="shared" si="22"/>
        <v>0</v>
      </c>
      <c r="E89" s="743"/>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4" t="s">
        <v>2070</v>
      </c>
      <c r="B90" s="2139" t="str">
        <f>估价对象房地状况!G18</f>
        <v>该园区内是否有污染型企业，绿化情况，卫生条件，整体环境状况判断</v>
      </c>
      <c r="C90" s="2040"/>
      <c r="D90" s="1061">
        <f t="shared" si="22"/>
        <v>0</v>
      </c>
      <c r="E90" s="744"/>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2605</v>
      </c>
      <c r="B91" s="3371">
        <f>1+E93</f>
        <v>1</v>
      </c>
      <c r="C91" s="3364"/>
      <c r="D91" s="3365"/>
      <c r="E91" s="1810"/>
      <c r="F91" s="1810"/>
      <c r="G91" s="3366"/>
      <c r="H91" s="3367"/>
      <c r="I91" s="3368"/>
      <c r="J91" s="3369"/>
      <c r="K91" s="3369"/>
      <c r="L91" s="3369"/>
      <c r="M91" s="3369"/>
      <c r="N91" s="3369"/>
    </row>
    <row r="92" spans="1:37" ht="24.75">
      <c r="A92" s="3372" t="s">
        <v>3264</v>
      </c>
      <c r="B92" s="3359"/>
      <c r="C92" s="3359" t="s">
        <v>3273</v>
      </c>
      <c r="D92" s="3359" t="s">
        <v>3274</v>
      </c>
      <c r="E92" s="3341" t="s">
        <v>3275</v>
      </c>
      <c r="F92" s="3374" t="s">
        <v>3276</v>
      </c>
      <c r="G92" s="3359" t="s">
        <v>3277</v>
      </c>
      <c r="H92" s="3381" t="s">
        <v>3280</v>
      </c>
      <c r="I92" s="3359" t="s">
        <v>3281</v>
      </c>
      <c r="J92" s="3382" t="s">
        <v>3282</v>
      </c>
      <c r="K92" s="3382" t="s">
        <v>3283</v>
      </c>
      <c r="L92" s="3382" t="s">
        <v>3284</v>
      </c>
      <c r="M92" s="3382" t="s">
        <v>3285</v>
      </c>
      <c r="N92" s="3382" t="s">
        <v>3286</v>
      </c>
    </row>
    <row r="93" spans="1:37" ht="24">
      <c r="A93" s="3362" t="s">
        <v>3265</v>
      </c>
      <c r="B93" s="1302"/>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3266</v>
      </c>
      <c r="B94" s="3363" t="str">
        <f>估价对象房地状况!C18</f>
        <v>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3262</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3267</v>
      </c>
      <c r="B96" s="3378" t="s">
        <v>3278</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3268</v>
      </c>
      <c r="B97" s="3363">
        <f>估价对象房地状况!C24</f>
        <v>0</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3269</v>
      </c>
      <c r="B98" s="3379" t="s">
        <v>3279</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4">
      <c r="A99" s="3372" t="s">
        <v>3270</v>
      </c>
      <c r="B99" s="3363" t="str">
        <f>估价对象房地状况!C21</f>
        <v>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4">
      <c r="A100" s="3372" t="s">
        <v>3271</v>
      </c>
      <c r="B100" s="3363" t="str">
        <f>估价对象房地状况!C22</f>
        <v>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3272</v>
      </c>
      <c r="B101" s="3380" t="str">
        <f>估价对象房地状况!C20</f>
        <v>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84" t="s">
        <v>3287</v>
      </c>
      <c r="B103" s="3784"/>
      <c r="C103" s="3784"/>
      <c r="D103" s="3784"/>
      <c r="E103" s="3784"/>
      <c r="F103" s="3784"/>
      <c r="G103" s="3784"/>
      <c r="H103" s="3784"/>
      <c r="I103" s="3784"/>
      <c r="J103" s="3784"/>
      <c r="K103" s="3383"/>
      <c r="L103" s="3383"/>
      <c r="M103" s="3383"/>
      <c r="N103" s="3383"/>
    </row>
    <row r="104" spans="1:14">
      <c r="A104" s="3785" t="s">
        <v>3288</v>
      </c>
      <c r="B104" s="3785" t="s">
        <v>3289</v>
      </c>
      <c r="C104" s="3384" t="s">
        <v>3290</v>
      </c>
      <c r="D104" s="3385"/>
      <c r="E104" s="3385"/>
      <c r="F104" s="3385"/>
      <c r="G104" s="3385"/>
      <c r="H104" s="3385"/>
      <c r="I104" s="3385"/>
      <c r="J104" s="3386"/>
      <c r="K104" s="3387"/>
      <c r="L104" s="3387"/>
      <c r="M104" s="3387"/>
      <c r="N104" s="3387"/>
    </row>
    <row r="105" spans="1:14">
      <c r="A105" s="3785"/>
      <c r="B105" s="3785"/>
      <c r="C105" s="3388" t="s">
        <v>3291</v>
      </c>
      <c r="D105" s="3388" t="s">
        <v>3292</v>
      </c>
      <c r="E105" s="3388" t="s">
        <v>3293</v>
      </c>
      <c r="F105" s="3388" t="s">
        <v>3294</v>
      </c>
      <c r="G105" s="3388" t="s">
        <v>3295</v>
      </c>
      <c r="H105" s="3388" t="s">
        <v>3296</v>
      </c>
      <c r="I105" s="3388" t="s">
        <v>3297</v>
      </c>
      <c r="J105" s="3388" t="s">
        <v>3298</v>
      </c>
      <c r="K105" s="3388" t="s">
        <v>3299</v>
      </c>
      <c r="L105" s="3388" t="s">
        <v>3300</v>
      </c>
      <c r="M105" s="3388" t="s">
        <v>3301</v>
      </c>
      <c r="N105" s="3388" t="s">
        <v>3302</v>
      </c>
    </row>
    <row r="106" spans="1:14">
      <c r="A106" s="3771" t="s">
        <v>3303</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2"/>
      <c r="B111" s="3388" t="s">
        <v>3261</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73"/>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74" t="s">
        <v>3304</v>
      </c>
      <c r="B113" s="3774"/>
      <c r="C113" s="3774"/>
      <c r="D113" s="3774"/>
      <c r="E113" s="3774"/>
      <c r="F113" s="3774"/>
      <c r="G113" s="3774"/>
      <c r="H113" s="3774"/>
      <c r="I113" s="3774"/>
      <c r="J113" s="37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3305</v>
      </c>
      <c r="B116" s="3409">
        <f>G3</f>
        <v>3.7</v>
      </c>
      <c r="C116" s="3393" t="s">
        <v>3306</v>
      </c>
      <c r="D116" s="3394">
        <f>SUMPRODUCT((A118:A122=F116)*(B117:M117=H116)*B118:M122)</f>
        <v>0.88900000000000001</v>
      </c>
      <c r="E116" s="1996" t="s">
        <v>3307</v>
      </c>
      <c r="F116" s="3395" t="str">
        <f>E2</f>
        <v>办公</v>
      </c>
      <c r="G116" s="1996" t="s">
        <v>3308</v>
      </c>
      <c r="H116" s="3395" t="str">
        <f>G2</f>
        <v>四级</v>
      </c>
      <c r="I116" s="1996"/>
      <c r="J116" s="3396"/>
      <c r="K116" s="3396"/>
      <c r="L116" s="3396"/>
      <c r="M116" s="3396"/>
      <c r="N116" s="3391"/>
    </row>
    <row r="117" spans="1:14">
      <c r="A117" s="3397"/>
      <c r="B117" s="3398" t="s">
        <v>3309</v>
      </c>
      <c r="C117" s="3398" t="s">
        <v>3310</v>
      </c>
      <c r="D117" s="3398" t="s">
        <v>3311</v>
      </c>
      <c r="E117" s="3399" t="s">
        <v>3312</v>
      </c>
      <c r="F117" s="3399" t="s">
        <v>3313</v>
      </c>
      <c r="G117" s="3399" t="s">
        <v>3314</v>
      </c>
      <c r="H117" s="3400" t="s">
        <v>3315</v>
      </c>
      <c r="I117" s="3400" t="s">
        <v>3316</v>
      </c>
      <c r="J117" s="3401" t="s">
        <v>3317</v>
      </c>
      <c r="K117" s="3401" t="s">
        <v>3318</v>
      </c>
      <c r="L117" s="3401" t="s">
        <v>3319</v>
      </c>
      <c r="M117" s="3402" t="s">
        <v>3320</v>
      </c>
      <c r="N117" s="3391"/>
    </row>
    <row r="118" spans="1:14">
      <c r="A118" s="3403" t="s">
        <v>3321</v>
      </c>
      <c r="B118" s="3381">
        <f>ROUND(0.9968-0.011*B116,4)</f>
        <v>0.95609999999999995</v>
      </c>
      <c r="C118" s="3381">
        <f>B118</f>
        <v>0.95609999999999995</v>
      </c>
      <c r="D118" s="3381">
        <f>ROUND(0.949-0.014*B116,4)</f>
        <v>0.8972</v>
      </c>
      <c r="E118" s="3381">
        <f>D118</f>
        <v>0.8972</v>
      </c>
      <c r="F118" s="3381">
        <f>E118</f>
        <v>0.8972</v>
      </c>
      <c r="G118" s="3381">
        <f>F118</f>
        <v>0.8972</v>
      </c>
      <c r="H118" s="3381">
        <f>G118</f>
        <v>0.8972</v>
      </c>
      <c r="I118" s="3381">
        <f>ROUND(0.8486-0.018*B116,4)</f>
        <v>0.78200000000000003</v>
      </c>
      <c r="J118" s="3381">
        <f t="shared" ref="J118:M122" si="35">I118</f>
        <v>0.78200000000000003</v>
      </c>
      <c r="K118" s="3381">
        <f t="shared" si="35"/>
        <v>0.78200000000000003</v>
      </c>
      <c r="L118" s="3381">
        <f t="shared" si="35"/>
        <v>0.78200000000000003</v>
      </c>
      <c r="M118" s="3404">
        <f t="shared" si="35"/>
        <v>0.78200000000000003</v>
      </c>
      <c r="N118" s="3391"/>
    </row>
    <row r="119" spans="1:14">
      <c r="A119" s="3403" t="s">
        <v>3322</v>
      </c>
      <c r="B119" s="3381">
        <f>ROUND(0.993-0.0112*B116,4)</f>
        <v>0.9516</v>
      </c>
      <c r="C119" s="3381">
        <f>B119</f>
        <v>0.9516</v>
      </c>
      <c r="D119" s="3381">
        <f>ROUND(0.9415-0.0142*B116,4)</f>
        <v>0.88900000000000001</v>
      </c>
      <c r="E119" s="3381">
        <f t="shared" ref="E119:H120" si="36">D119</f>
        <v>0.88900000000000001</v>
      </c>
      <c r="F119" s="3381">
        <f t="shared" si="36"/>
        <v>0.88900000000000001</v>
      </c>
      <c r="G119" s="3381">
        <f t="shared" si="36"/>
        <v>0.88900000000000001</v>
      </c>
      <c r="H119" s="3381">
        <f t="shared" si="36"/>
        <v>0.88900000000000001</v>
      </c>
      <c r="I119" s="3381">
        <f>ROUND(0.838-0.0182*B116,4)</f>
        <v>0.77070000000000005</v>
      </c>
      <c r="J119" s="3381">
        <f t="shared" si="35"/>
        <v>0.77070000000000005</v>
      </c>
      <c r="K119" s="3381">
        <f t="shared" si="35"/>
        <v>0.77070000000000005</v>
      </c>
      <c r="L119" s="3381">
        <f t="shared" si="35"/>
        <v>0.77070000000000005</v>
      </c>
      <c r="M119" s="3404">
        <f t="shared" si="35"/>
        <v>0.77070000000000005</v>
      </c>
      <c r="N119" s="3391"/>
    </row>
    <row r="120" spans="1:14">
      <c r="A120" s="3403" t="s">
        <v>3323</v>
      </c>
      <c r="B120" s="3381">
        <f>ROUND(0.9448-0.0115*B116,4)</f>
        <v>0.90229999999999999</v>
      </c>
      <c r="C120" s="3381">
        <f>B120</f>
        <v>0.90229999999999999</v>
      </c>
      <c r="D120" s="3381">
        <f>ROUND(0.937-0.0145*B116,4)</f>
        <v>0.88339999999999996</v>
      </c>
      <c r="E120" s="3381">
        <f t="shared" si="36"/>
        <v>0.88339999999999996</v>
      </c>
      <c r="F120" s="3381">
        <f t="shared" si="36"/>
        <v>0.88339999999999996</v>
      </c>
      <c r="G120" s="3381">
        <f t="shared" si="36"/>
        <v>0.88339999999999996</v>
      </c>
      <c r="H120" s="3381">
        <f t="shared" si="36"/>
        <v>0.88339999999999996</v>
      </c>
      <c r="I120" s="3381">
        <f>ROUND(0.7965-0.0185*B116,4)</f>
        <v>0.72809999999999997</v>
      </c>
      <c r="J120" s="3381">
        <f t="shared" si="35"/>
        <v>0.72809999999999997</v>
      </c>
      <c r="K120" s="3381">
        <f t="shared" si="35"/>
        <v>0.72809999999999997</v>
      </c>
      <c r="L120" s="3381">
        <f t="shared" si="35"/>
        <v>0.72809999999999997</v>
      </c>
      <c r="M120" s="3404">
        <f t="shared" si="35"/>
        <v>0.72809999999999997</v>
      </c>
      <c r="N120" s="3391"/>
    </row>
    <row r="121" spans="1:14" ht="13.5" thickBot="1">
      <c r="A121" s="3405" t="s">
        <v>3324</v>
      </c>
      <c r="B121" s="3406">
        <f>ROUND(0.7836-0.012*B116,4)</f>
        <v>0.73919999999999997</v>
      </c>
      <c r="C121" s="3406">
        <f>B121</f>
        <v>0.73919999999999997</v>
      </c>
      <c r="D121" s="3406">
        <f>ROUND(0.753-0.015*B116,4)</f>
        <v>0.69750000000000001</v>
      </c>
      <c r="E121" s="3406">
        <f>D121</f>
        <v>0.69750000000000001</v>
      </c>
      <c r="F121" s="3406">
        <f>E121</f>
        <v>0.69750000000000001</v>
      </c>
      <c r="G121" s="3406">
        <f>ROUND(0.6612-0.018*B116,4)</f>
        <v>0.59460000000000002</v>
      </c>
      <c r="H121" s="3406">
        <f>G121</f>
        <v>0.59460000000000002</v>
      </c>
      <c r="I121" s="3406">
        <f>ROUND(0.5905-0.019*B116,4)</f>
        <v>0.5202</v>
      </c>
      <c r="J121" s="3406">
        <f t="shared" si="35"/>
        <v>0.5202</v>
      </c>
      <c r="K121" s="3406">
        <f t="shared" si="35"/>
        <v>0.5202</v>
      </c>
      <c r="L121" s="3406">
        <f t="shared" si="35"/>
        <v>0.5202</v>
      </c>
      <c r="M121" s="3407">
        <f t="shared" si="35"/>
        <v>0.5202</v>
      </c>
      <c r="N121" s="3391"/>
    </row>
    <row r="122" spans="1:14">
      <c r="A122" s="3408" t="s">
        <v>2605</v>
      </c>
      <c r="B122" s="3381">
        <f>ROUND(0.9404-0.0106*B116,4)</f>
        <v>0.9012</v>
      </c>
      <c r="C122" s="3381">
        <f>B122</f>
        <v>0.9012</v>
      </c>
      <c r="D122" s="3381">
        <f>ROUND(0.8955-0.0135*B116,4)</f>
        <v>0.84560000000000002</v>
      </c>
      <c r="E122" s="3381">
        <f t="shared" ref="E122:H122" si="37">D122</f>
        <v>0.84560000000000002</v>
      </c>
      <c r="F122" s="3381">
        <f t="shared" si="37"/>
        <v>0.84560000000000002</v>
      </c>
      <c r="G122" s="3381">
        <f t="shared" si="37"/>
        <v>0.84560000000000002</v>
      </c>
      <c r="H122" s="3381">
        <f t="shared" si="37"/>
        <v>0.84560000000000002</v>
      </c>
      <c r="I122" s="3381">
        <f>ROUND(0.7632-0.0166*B116,4)</f>
        <v>0.70179999999999998</v>
      </c>
      <c r="J122" s="3381">
        <f t="shared" si="35"/>
        <v>0.70179999999999998</v>
      </c>
      <c r="K122" s="3381">
        <f t="shared" si="35"/>
        <v>0.70179999999999998</v>
      </c>
      <c r="L122" s="3381">
        <f t="shared" si="35"/>
        <v>0.70179999999999998</v>
      </c>
      <c r="M122" s="3404">
        <f t="shared" si="35"/>
        <v>0.70179999999999998</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J26" sqref="J26"/>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3473</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3495</v>
      </c>
      <c r="D4" s="1752" t="s">
        <v>3489</v>
      </c>
      <c r="E4" s="3654" t="s">
        <v>1265</v>
      </c>
      <c r="F4" s="3655"/>
      <c r="G4" s="3655"/>
      <c r="H4" s="3655"/>
      <c r="I4" s="3656"/>
      <c r="K4" s="146" t="str">
        <f>IF(ISNUMBER(FIND("比较法",'结果表-505'!C4)),"比较法",IF(ISNUMBER(FIND("成本法",'结果表-505'!C4)),"成本法",IF(ISNUMBER(FIND("假设开发法",'结果表-505'!C4)),"假设开发法",IF(ISNUMBER(FIND("收益法",'结果表-505'!C4)),"收益法","基准地价系数修正法"))))</f>
        <v>比较法</v>
      </c>
      <c r="L4" s="146" t="str">
        <f>IF(ISNUMBER(FIND("比较法",'结果表-505'!D4)),"比较法",IF(ISNUMBER(FIND("成本法",'结果表-505'!D4)),"成本法",IF(ISNUMBER(FIND("假设开发法",'结果表-505'!D4)),"假设开发法",IF(ISNUMBER(FIND("收益法",'结果表-505'!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199.67</v>
      </c>
      <c r="M18" s="302">
        <f>IF(C1="",'数据-汇总表'!E3,SUMIF(项目类型,C1,'数据-汇总表'!E17:E26))</f>
        <v>199.67</v>
      </c>
    </row>
    <row r="19" spans="1:36" ht="15">
      <c r="A19" s="1757" t="s">
        <v>1288</v>
      </c>
      <c r="B19" s="1758" t="s">
        <v>1289</v>
      </c>
      <c r="C19" s="134">
        <f ca="1">SUMIF(INDIRECT("'"&amp;C4&amp;"'"&amp;"!A:A"),'结果表-505'!B19,INDIRECT("'"&amp;C4&amp;"'"&amp;"!B:B"))</f>
        <v>680.89469999999994</v>
      </c>
      <c r="D19" s="135">
        <f ca="1">SUMIF(INDIRECT("'"&amp;D4&amp;"'"&amp;"!A:A"),'结果表-505'!B19,INDIRECT("'"&amp;D4&amp;"'"&amp;"!B:B"))</f>
        <v>454.7901</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SUMIF(INDIRECT("'"&amp;C4&amp;"'"&amp;"!A:A"),'结果表-505'!B20,INDIRECT("'"&amp;C4&amp;"'"&amp;"!B:B"))</f>
        <v>34101</v>
      </c>
      <c r="D20" s="138">
        <f ca="1">SUMIF(INDIRECT("'"&amp;D4&amp;"'"&amp;"!A:A"),'结果表-505'!B20,INDIRECT("'"&amp;D4&amp;"'"&amp;"!B:B"))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0.49716253717923919</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613</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613</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613</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33</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33</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33</v>
      </c>
      <c r="E54" s="327" t="s">
        <v>1357</v>
      </c>
      <c r="F54" s="2547">
        <f>'数据-取费表'!B41</f>
        <v>5.6000000000000001E-2</v>
      </c>
      <c r="G54" s="2548"/>
      <c r="H54" s="2549"/>
      <c r="I54" s="1803"/>
      <c r="J54" s="3452">
        <v>3</v>
      </c>
      <c r="K54" s="3606" t="s">
        <v>1358</v>
      </c>
      <c r="L54" s="3606"/>
      <c r="M54" s="2518">
        <f t="shared" ca="1" si="0"/>
        <v>347</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347</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IF(AND(J55="",J56=""),4,IF(项目基本情况!K6="上海银行",'结果表-505'!J56+1,'结果表-505'!J55+1))</f>
        <v>5</v>
      </c>
      <c r="K57" s="3606" t="s">
        <v>1365</v>
      </c>
      <c r="L57" s="2523" t="s">
        <v>1366</v>
      </c>
      <c r="M57" s="2524"/>
      <c r="N57" s="2525">
        <f ca="1">SUMIF(M52:M56,"&lt;9e307")</f>
        <v>353</v>
      </c>
      <c r="O57" s="2526"/>
      <c r="P57" s="2683">
        <f ca="1">N57/M49</f>
        <v>0.57585644371941269</v>
      </c>
    </row>
    <row r="58" spans="1:35" ht="24.75" hidden="1">
      <c r="A58" s="3465" t="s">
        <v>1350</v>
      </c>
      <c r="B58" s="3630" t="s">
        <v>1367</v>
      </c>
      <c r="C58" s="3629"/>
      <c r="D58" s="3447">
        <f ca="1">IF(H58="转让取得",C81,C97)</f>
        <v>347</v>
      </c>
      <c r="E58" s="3462" t="s">
        <v>1362</v>
      </c>
      <c r="F58" s="302" t="s">
        <v>28</v>
      </c>
      <c r="G58" s="2548"/>
      <c r="H58" s="2551"/>
      <c r="I58" s="1804"/>
      <c r="J58" s="3606"/>
      <c r="K58" s="3606"/>
      <c r="L58" s="2523" t="s">
        <v>1368</v>
      </c>
      <c r="M58" s="2527"/>
      <c r="N58" s="2528" t="str">
        <f ca="1">NUMBERSTRING(INT(N57*10000),2)&amp;"元整"</f>
        <v>叁佰伍拾叁万元整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260</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贰佰陆拾万元整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2675</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589" t="s">
        <v>1377</v>
      </c>
      <c r="K63" s="3448" t="s">
        <v>1378</v>
      </c>
      <c r="L63" s="3448">
        <f ca="1">IF(M49&gt;10000,M49*0.5%,IF(AND(M49&gt;1000,M49&lt;=10000),M49*1%,IF(AND(M49&gt;100,M49&lt;=1000),M49*3%,IF(AND(M49&gt;10,M49&lt;=100),M49*5%,M49*8%))))</f>
        <v>18.39</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4.2909999999999995</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3.0649999999999999</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3.0649999999999999</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1.7825</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18.39</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46</v>
      </c>
      <c r="N69" s="2538">
        <f ca="1">M69/M49</f>
        <v>7.5040783034257749E-2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比较法-505</v>
      </c>
      <c r="D101" s="2579" t="str">
        <f>D4</f>
        <v>收益法-505</v>
      </c>
      <c r="E101" s="3585" t="s">
        <v>1429</v>
      </c>
      <c r="F101" s="3586"/>
      <c r="G101" s="1823" t="s">
        <v>1430</v>
      </c>
      <c r="H101" s="2588">
        <f ca="1">H118</f>
        <v>613</v>
      </c>
      <c r="I101" s="129"/>
    </row>
    <row r="102" spans="1:35" ht="18.75" customHeight="1">
      <c r="A102" s="3617" t="s">
        <v>1431</v>
      </c>
      <c r="B102" s="2577" t="s">
        <v>1430</v>
      </c>
      <c r="C102" s="2578">
        <f ca="1">IF(D32="楼面单价",ROUND(C19,0),C19)</f>
        <v>681</v>
      </c>
      <c r="D102" s="2579">
        <f ca="1">IF(D32="楼面单价",ROUND(D19,0),D19)</f>
        <v>455</v>
      </c>
      <c r="E102" s="3585"/>
      <c r="F102" s="3586"/>
      <c r="G102" s="1823" t="s">
        <v>1432</v>
      </c>
      <c r="H102" s="2548">
        <f ca="1">I118</f>
        <v>30704</v>
      </c>
      <c r="I102" s="129"/>
    </row>
    <row r="103" spans="1:35" ht="42.75" customHeight="1">
      <c r="A103" s="3617"/>
      <c r="B103" s="2577" t="s">
        <v>1432</v>
      </c>
      <c r="C103" s="2580">
        <f ca="1">C20</f>
        <v>34101</v>
      </c>
      <c r="D103" s="2581">
        <f ca="1">D20</f>
        <v>22777</v>
      </c>
      <c r="E103" s="3578" t="s">
        <v>1433</v>
      </c>
      <c r="F103" s="3579"/>
      <c r="G103" s="1824" t="s">
        <v>1434</v>
      </c>
      <c r="H103" s="2588">
        <f>IF(D36="正常操作",H104+H105+H106,H105+H106)</f>
        <v>0</v>
      </c>
      <c r="I103" s="129"/>
    </row>
    <row r="104" spans="1:35" ht="18.75" customHeight="1">
      <c r="A104" s="3617" t="s">
        <v>1435</v>
      </c>
      <c r="B104" s="2582" t="s">
        <v>1430</v>
      </c>
      <c r="C104" s="2583">
        <f ca="1">H118</f>
        <v>613</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613</v>
      </c>
      <c r="I107" s="129"/>
    </row>
    <row r="108" spans="1:35" ht="18.75" customHeight="1">
      <c r="A108" s="129"/>
      <c r="B108" s="129"/>
      <c r="C108" s="129"/>
      <c r="D108" s="129"/>
      <c r="E108" s="3618"/>
      <c r="F108" s="3586"/>
      <c r="G108" s="1823" t="s">
        <v>1432</v>
      </c>
      <c r="H108" s="2548">
        <f ca="1">IF(H107=H101,H102,ROUND(H107*10000/'数据-汇总表'!E3,0))</f>
        <v>30704</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199.67</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ROUND(IF(D32="总价",C32,I118*B118/10000),0)</f>
        <v>613</v>
      </c>
      <c r="I118" s="3450">
        <f ca="1">ROUND(IF(D32="楼面单价",C32,H118*10000/B118),0)</f>
        <v>30704</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陆佰壹拾叁万元整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613</v>
      </c>
      <c r="E122" s="3595"/>
      <c r="F122" s="3595"/>
      <c r="G122" s="3595"/>
      <c r="H122" s="3595"/>
      <c r="I122" s="3596"/>
      <c r="AA122" s="725"/>
    </row>
    <row r="123" spans="1:27" ht="18.75" customHeight="1">
      <c r="A123" s="3593" t="s">
        <v>1450</v>
      </c>
      <c r="B123" s="3593"/>
      <c r="C123" s="3593"/>
      <c r="D123" s="3599" t="str">
        <f ca="1">NUMBERSTRING(INT(D122*10000),2)&amp;"元整"</f>
        <v>陆佰壹拾叁万元整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40" priority="10" stopIfTrue="1" operator="equal">
      <formula>25</formula>
    </cfRule>
  </conditionalFormatting>
  <conditionalFormatting sqref="C8:C9">
    <cfRule type="cellIs" dxfId="139" priority="9" stopIfTrue="1" operator="equal">
      <formula>15</formula>
    </cfRule>
  </conditionalFormatting>
  <conditionalFormatting sqref="C14:C16">
    <cfRule type="cellIs" dxfId="138" priority="8" stopIfTrue="1" operator="equal">
      <formula>30</formula>
    </cfRule>
  </conditionalFormatting>
  <conditionalFormatting sqref="D5:D7">
    <cfRule type="cellIs" dxfId="137" priority="7" stopIfTrue="1" operator="equal">
      <formula>25</formula>
    </cfRule>
  </conditionalFormatting>
  <conditionalFormatting sqref="D8:D9">
    <cfRule type="cellIs" dxfId="136" priority="6" stopIfTrue="1" operator="equal">
      <formula>15</formula>
    </cfRule>
  </conditionalFormatting>
  <conditionalFormatting sqref="C10:D13">
    <cfRule type="cellIs" dxfId="135" priority="5" stopIfTrue="1" operator="equal">
      <formula>15</formula>
    </cfRule>
  </conditionalFormatting>
  <conditionalFormatting sqref="D14:D16">
    <cfRule type="cellIs" dxfId="134" priority="4" stopIfTrue="1" operator="equal">
      <formula>30</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3473</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680.89469999999994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1663</v>
      </c>
      <c r="D3" s="353">
        <f>IF(D1="",'数据-汇总表'!E3,SUMIF('数据-汇总表'!$C19:$C33,D1,'数据-汇总表'!$E19:$E33))</f>
        <v>199.67</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718"/>
      <c r="Q27" s="3469" t="str">
        <f t="shared" ref="Q27:Q47" si="11">B27</f>
        <v>楼层</v>
      </c>
      <c r="R27" s="705" t="s">
        <v>14</v>
      </c>
      <c r="S27" s="706">
        <f>F27</f>
        <v>102</v>
      </c>
      <c r="T27" s="705" t="s">
        <v>14</v>
      </c>
      <c r="U27" s="706">
        <f>H27</f>
        <v>104</v>
      </c>
      <c r="V27" s="705" t="s">
        <v>14</v>
      </c>
      <c r="W27" s="706">
        <f>J27</f>
        <v>102</v>
      </c>
      <c r="X27" s="3466"/>
      <c r="Y27" s="3720"/>
      <c r="Z27" s="3467" t="str">
        <f>Q27</f>
        <v>楼层</v>
      </c>
      <c r="AA27" s="3470">
        <f t="shared" si="3"/>
        <v>0.98039215686274506</v>
      </c>
      <c r="AB27" s="3470">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'数据-汇总表'!F20</f>
        <v>199.67</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97" t="str">
        <f>A49</f>
        <v>比较价值（元/平方米）</v>
      </c>
      <c r="Q49" s="3726"/>
      <c r="R49" s="3727">
        <f>IF(F1="售价",ROUND(PRODUCT(R48,AA7:AA47),0),ROUND(PRODUCT(R48,AA7:AA47),1))</f>
        <v>32179</v>
      </c>
      <c r="S49" s="3727"/>
      <c r="T49" s="3727">
        <f>IF(F1="售价",ROUND(PRODUCT(T48,AB7:AB47),0),ROUND(PRODUCT(T48,AB7:AB47),1))</f>
        <v>34257</v>
      </c>
      <c r="U49" s="3727"/>
      <c r="V49" s="3727">
        <f>IF(F1="售价",ROUND(PRODUCT(V48,AC7:AC47),0),ROUND(PRODUCT(V48,AC7:AC47),1))</f>
        <v>35867</v>
      </c>
      <c r="W49" s="3727"/>
      <c r="X49" s="397"/>
      <c r="Y49" s="397"/>
      <c r="Z49" s="397"/>
      <c r="AA49" s="397"/>
      <c r="AB49" s="397"/>
      <c r="AC49" s="578"/>
    </row>
    <row r="50" spans="1:29" ht="15.75" thickBot="1">
      <c r="A50" s="441" t="s">
        <v>1708</v>
      </c>
      <c r="B50" s="442"/>
      <c r="C50" s="1159">
        <f>R50</f>
        <v>34101</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34101</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3473</v>
      </c>
      <c r="D1" s="1358" t="s">
        <v>43</v>
      </c>
      <c r="E1" s="1359" t="s">
        <v>678</v>
      </c>
      <c r="F1" s="1058">
        <f ca="1">J53</f>
        <v>28</v>
      </c>
      <c r="G1" s="1374">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454.7901</v>
      </c>
      <c r="C2" s="1383" t="s">
        <v>879</v>
      </c>
      <c r="D2" s="1467">
        <f ca="1">C40+J29+L46</f>
        <v>4547901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302098</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301721</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199.67</v>
      </c>
      <c r="G7" s="1380"/>
      <c r="H7" s="304"/>
      <c r="I7" s="3678"/>
      <c r="J7" s="306"/>
      <c r="K7" s="307"/>
      <c r="L7" s="302" t="s">
        <v>697</v>
      </c>
      <c r="M7" s="303">
        <f ca="1">F7</f>
        <v>199.67</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377</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1042647</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898515</v>
      </c>
      <c r="D14" s="3459" t="s">
        <v>708</v>
      </c>
      <c r="E14" s="3458"/>
      <c r="F14" s="319"/>
      <c r="G14" s="1380"/>
      <c r="H14" s="978" t="s">
        <v>398</v>
      </c>
      <c r="I14" s="302" t="s">
        <v>709</v>
      </c>
      <c r="J14" s="21">
        <f ca="1">C29</f>
        <v>1287218</v>
      </c>
      <c r="K14" s="3447"/>
      <c r="L14" s="803"/>
      <c r="M14" s="804"/>
    </row>
    <row r="15" spans="1:37" s="1393" customFormat="1" ht="18" customHeight="1" thickBot="1">
      <c r="A15" s="978" t="s">
        <v>399</v>
      </c>
      <c r="B15" s="302" t="s">
        <v>710</v>
      </c>
      <c r="C15" s="21">
        <f ca="1">ROUND(C14*F15,0)</f>
        <v>26955</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6436</v>
      </c>
      <c r="K16" s="1083" t="s">
        <v>715</v>
      </c>
      <c r="L16" s="3464"/>
      <c r="M16" s="1068"/>
    </row>
    <row r="17" spans="1:37" s="1393" customFormat="1" ht="18" customHeight="1">
      <c r="A17" s="978" t="s">
        <v>681</v>
      </c>
      <c r="B17" s="302" t="s">
        <v>716</v>
      </c>
      <c r="C17" s="21">
        <f ca="1">ROUND(F17*(F43+INDIRECT("'数据-取费表'!S"&amp;$G$1)),0)</f>
        <v>39934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17970</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983374</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19667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34605</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-6436</v>
      </c>
      <c r="K25" s="1091" t="s">
        <v>753</v>
      </c>
      <c r="L25" s="1092"/>
      <c r="M25" s="1093"/>
    </row>
    <row r="26" spans="1:37" ht="18" customHeight="1">
      <c r="A26" s="978" t="s">
        <v>397</v>
      </c>
      <c r="B26" s="302" t="s">
        <v>754</v>
      </c>
      <c r="C26" s="21">
        <f ca="1">ROUND((C19+C20)*F26,0)</f>
        <v>150456</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1287218</v>
      </c>
      <c r="D29" s="1088"/>
      <c r="E29" s="1086"/>
      <c r="F29" s="1089"/>
      <c r="G29" s="1392"/>
      <c r="H29" s="334" t="s">
        <v>396</v>
      </c>
      <c r="I29" s="335" t="s">
        <v>768</v>
      </c>
      <c r="J29" s="336">
        <f ca="1">ROUND(J26/(1+F40)^F41,0)</f>
        <v>0</v>
      </c>
      <c r="K29" s="337" t="s">
        <v>769</v>
      </c>
      <c r="L29" s="338"/>
      <c r="M29" s="339">
        <f ca="1">INDIRECT("'数据-取费表'!k"&amp;$G$1)</f>
        <v>199.67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59563</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50574</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16092</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34482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1510</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242535</v>
      </c>
      <c r="D39" s="1091" t="s">
        <v>753</v>
      </c>
      <c r="E39" s="1092"/>
      <c r="F39" s="1093"/>
      <c r="G39" s="1380"/>
      <c r="H39" s="2693">
        <f ca="1">C39/C5</f>
        <v>0.80283550371071644</v>
      </c>
      <c r="I39" s="1394"/>
      <c r="J39" s="1395"/>
      <c r="K39" s="2697"/>
      <c r="L39" s="2693"/>
      <c r="M39" s="2693"/>
    </row>
    <row r="40" spans="1:18" ht="18" customHeight="1">
      <c r="A40" s="299" t="s">
        <v>395</v>
      </c>
      <c r="B40" s="300" t="s">
        <v>774</v>
      </c>
      <c r="C40" s="301">
        <f ca="1">ROUND(C39*(1-((1+F42)/(1+F40))^F41)/(F40-F42),0)</f>
        <v>4479938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199.67</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-458.55520000000001</v>
      </c>
      <c r="D45" s="3425" t="s">
        <v>3346</v>
      </c>
      <c r="E45" s="1396"/>
      <c r="F45" s="1396"/>
      <c r="O45" s="1399" t="s">
        <v>808</v>
      </c>
      <c r="P45" s="1457"/>
      <c r="Q45" s="1457"/>
      <c r="R45" s="1457"/>
    </row>
    <row r="46" spans="1:18" s="1380" customFormat="1" ht="13.5" thickBot="1">
      <c r="A46" s="1400" t="s">
        <v>809</v>
      </c>
      <c r="C46" s="1401">
        <f ca="1">ROUND(C45,0)</f>
        <v>-459</v>
      </c>
      <c r="D46" s="1402" t="str">
        <f>C2</f>
        <v>万元</v>
      </c>
      <c r="I46" s="1403" t="s">
        <v>810</v>
      </c>
      <c r="J46" s="1404"/>
      <c r="K46" s="1405"/>
      <c r="L46" s="1406">
        <f ca="1">IF(M47="住宅",0,IF(L48&gt;J51,L60,J60))</f>
        <v>67963</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4479938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67963</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1287218</v>
      </c>
      <c r="R49" s="1416" t="s">
        <v>818</v>
      </c>
    </row>
    <row r="50" spans="1:18" s="1380" customFormat="1" ht="13.5" thickBot="1">
      <c r="A50" s="972"/>
      <c r="B50" s="975"/>
      <c r="C50" s="976"/>
      <c r="D50" s="949"/>
      <c r="E50" s="1052" t="s">
        <v>697</v>
      </c>
      <c r="F50" s="1053">
        <f ca="1">F7</f>
        <v>199.67</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2909318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4547901</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1042647</v>
      </c>
      <c r="D56" s="1443"/>
      <c r="E56" s="1444"/>
      <c r="F56" s="1436"/>
      <c r="I56" s="1445" t="s">
        <v>842</v>
      </c>
      <c r="J56" s="1446" t="s">
        <v>3385</v>
      </c>
      <c r="K56" s="1417" t="s">
        <v>843</v>
      </c>
      <c r="L56" s="1420" t="str">
        <f ca="1">IF(L48&lt;J51,"——",L48-J51)</f>
        <v>——</v>
      </c>
      <c r="O56" s="1414" t="s">
        <v>403</v>
      </c>
      <c r="P56" s="1415" t="s">
        <v>817</v>
      </c>
      <c r="Q56" s="1416">
        <f ca="1">C40+J29</f>
        <v>4479938</v>
      </c>
      <c r="R56" s="1416" t="s">
        <v>818</v>
      </c>
    </row>
    <row r="57" spans="1:18" s="1380" customFormat="1" ht="24.75" thickBot="1">
      <c r="A57" s="1447"/>
      <c r="B57" s="946" t="s">
        <v>767</v>
      </c>
      <c r="C57" s="238">
        <f ca="1">C29</f>
        <v>1287218</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7479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514887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67963</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4479938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4479938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-7479</v>
      </c>
      <c r="D67" s="959" t="s">
        <v>753</v>
      </c>
      <c r="E67" s="964"/>
      <c r="F67" s="965"/>
      <c r="O67" s="1424" t="s">
        <v>405</v>
      </c>
      <c r="P67" s="1415" t="s">
        <v>850</v>
      </c>
      <c r="Q67" s="1462">
        <f ca="1">L51</f>
        <v>2909318</v>
      </c>
      <c r="R67" s="1416" t="s">
        <v>870</v>
      </c>
    </row>
    <row r="68" spans="1:18" s="1380" customFormat="1" ht="16.5" thickBot="1">
      <c r="A68" s="943" t="s">
        <v>395</v>
      </c>
      <c r="B68" s="944" t="s">
        <v>774</v>
      </c>
      <c r="C68" s="301">
        <f ca="1">ROUND(C67*(1-((1+F70)/(1+F68))^F69)/(F68-F70),0)</f>
        <v>-105614</v>
      </c>
      <c r="D68" s="961" t="s">
        <v>758</v>
      </c>
      <c r="E68" s="946" t="s">
        <v>759</v>
      </c>
      <c r="F68" s="312">
        <f ca="1">F40</f>
        <v>5.5E-2</v>
      </c>
      <c r="O68" s="1424" t="s">
        <v>406</v>
      </c>
      <c r="P68" s="1463" t="s">
        <v>871</v>
      </c>
      <c r="Q68" s="1416">
        <f ca="1">ROUND(Q69-Q70*Q71,0)</f>
        <v>169550</v>
      </c>
      <c r="R68" s="1416" t="s">
        <v>414</v>
      </c>
    </row>
    <row r="69" spans="1:18" s="1380" customFormat="1" ht="13.5" thickBot="1">
      <c r="A69" s="947"/>
      <c r="B69" s="948"/>
      <c r="C69" s="306"/>
      <c r="D69" s="966" t="s">
        <v>762</v>
      </c>
      <c r="E69" s="946" t="s">
        <v>763</v>
      </c>
      <c r="F69" s="333">
        <f ca="1">F41</f>
        <v>28</v>
      </c>
      <c r="O69" s="1424" t="s">
        <v>411</v>
      </c>
      <c r="P69" s="1463" t="s">
        <v>872</v>
      </c>
      <c r="Q69" s="1416">
        <f ca="1">C39</f>
        <v>242535</v>
      </c>
      <c r="R69" s="1416" t="s">
        <v>818</v>
      </c>
    </row>
    <row r="70" spans="1:18" s="1380" customFormat="1" ht="13.5" thickBot="1">
      <c r="A70" s="950"/>
      <c r="B70" s="951"/>
      <c r="C70" s="310"/>
      <c r="D70" s="962"/>
      <c r="E70" s="946" t="s">
        <v>766</v>
      </c>
      <c r="F70" s="1050"/>
      <c r="O70" s="1424" t="s">
        <v>412</v>
      </c>
      <c r="P70" s="1463" t="s">
        <v>873</v>
      </c>
      <c r="Q70" s="1416">
        <f ca="1">C13</f>
        <v>1042647</v>
      </c>
      <c r="R70" s="1416" t="s">
        <v>818</v>
      </c>
    </row>
    <row r="71" spans="1:18" s="1380" customFormat="1" ht="13.5" thickBot="1">
      <c r="A71" s="967" t="s">
        <v>396</v>
      </c>
      <c r="B71" s="968" t="s">
        <v>776</v>
      </c>
      <c r="C71" s="336">
        <f ca="1">ROUND(C68/F71,0)</f>
        <v>-529</v>
      </c>
      <c r="D71" s="969" t="s">
        <v>777</v>
      </c>
      <c r="E71" s="970" t="s">
        <v>778</v>
      </c>
      <c r="F71" s="339">
        <f ca="1">F43</f>
        <v>199.67</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72985</v>
      </c>
      <c r="D75" s="1380"/>
      <c r="E75" s="1380"/>
      <c r="F75" s="1380"/>
      <c r="K75" s="1398"/>
      <c r="L75" s="1380"/>
      <c r="O75" s="1414" t="s">
        <v>409</v>
      </c>
      <c r="P75" s="1415" t="s">
        <v>838</v>
      </c>
      <c r="Q75" s="1416">
        <f ca="1">Q65+Q66</f>
        <v>4479938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89"/>
      <c r="B4" s="3493" t="s">
        <v>917</v>
      </c>
      <c r="C4" s="3493"/>
      <c r="D4" s="3493"/>
      <c r="E4" s="1489"/>
    </row>
    <row r="5" spans="1:5" ht="16.5" thickTop="1">
      <c r="A5" s="1487"/>
      <c r="B5" s="3491" t="s">
        <v>909</v>
      </c>
      <c r="C5" s="1490" t="s">
        <v>910</v>
      </c>
      <c r="D5" s="846">
        <f ca="1">'结果表-307'!H101</f>
        <v>608</v>
      </c>
      <c r="E5" s="1487"/>
    </row>
    <row r="6" spans="1:5" ht="15.75">
      <c r="A6" s="1487"/>
      <c r="B6" s="3491"/>
      <c r="C6" s="1490" t="s">
        <v>911</v>
      </c>
      <c r="D6" s="846" t="str">
        <f ca="1">NUMBERSTRING(INT(D5*10000),2)&amp;"元整"</f>
        <v>陆佰零捌万元整</v>
      </c>
      <c r="E6" s="1487"/>
    </row>
    <row r="7" spans="1:5" ht="15.75">
      <c r="A7" s="1487"/>
      <c r="B7" s="3496"/>
      <c r="C7" s="1491" t="s">
        <v>912</v>
      </c>
      <c r="D7" s="847">
        <f ca="1">'结果表-307'!H102</f>
        <v>30704</v>
      </c>
      <c r="E7" s="1487"/>
    </row>
    <row r="8" spans="1:5" ht="15.75">
      <c r="A8" s="1487"/>
      <c r="B8" s="3497" t="str">
        <f>'结果表-307'!E103</f>
        <v>2.估价师知悉的法定优先受偿款</v>
      </c>
      <c r="C8" s="1492" t="s">
        <v>913</v>
      </c>
      <c r="D8" s="847">
        <f>'结果表-307'!H103</f>
        <v>0</v>
      </c>
      <c r="E8" s="1487"/>
    </row>
    <row r="9" spans="1:5" ht="15.75">
      <c r="A9" s="1487"/>
      <c r="B9" s="3499"/>
      <c r="C9" s="1490" t="s">
        <v>911</v>
      </c>
      <c r="D9" s="846" t="str">
        <f>NUMBERSTRING(INT(D8*10000),2)&amp;"元整"</f>
        <v>零元整</v>
      </c>
      <c r="E9" s="1487"/>
    </row>
    <row r="10" spans="1:5" ht="15">
      <c r="A10" s="1487"/>
      <c r="B10" s="1493" t="s">
        <v>916</v>
      </c>
      <c r="C10" s="1494" t="s">
        <v>914</v>
      </c>
      <c r="D10" s="848">
        <f>'结果表-307'!H104</f>
        <v>0</v>
      </c>
      <c r="E10" s="1487"/>
    </row>
    <row r="11" spans="1:5" ht="15">
      <c r="A11" s="1487"/>
      <c r="B11" s="1493" t="s">
        <v>918</v>
      </c>
      <c r="C11" s="1494" t="s">
        <v>919</v>
      </c>
      <c r="D11" s="848">
        <f>'结果表-307'!H105</f>
        <v>0</v>
      </c>
      <c r="E11" s="1487"/>
    </row>
    <row r="12" spans="1:5" ht="15">
      <c r="A12" s="1487"/>
      <c r="B12" s="1493" t="s">
        <v>920</v>
      </c>
      <c r="C12" s="1494" t="s">
        <v>919</v>
      </c>
      <c r="D12" s="848">
        <f>'结果表-307'!H106</f>
        <v>0</v>
      </c>
      <c r="E12" s="1487"/>
    </row>
    <row r="13" spans="1:5" ht="15.75">
      <c r="A13" s="1487"/>
      <c r="B13" s="3490" t="str">
        <f>'结果表-307'!E107</f>
        <v>3.房地产抵押价值</v>
      </c>
      <c r="C13" s="1495" t="s">
        <v>910</v>
      </c>
      <c r="D13" s="849">
        <f ca="1">'结果表-307'!H107</f>
        <v>608</v>
      </c>
      <c r="E13" s="1487"/>
    </row>
    <row r="14" spans="1:5" ht="15.75">
      <c r="A14" s="1487"/>
      <c r="B14" s="3491"/>
      <c r="C14" s="1490" t="s">
        <v>911</v>
      </c>
      <c r="D14" s="846" t="str">
        <f ca="1">NUMBERSTRING(INT(D13*10000),2)&amp;"元整"</f>
        <v>陆佰零捌万元整</v>
      </c>
      <c r="E14" s="1487"/>
    </row>
    <row r="15" spans="1:5" ht="15">
      <c r="A15" s="1487"/>
      <c r="B15" s="3496"/>
      <c r="C15" s="1491" t="s">
        <v>921</v>
      </c>
      <c r="D15" s="855">
        <f ca="1">'结果表-307'!H108</f>
        <v>30704</v>
      </c>
      <c r="E15" s="1487"/>
    </row>
    <row r="16" spans="1:5" ht="15">
      <c r="A16" s="1487"/>
      <c r="B16" s="3497" t="str">
        <f>'结果表-307'!E109</f>
        <v>——</v>
      </c>
      <c r="C16" s="1495" t="s">
        <v>922</v>
      </c>
      <c r="D16" s="1496" t="str">
        <f>'结果表-307'!H109</f>
        <v>——</v>
      </c>
      <c r="E16" s="1487"/>
    </row>
    <row r="17" spans="1:5" ht="15.75">
      <c r="A17" s="1487"/>
      <c r="B17" s="3498"/>
      <c r="C17" s="1490" t="s">
        <v>923</v>
      </c>
      <c r="D17" s="846" t="e">
        <f>NUMBERSTRING(INT(D16*10000),2)&amp;"元整"</f>
        <v>#VALUE!</v>
      </c>
      <c r="E17" s="1487"/>
    </row>
    <row r="18" spans="1:5" ht="15">
      <c r="A18" s="1487"/>
      <c r="B18" s="3499"/>
      <c r="C18" s="1491" t="s">
        <v>912</v>
      </c>
      <c r="D18" s="855" t="str">
        <f>'结果表-307'!H110</f>
        <v>——</v>
      </c>
      <c r="E18" s="1487"/>
    </row>
    <row r="19" spans="1:5" ht="15.75">
      <c r="A19" s="1487"/>
      <c r="B19" s="3490" t="str">
        <f>'结果表-307'!E111</f>
        <v>——</v>
      </c>
      <c r="C19" s="1495" t="s">
        <v>910</v>
      </c>
      <c r="D19" s="847" t="str">
        <f>'结果表-307'!H111</f>
        <v>——</v>
      </c>
      <c r="E19" s="1487"/>
    </row>
    <row r="20" spans="1:5" ht="15.75">
      <c r="A20" s="1487"/>
      <c r="B20" s="3491"/>
      <c r="C20" s="1490" t="s">
        <v>923</v>
      </c>
      <c r="D20" s="846" t="e">
        <f>NUMBERSTRING(INT(D19*10000),2)&amp;"元整"</f>
        <v>#VALUE!</v>
      </c>
      <c r="E20" s="1487"/>
    </row>
    <row r="21" spans="1:5" ht="15.75" thickBot="1">
      <c r="A21" s="1487"/>
      <c r="B21" s="3492"/>
      <c r="C21" s="1497" t="s">
        <v>921</v>
      </c>
      <c r="D21" s="856" t="str">
        <f>'结果表-307'!H112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I34" sqref="I34"/>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3475</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3493</v>
      </c>
      <c r="D4" s="1752" t="s">
        <v>3485</v>
      </c>
      <c r="E4" s="3654" t="s">
        <v>1265</v>
      </c>
      <c r="F4" s="3655"/>
      <c r="G4" s="3655"/>
      <c r="H4" s="3655"/>
      <c r="I4" s="3656"/>
      <c r="K4" s="146" t="str">
        <f>IF(ISNUMBER(FIND("比较法",'结果表-905'!C4)),"比较法",IF(ISNUMBER(FIND("成本法",'结果表-905'!C4)),"成本法",IF(ISNUMBER(FIND("假设开发法",'结果表-905'!C4)),"假设开发法",IF(ISNUMBER(FIND("收益法",'结果表-905'!C4)),"收益法","基准地价系数修正法"))))</f>
        <v>比较法</v>
      </c>
      <c r="L4" s="146" t="str">
        <f>IF(ISNUMBER(FIND("比较法",'结果表-905'!D4)),"比较法",IF(ISNUMBER(FIND("成本法",'结果表-905'!D4)),"成本法",IF(ISNUMBER(FIND("假设开发法",'结果表-905'!D4)),"假设开发法",IF(ISNUMBER(FIND("收益法",'结果表-905'!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199.72</v>
      </c>
      <c r="M18" s="302">
        <f>IF(C1="",'数据-汇总表'!E3,SUMIF(项目类型,C1,'数据-汇总表'!E17:E26))</f>
        <v>199.72</v>
      </c>
    </row>
    <row r="19" spans="1:36" ht="15">
      <c r="A19" s="1757" t="s">
        <v>1288</v>
      </c>
      <c r="B19" s="1758" t="s">
        <v>1289</v>
      </c>
      <c r="C19" s="134">
        <f ca="1">SUMIF(INDIRECT("'"&amp;C4&amp;"'"&amp;"!A:A"),'结果表-905'!B19,INDIRECT("'"&amp;C4&amp;"'"&amp;"!B:B"))</f>
        <v>694.60619999999994</v>
      </c>
      <c r="D19" s="135">
        <f ca="1">SUMIF(INDIRECT("'"&amp;D4&amp;"'"&amp;"!A:A"),'结果表-905'!B19,INDIRECT("'"&amp;D4&amp;"'"&amp;"!B:B"))</f>
        <v>474.98469999999998</v>
      </c>
      <c r="E19" s="1757" t="s">
        <v>1290</v>
      </c>
      <c r="F19" s="1758" t="s">
        <v>1289</v>
      </c>
      <c r="G19" s="136">
        <f ca="1">ROUND(C19*$C$18+D19*$D$18,0)</f>
        <v>629</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SUMIF(INDIRECT("'"&amp;C4&amp;"'"&amp;"!A:A"),'结果表-905'!B20,INDIRECT("'"&amp;C4&amp;"'"&amp;"!B:B"))</f>
        <v>34779</v>
      </c>
      <c r="D20" s="138">
        <f ca="1">SUMIF(INDIRECT("'"&amp;D4&amp;"'"&amp;"!A:A"),'结果表-905'!B20,INDIRECT("'"&amp;D4&amp;"'"&amp;"!B:B"))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0.46237594600415544</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629</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629</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629</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34</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34</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34</v>
      </c>
      <c r="E54" s="327" t="s">
        <v>1357</v>
      </c>
      <c r="F54" s="2547">
        <f>'数据-取费表'!B41</f>
        <v>5.6000000000000001E-2</v>
      </c>
      <c r="G54" s="2548"/>
      <c r="H54" s="2549"/>
      <c r="I54" s="1803"/>
      <c r="J54" s="3452">
        <v>3</v>
      </c>
      <c r="K54" s="3606" t="s">
        <v>1358</v>
      </c>
      <c r="L54" s="3606"/>
      <c r="M54" s="2518">
        <f t="shared" ca="1" si="0"/>
        <v>356</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356</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IF(AND(J55="",J56=""),4,IF(项目基本情况!K6="上海银行",'结果表-905'!J56+1,'结果表-905'!J55+1))</f>
        <v>5</v>
      </c>
      <c r="K57" s="3606" t="s">
        <v>1365</v>
      </c>
      <c r="L57" s="2523" t="s">
        <v>1366</v>
      </c>
      <c r="M57" s="2524"/>
      <c r="N57" s="2525">
        <f ca="1">SUMIF(M52:M56,"&lt;9e307")</f>
        <v>362</v>
      </c>
      <c r="O57" s="2526"/>
      <c r="P57" s="2683">
        <f ca="1">N57/M49</f>
        <v>0.57551669316375198</v>
      </c>
    </row>
    <row r="58" spans="1:35" ht="24.75" hidden="1">
      <c r="A58" s="3465" t="s">
        <v>1350</v>
      </c>
      <c r="B58" s="3630" t="s">
        <v>1367</v>
      </c>
      <c r="C58" s="3629"/>
      <c r="D58" s="3447">
        <f ca="1">IF(H58="转让取得",C81,C97)</f>
        <v>356</v>
      </c>
      <c r="E58" s="3462" t="s">
        <v>1362</v>
      </c>
      <c r="F58" s="302" t="s">
        <v>28</v>
      </c>
      <c r="G58" s="2548"/>
      <c r="H58" s="2551"/>
      <c r="I58" s="1804"/>
      <c r="J58" s="3606"/>
      <c r="K58" s="3606"/>
      <c r="L58" s="2523" t="s">
        <v>1368</v>
      </c>
      <c r="M58" s="2527"/>
      <c r="N58" s="2528" t="str">
        <f ca="1">NUMBERSTRING(INT(N57*10000),2)&amp;"元整"</f>
        <v>叁佰陆拾贰万元整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267</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贰佰陆拾柒万元整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2747</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599</v>
      </c>
      <c r="D63" s="167"/>
      <c r="E63" s="168"/>
      <c r="F63" s="1804"/>
      <c r="G63" s="1804"/>
      <c r="H63" s="1806"/>
      <c r="I63" s="129"/>
      <c r="J63" s="3589" t="s">
        <v>1377</v>
      </c>
      <c r="K63" s="3448" t="s">
        <v>1378</v>
      </c>
      <c r="L63" s="3448">
        <f ca="1">IF(M49&gt;10000,M49*0.5%,IF(AND(M49&gt;1000,M49&lt;=10000),M49*1%,IF(AND(M49&gt;100,M49&lt;=1000),M49*3%,IF(AND(M49&gt;10,M49&lt;=100),M49*5%,M49*8%))))</f>
        <v>18.87</v>
      </c>
      <c r="M63" s="302">
        <f ca="1">ROUND(L63,1)</f>
        <v>18.899999999999999</v>
      </c>
      <c r="N63" s="2536"/>
      <c r="Z63" s="1748"/>
      <c r="AI63" s="1749"/>
    </row>
    <row r="64" spans="1:35" ht="14.25" hidden="1" customHeight="1">
      <c r="A64" s="169" t="s">
        <v>325</v>
      </c>
      <c r="B64" s="170" t="s">
        <v>1379</v>
      </c>
      <c r="C64" s="2558">
        <f ca="1">D45</f>
        <v>629</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4.4029999999999996</v>
      </c>
      <c r="M64" s="302">
        <f t="shared" ref="M64:M65" ca="1" si="1">ROUND(L64,1)</f>
        <v>4.4000000000000004</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3.145</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3.145</v>
      </c>
      <c r="M66" s="302">
        <f ca="1">IF(L66&gt;0.5,0.5,ROUND(L66,0))</f>
        <v>0.5</v>
      </c>
      <c r="N66" s="2537" t="s">
        <v>1386</v>
      </c>
      <c r="Z66" s="1748"/>
      <c r="AI66" s="1749"/>
    </row>
    <row r="67" spans="1:35" ht="14.25" hidden="1" customHeight="1">
      <c r="A67" s="173" t="s">
        <v>328</v>
      </c>
      <c r="B67" s="174" t="s">
        <v>1387</v>
      </c>
      <c r="C67" s="2561">
        <f ca="1">C63-C66</f>
        <v>599</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1.8225</v>
      </c>
      <c r="M67" s="302">
        <f ca="1">ROUND(L67*0.9,1)</f>
        <v>1.6</v>
      </c>
      <c r="N67" s="2536"/>
      <c r="Z67" s="1748"/>
      <c r="AI67" s="1749"/>
    </row>
    <row r="68" spans="1:35" ht="14.25" hidden="1" customHeight="1" thickBot="1">
      <c r="A68" s="176" t="s">
        <v>329</v>
      </c>
      <c r="B68" s="177" t="s">
        <v>1389</v>
      </c>
      <c r="C68" s="2562">
        <f ca="1">IF(C67&lt;=0,0,ROUND(C67*D68,0))</f>
        <v>34</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18.87</v>
      </c>
      <c r="M68" s="302">
        <f ca="1">ROUND(L68,1)</f>
        <v>18.899999999999999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47</v>
      </c>
      <c r="N69" s="2538">
        <f ca="1">M69/M49</f>
        <v>7.472178060413355E-2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599</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595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148.75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356</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599</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595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148.75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356</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比较法-905</v>
      </c>
      <c r="D101" s="2579" t="str">
        <f>D4</f>
        <v>收益法-905</v>
      </c>
      <c r="E101" s="3585" t="s">
        <v>1429</v>
      </c>
      <c r="F101" s="3586"/>
      <c r="G101" s="1823" t="s">
        <v>1430</v>
      </c>
      <c r="H101" s="2588">
        <f ca="1">H118</f>
        <v>629</v>
      </c>
      <c r="I101" s="129"/>
    </row>
    <row r="102" spans="1:35" ht="18.75" customHeight="1">
      <c r="A102" s="3617" t="s">
        <v>1431</v>
      </c>
      <c r="B102" s="2577" t="s">
        <v>1430</v>
      </c>
      <c r="C102" s="2578">
        <f ca="1">IF(D32="楼面单价",ROUND(C19,0),C19)</f>
        <v>695</v>
      </c>
      <c r="D102" s="2579">
        <f ca="1">IF(D32="楼面单价",ROUND(D19,0),D19)</f>
        <v>475</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629</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629</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199.72</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ROUND(IF(D32="总价",C32,I118*B118/10000),0)</f>
        <v>629</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陆佰贰拾玖万元整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629</v>
      </c>
      <c r="E122" s="3595"/>
      <c r="F122" s="3595"/>
      <c r="G122" s="3595"/>
      <c r="H122" s="3595"/>
      <c r="I122" s="3596"/>
      <c r="AA122" s="725"/>
    </row>
    <row r="123" spans="1:27" ht="18.75" customHeight="1">
      <c r="A123" s="3593" t="s">
        <v>1450</v>
      </c>
      <c r="B123" s="3593"/>
      <c r="C123" s="3593"/>
      <c r="D123" s="3599" t="str">
        <f ca="1">NUMBERSTRING(INT(D122*10000),2)&amp;"元整"</f>
        <v>陆佰贰拾玖万元整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05" priority="10" stopIfTrue="1" operator="equal">
      <formula>25</formula>
    </cfRule>
  </conditionalFormatting>
  <conditionalFormatting sqref="C8:C9">
    <cfRule type="cellIs" dxfId="104" priority="9" stopIfTrue="1" operator="equal">
      <formula>15</formula>
    </cfRule>
  </conditionalFormatting>
  <conditionalFormatting sqref="C14:C16">
    <cfRule type="cellIs" dxfId="103" priority="8" stopIfTrue="1" operator="equal">
      <formula>30</formula>
    </cfRule>
  </conditionalFormatting>
  <conditionalFormatting sqref="D5:D7">
    <cfRule type="cellIs" dxfId="102" priority="7" stopIfTrue="1" operator="equal">
      <formula>25</formula>
    </cfRule>
  </conditionalFormatting>
  <conditionalFormatting sqref="D8:D9">
    <cfRule type="cellIs" dxfId="101" priority="6" stopIfTrue="1" operator="equal">
      <formula>15</formula>
    </cfRule>
  </conditionalFormatting>
  <conditionalFormatting sqref="C10:D13">
    <cfRule type="cellIs" dxfId="100" priority="5" stopIfTrue="1" operator="equal">
      <formula>15</formula>
    </cfRule>
  </conditionalFormatting>
  <conditionalFormatting sqref="D14:D16">
    <cfRule type="cellIs" dxfId="99" priority="4" stopIfTrue="1" operator="equal">
      <formula>30</formula>
    </cfRule>
  </conditionalFormatting>
  <conditionalFormatting sqref="C90">
    <cfRule type="expression" dxfId="98" priority="3" stopIfTrue="1">
      <formula>$H$88&lt;&gt;"仅含出让金"</formula>
    </cfRule>
  </conditionalFormatting>
  <conditionalFormatting sqref="C91">
    <cfRule type="expression" dxfId="97" priority="2" stopIfTrue="1">
      <formula>$H$91="由企业提供"</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3475</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694.60619999999994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199.72</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'数据-汇总表'!F21</f>
        <v>199.72</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3475</v>
      </c>
      <c r="D1" s="1358" t="s">
        <v>43</v>
      </c>
      <c r="E1" s="1359" t="s">
        <v>678</v>
      </c>
      <c r="F1" s="1058">
        <f ca="1">J53</f>
        <v>28</v>
      </c>
      <c r="G1" s="1374">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474.98469999999998</v>
      </c>
      <c r="C2" s="1383" t="s">
        <v>879</v>
      </c>
      <c r="D2" s="1467">
        <f ca="1">C40+J29+L46</f>
        <v>4749847</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315312</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314918</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199.72</v>
      </c>
      <c r="G7" s="1380"/>
      <c r="H7" s="304"/>
      <c r="I7" s="3678"/>
      <c r="J7" s="306"/>
      <c r="K7" s="307"/>
      <c r="L7" s="302" t="s">
        <v>697</v>
      </c>
      <c r="M7" s="303">
        <f ca="1">F7</f>
        <v>199.72</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394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1042909</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898740</v>
      </c>
      <c r="D14" s="3459" t="s">
        <v>708</v>
      </c>
      <c r="E14" s="3458"/>
      <c r="F14" s="319"/>
      <c r="G14" s="1380"/>
      <c r="H14" s="978" t="s">
        <v>398</v>
      </c>
      <c r="I14" s="302" t="s">
        <v>709</v>
      </c>
      <c r="J14" s="21">
        <f ca="1">C29</f>
        <v>1287542</v>
      </c>
      <c r="K14" s="3447"/>
      <c r="L14" s="803"/>
      <c r="M14" s="804"/>
    </row>
    <row r="15" spans="1:37" s="1393" customFormat="1" ht="18" customHeight="1" thickBot="1">
      <c r="A15" s="978" t="s">
        <v>399</v>
      </c>
      <c r="B15" s="302" t="s">
        <v>710</v>
      </c>
      <c r="C15" s="21">
        <f ca="1">ROUND(C14*F15,0)</f>
        <v>26962</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6438</v>
      </c>
      <c r="K16" s="1083" t="s">
        <v>715</v>
      </c>
      <c r="L16" s="3464"/>
      <c r="M16" s="1068"/>
    </row>
    <row r="17" spans="1:37" s="1393" customFormat="1" ht="18" customHeight="1">
      <c r="A17" s="978" t="s">
        <v>681</v>
      </c>
      <c r="B17" s="302" t="s">
        <v>716</v>
      </c>
      <c r="C17" s="21">
        <f ca="1">ROUND(F17*(F43+INDIRECT("'数据-取费表'!S"&amp;$G$1)),0)</f>
        <v>39944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983621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19672</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6438</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34614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-6438</v>
      </c>
      <c r="K25" s="1091" t="s">
        <v>753</v>
      </c>
      <c r="L25" s="1092"/>
      <c r="M25" s="1093"/>
    </row>
    <row r="26" spans="1:37" ht="18" customHeight="1">
      <c r="A26" s="978" t="s">
        <v>397</v>
      </c>
      <c r="B26" s="302" t="s">
        <v>754</v>
      </c>
      <c r="C26" s="21">
        <f ca="1">ROUND((C19+C20)*F26,0)</f>
        <v>150494</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1287542</v>
      </c>
      <c r="D29" s="1088"/>
      <c r="E29" s="1086"/>
      <c r="F29" s="1089"/>
      <c r="G29" s="1392"/>
      <c r="H29" s="334" t="s">
        <v>396</v>
      </c>
      <c r="I29" s="335" t="s">
        <v>768</v>
      </c>
      <c r="J29" s="336">
        <f ca="1">ROUND(J26/(1+F40)^F41,0)</f>
        <v>0</v>
      </c>
      <c r="K29" s="337" t="s">
        <v>769</v>
      </c>
      <c r="L29" s="338"/>
      <c r="M29" s="339">
        <f ca="1">INDIRECT("'数据-取费表'!k"&amp;$G$1)</f>
        <v>199.72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61845</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52787</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16796</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35991</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6438</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1577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253467</v>
      </c>
      <c r="D39" s="1091" t="s">
        <v>753</v>
      </c>
      <c r="E39" s="1092"/>
      <c r="F39" s="1093"/>
      <c r="G39" s="1380"/>
      <c r="H39" s="2693">
        <f ca="1">C39/C5</f>
        <v>0.8038609377378596</v>
      </c>
      <c r="I39" s="1394"/>
      <c r="J39" s="1395"/>
      <c r="K39" s="2697"/>
      <c r="L39" s="2693"/>
      <c r="M39" s="2693"/>
    </row>
    <row r="40" spans="1:18" ht="18" customHeight="1">
      <c r="A40" s="299" t="s">
        <v>395</v>
      </c>
      <c r="B40" s="300" t="s">
        <v>774</v>
      </c>
      <c r="C40" s="301">
        <f ca="1">ROUND(C39*(1-((1+F42)/(1+F40))^F41)/(F40-F42),0)</f>
        <v>4681866</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199.72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-478.75080000000003</v>
      </c>
      <c r="D45" s="3425" t="s">
        <v>3346</v>
      </c>
      <c r="E45" s="1396"/>
      <c r="F45" s="1396"/>
      <c r="O45" s="1399" t="s">
        <v>808</v>
      </c>
      <c r="P45" s="1457"/>
      <c r="Q45" s="1457"/>
      <c r="R45" s="1457"/>
    </row>
    <row r="46" spans="1:18" s="1380" customFormat="1" ht="13.5" thickBot="1">
      <c r="A46" s="1400" t="s">
        <v>809</v>
      </c>
      <c r="C46" s="1401">
        <f ca="1">ROUND(C45,0)</f>
        <v>-479</v>
      </c>
      <c r="D46" s="1402" t="str">
        <f>C2</f>
        <v>万元</v>
      </c>
      <c r="I46" s="1403" t="s">
        <v>810</v>
      </c>
      <c r="J46" s="1404"/>
      <c r="K46" s="1405"/>
      <c r="L46" s="1406">
        <f ca="1">IF(M47="住宅",0,IF(L48&gt;J51,L60,J60))</f>
        <v>67981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4681866</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67981</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1287542</v>
      </c>
      <c r="R49" s="1416" t="s">
        <v>818</v>
      </c>
    </row>
    <row r="50" spans="1:18" s="1380" customFormat="1" ht="13.5" thickBot="1">
      <c r="A50" s="972"/>
      <c r="B50" s="975"/>
      <c r="C50" s="976"/>
      <c r="D50" s="949"/>
      <c r="E50" s="1052" t="s">
        <v>697</v>
      </c>
      <c r="F50" s="1053">
        <f ca="1">F7</f>
        <v>199.72</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3096587</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4749847</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1042909</v>
      </c>
      <c r="D56" s="1443"/>
      <c r="E56" s="1444"/>
      <c r="F56" s="1436"/>
      <c r="I56" s="1445" t="s">
        <v>842</v>
      </c>
      <c r="J56" s="1446" t="s">
        <v>3385</v>
      </c>
      <c r="K56" s="1417" t="s">
        <v>843</v>
      </c>
      <c r="L56" s="1420" t="str">
        <f ca="1">IF(L48&lt;J51,"——",L48-J51)</f>
        <v>——</v>
      </c>
      <c r="O56" s="1414" t="s">
        <v>403</v>
      </c>
      <c r="P56" s="1415" t="s">
        <v>817</v>
      </c>
      <c r="Q56" s="1416">
        <f ca="1">C40+J29</f>
        <v>4681866</v>
      </c>
      <c r="R56" s="1416" t="s">
        <v>818</v>
      </c>
    </row>
    <row r="57" spans="1:18" s="1380" customFormat="1" ht="24.75" thickBot="1">
      <c r="A57" s="1447"/>
      <c r="B57" s="946" t="s">
        <v>767</v>
      </c>
      <c r="C57" s="238">
        <f ca="1">C29</f>
        <v>1287542</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7481</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515017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67981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4681866</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4681866</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-7481</v>
      </c>
      <c r="D67" s="959" t="s">
        <v>753</v>
      </c>
      <c r="E67" s="964"/>
      <c r="F67" s="965"/>
      <c r="O67" s="1424" t="s">
        <v>405</v>
      </c>
      <c r="P67" s="1415" t="s">
        <v>850</v>
      </c>
      <c r="Q67" s="1462">
        <f ca="1">L51</f>
        <v>3096587</v>
      </c>
      <c r="R67" s="1416" t="s">
        <v>870</v>
      </c>
    </row>
    <row r="68" spans="1:18" s="1380" customFormat="1" ht="16.5" thickBot="1">
      <c r="A68" s="943" t="s">
        <v>395</v>
      </c>
      <c r="B68" s="944" t="s">
        <v>774</v>
      </c>
      <c r="C68" s="301">
        <f ca="1">ROUND(C67*(1-((1+F70)/(1+F68))^F69)/(F68-F70),0)</f>
        <v>-105642</v>
      </c>
      <c r="D68" s="961" t="s">
        <v>758</v>
      </c>
      <c r="E68" s="946" t="s">
        <v>759</v>
      </c>
      <c r="F68" s="312">
        <f ca="1">F40</f>
        <v>5.5E-2</v>
      </c>
      <c r="O68" s="1424" t="s">
        <v>406</v>
      </c>
      <c r="P68" s="1463" t="s">
        <v>871</v>
      </c>
      <c r="Q68" s="1416">
        <f ca="1">ROUND(Q69-Q70*Q71,0)</f>
        <v>180463</v>
      </c>
      <c r="R68" s="1416" t="s">
        <v>414</v>
      </c>
    </row>
    <row r="69" spans="1:18" s="1380" customFormat="1" ht="13.5" thickBot="1">
      <c r="A69" s="947"/>
      <c r="B69" s="948"/>
      <c r="C69" s="306"/>
      <c r="D69" s="966" t="s">
        <v>762</v>
      </c>
      <c r="E69" s="946" t="s">
        <v>763</v>
      </c>
      <c r="F69" s="333">
        <f ca="1">F41</f>
        <v>28</v>
      </c>
      <c r="O69" s="1424" t="s">
        <v>411</v>
      </c>
      <c r="P69" s="1463" t="s">
        <v>872</v>
      </c>
      <c r="Q69" s="1416">
        <f ca="1">C39</f>
        <v>253467</v>
      </c>
      <c r="R69" s="1416" t="s">
        <v>818</v>
      </c>
    </row>
    <row r="70" spans="1:18" s="1380" customFormat="1" ht="13.5" thickBot="1">
      <c r="A70" s="950"/>
      <c r="B70" s="951"/>
      <c r="C70" s="310"/>
      <c r="D70" s="962"/>
      <c r="E70" s="946" t="s">
        <v>766</v>
      </c>
      <c r="F70" s="1050"/>
      <c r="O70" s="1424" t="s">
        <v>412</v>
      </c>
      <c r="P70" s="1463" t="s">
        <v>873</v>
      </c>
      <c r="Q70" s="1416">
        <f ca="1">C13</f>
        <v>1042909</v>
      </c>
      <c r="R70" s="1416" t="s">
        <v>818</v>
      </c>
    </row>
    <row r="71" spans="1:18" s="1380" customFormat="1" ht="13.5" thickBot="1">
      <c r="A71" s="967" t="s">
        <v>396</v>
      </c>
      <c r="B71" s="968" t="s">
        <v>776</v>
      </c>
      <c r="C71" s="336">
        <f ca="1">ROUND(C68/F71,0)</f>
        <v>-529</v>
      </c>
      <c r="D71" s="969" t="s">
        <v>777</v>
      </c>
      <c r="E71" s="970" t="s">
        <v>778</v>
      </c>
      <c r="F71" s="339">
        <f ca="1">F43</f>
        <v>199.72</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73004</v>
      </c>
      <c r="D75" s="1380"/>
      <c r="E75" s="1380"/>
      <c r="F75" s="1380"/>
      <c r="K75" s="1398"/>
      <c r="L75" s="1380"/>
      <c r="O75" s="1414" t="s">
        <v>409</v>
      </c>
      <c r="P75" s="1415" t="s">
        <v>838</v>
      </c>
      <c r="Q75" s="1416">
        <f ca="1">Q65+Q66</f>
        <v>4681866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D4" sqref="D4"/>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3479</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3491</v>
      </c>
      <c r="D4" s="1752" t="s">
        <v>3483</v>
      </c>
      <c r="E4" s="3654" t="s">
        <v>1265</v>
      </c>
      <c r="F4" s="3655"/>
      <c r="G4" s="3655"/>
      <c r="H4" s="3655"/>
      <c r="I4" s="3656"/>
      <c r="K4" s="146" t="str">
        <f>IF(ISNUMBER(FIND("比较法",'结果表-911'!C4)),"比较法",IF(ISNUMBER(FIND("成本法",'结果表-911'!C4)),"成本法",IF(ISNUMBER(FIND("假设开发法",'结果表-911'!C4)),"假设开发法",IF(ISNUMBER(FIND("收益法",'结果表-911'!C4)),"收益法","基准地价系数修正法"))))</f>
        <v>比较法</v>
      </c>
      <c r="L4" s="146" t="str">
        <f>IF(ISNUMBER(FIND("比较法",'结果表-911'!D4)),"比较法",IF(ISNUMBER(FIND("成本法",'结果表-911'!D4)),"成本法",IF(ISNUMBER(FIND("假设开发法",'结果表-911'!D4)),"假设开发法",IF(ISNUMBER(FIND("收益法",'结果表-911'!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179.5</v>
      </c>
      <c r="M18" s="302">
        <f>IF(C1="",'数据-汇总表'!E3,SUMIF(项目类型,C1,'数据-汇总表'!E17:E26))</f>
        <v>179.5</v>
      </c>
    </row>
    <row r="19" spans="1:36" ht="15">
      <c r="A19" s="1757" t="s">
        <v>1288</v>
      </c>
      <c r="B19" s="1758" t="s">
        <v>1289</v>
      </c>
      <c r="C19" s="134">
        <f ca="1">SUMIF(INDIRECT("'"&amp;C4&amp;"'"&amp;"!A:A"),'结果表-911'!B19,INDIRECT("'"&amp;C4&amp;"'"&amp;"!B:B"))</f>
        <v>624.28309999999999</v>
      </c>
      <c r="D19" s="135">
        <f ca="1">SUMIF(INDIRECT("'"&amp;D4&amp;"'"&amp;"!A:A"),'结果表-911'!B19,INDIRECT("'"&amp;D4&amp;"'"&amp;"!B:B"))</f>
        <v>426.90089999999998</v>
      </c>
      <c r="E19" s="1757" t="s">
        <v>1290</v>
      </c>
      <c r="F19" s="1758" t="s">
        <v>1289</v>
      </c>
      <c r="G19" s="136">
        <f ca="1">ROUND(C19*$C$18+D19*$D$18,0)</f>
        <v>565</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SUMIF(INDIRECT("'"&amp;C4&amp;"'"&amp;"!A:A"),'结果表-911'!B20,INDIRECT("'"&amp;C4&amp;"'"&amp;"!B:B"))</f>
        <v>34779</v>
      </c>
      <c r="D20" s="138">
        <f ca="1">SUMIF(INDIRECT("'"&amp;D4&amp;"'"&amp;"!A:A"),'结果表-911'!B20,INDIRECT("'"&amp;D4&amp;"'"&amp;"!B:B"))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0.46236070244874172</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565</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565</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565</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30</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30</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30</v>
      </c>
      <c r="E54" s="327" t="s">
        <v>1357</v>
      </c>
      <c r="F54" s="2547">
        <f>'数据-取费表'!B41</f>
        <v>5.6000000000000001E-2</v>
      </c>
      <c r="G54" s="2548"/>
      <c r="H54" s="2549"/>
      <c r="I54" s="1803"/>
      <c r="J54" s="3452">
        <v>3</v>
      </c>
      <c r="K54" s="3606" t="s">
        <v>1358</v>
      </c>
      <c r="L54" s="3606"/>
      <c r="M54" s="2518">
        <f t="shared" ca="1" si="0"/>
        <v>320</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5</v>
      </c>
      <c r="N55" s="3453" t="str">
        <f>E59</f>
        <v>差额计税</v>
      </c>
      <c r="O55" s="2522">
        <f>F59</f>
        <v>0.01</v>
      </c>
    </row>
    <row r="56" spans="1:35" ht="24.75" hidden="1">
      <c r="A56" s="3666" t="s">
        <v>1361</v>
      </c>
      <c r="B56" s="3644"/>
      <c r="C56" s="3644"/>
      <c r="D56" s="3447">
        <f ca="1">IF(H56="个人住宅",D57,D58)</f>
        <v>320</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IF(AND(J55="",J56=""),4,IF(项目基本情况!K6="上海银行",'结果表-911'!J56+1,'结果表-911'!J55+1))</f>
        <v>5</v>
      </c>
      <c r="K57" s="3606" t="s">
        <v>1365</v>
      </c>
      <c r="L57" s="2523" t="s">
        <v>1366</v>
      </c>
      <c r="M57" s="2524"/>
      <c r="N57" s="2525">
        <f ca="1">SUMIF(M52:M56,"&lt;9e307")</f>
        <v>325</v>
      </c>
      <c r="O57" s="2526"/>
      <c r="P57" s="2683">
        <f ca="1">N57/M49</f>
        <v>0.5752212389380531</v>
      </c>
    </row>
    <row r="58" spans="1:35" ht="24.75" hidden="1">
      <c r="A58" s="3465" t="s">
        <v>1350</v>
      </c>
      <c r="B58" s="3630" t="s">
        <v>1367</v>
      </c>
      <c r="C58" s="3629"/>
      <c r="D58" s="3447">
        <f ca="1">IF(H58="转让取得",C81,C97)</f>
        <v>320</v>
      </c>
      <c r="E58" s="3462" t="s">
        <v>1362</v>
      </c>
      <c r="F58" s="302" t="s">
        <v>28</v>
      </c>
      <c r="G58" s="2548"/>
      <c r="H58" s="2551"/>
      <c r="I58" s="1804"/>
      <c r="J58" s="3606"/>
      <c r="K58" s="3606"/>
      <c r="L58" s="2523" t="s">
        <v>1368</v>
      </c>
      <c r="M58" s="2527"/>
      <c r="N58" s="2528" t="str">
        <f ca="1">NUMBERSTRING(INT(N57*10000),2)&amp;"元整"</f>
        <v>叁佰贰拾伍万元整</v>
      </c>
      <c r="O58" s="2529"/>
    </row>
    <row r="59" spans="1:35" ht="24.75" hidden="1" thickBot="1">
      <c r="A59" s="3610" t="s">
        <v>1369</v>
      </c>
      <c r="B59" s="3611"/>
      <c r="C59" s="3611"/>
      <c r="D59" s="2553">
        <f ca="1">IF(H59="非个人房产","——",IF(H59="个人住宅（满五唯一有凭证）",0,IF(H59="个人其他（无凭证）",ROUND(D45*F59,0),ROUND(C67*F59,0))))</f>
        <v>5</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240</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贰佰肆拾万元整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2469</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538</v>
      </c>
      <c r="D63" s="167"/>
      <c r="E63" s="168"/>
      <c r="F63" s="1804"/>
      <c r="G63" s="1804"/>
      <c r="H63" s="1806"/>
      <c r="I63" s="129"/>
      <c r="J63" s="3589" t="s">
        <v>1377</v>
      </c>
      <c r="K63" s="3448" t="s">
        <v>1378</v>
      </c>
      <c r="L63" s="3448">
        <f ca="1">IF(M49&gt;10000,M49*0.5%,IF(AND(M49&gt;1000,M49&lt;=10000),M49*1%,IF(AND(M49&gt;100,M49&lt;=1000),M49*3%,IF(AND(M49&gt;10,M49&lt;=100),M49*5%,M49*8%))))</f>
        <v>16.95</v>
      </c>
      <c r="M63" s="302">
        <f ca="1">ROUND(L63,1)</f>
        <v>17</v>
      </c>
      <c r="N63" s="2536"/>
      <c r="Z63" s="1748"/>
      <c r="AI63" s="1749"/>
    </row>
    <row r="64" spans="1:35" ht="14.25" hidden="1" customHeight="1">
      <c r="A64" s="169" t="s">
        <v>325</v>
      </c>
      <c r="B64" s="170" t="s">
        <v>1379</v>
      </c>
      <c r="C64" s="2558">
        <f ca="1">D45</f>
        <v>565</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3.9549999999999996</v>
      </c>
      <c r="M64" s="302">
        <f t="shared" ref="M64:M65" ca="1" si="1">ROUND(L64,1)</f>
        <v>4</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2.8250000000000002</v>
      </c>
      <c r="M65" s="302">
        <f t="shared" ca="1" si="1"/>
        <v>2.8</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2.8250000000000002</v>
      </c>
      <c r="M66" s="302">
        <f ca="1">IF(L66&gt;0.5,0.5,ROUND(L66,0))</f>
        <v>0.5</v>
      </c>
      <c r="N66" s="2537" t="s">
        <v>1386</v>
      </c>
      <c r="Z66" s="1748"/>
      <c r="AI66" s="1749"/>
    </row>
    <row r="67" spans="1:35" ht="14.25" hidden="1" customHeight="1">
      <c r="A67" s="173" t="s">
        <v>328</v>
      </c>
      <c r="B67" s="174" t="s">
        <v>1387</v>
      </c>
      <c r="C67" s="2561">
        <f ca="1">C63-C66</f>
        <v>538</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1.6625000000000001</v>
      </c>
      <c r="M67" s="302">
        <f ca="1">ROUND(L67*0.9,1)</f>
        <v>1.5</v>
      </c>
      <c r="N67" s="2536"/>
      <c r="Z67" s="1748"/>
      <c r="AI67" s="1749"/>
    </row>
    <row r="68" spans="1:35" ht="14.25" hidden="1" customHeight="1" thickBot="1">
      <c r="A68" s="176" t="s">
        <v>329</v>
      </c>
      <c r="B68" s="177" t="s">
        <v>1389</v>
      </c>
      <c r="C68" s="2562">
        <f ca="1">IF(C67&lt;=0,0,ROUND(C67*D68,0))</f>
        <v>30</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16.95</v>
      </c>
      <c r="M68" s="302">
        <f ca="1">ROUND(L68,1)</f>
        <v>17</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43</v>
      </c>
      <c r="N69" s="2538">
        <f ca="1">M69/M49</f>
        <v>7.6106194690265486E-2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538</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535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178.33333333333334</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320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538</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535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178.33333333333334</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320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比较法-911</v>
      </c>
      <c r="D101" s="2579" t="str">
        <f>D4</f>
        <v>收益法-911</v>
      </c>
      <c r="E101" s="3585" t="s">
        <v>1429</v>
      </c>
      <c r="F101" s="3586"/>
      <c r="G101" s="1823" t="s">
        <v>1430</v>
      </c>
      <c r="H101" s="2588">
        <f ca="1">H118</f>
        <v>565</v>
      </c>
      <c r="I101" s="129"/>
    </row>
    <row r="102" spans="1:35" ht="18.75" customHeight="1">
      <c r="A102" s="3617" t="s">
        <v>1431</v>
      </c>
      <c r="B102" s="2577" t="s">
        <v>1430</v>
      </c>
      <c r="C102" s="2578">
        <f ca="1">IF(D32="楼面单价",ROUND(C19,0),C19)</f>
        <v>624</v>
      </c>
      <c r="D102" s="2579">
        <f ca="1">IF(D32="楼面单价",ROUND(D19,0),D19)</f>
        <v>427</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565</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565</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179.5</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ROUND(IF(D32="总价",C32,I118*B118/10000),0)</f>
        <v>565</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伍佰陆拾伍万元整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565</v>
      </c>
      <c r="E122" s="3595"/>
      <c r="F122" s="3595"/>
      <c r="G122" s="3595"/>
      <c r="H122" s="3595"/>
      <c r="I122" s="3596"/>
      <c r="AA122" s="725"/>
    </row>
    <row r="123" spans="1:27" ht="18.75" customHeight="1">
      <c r="A123" s="3593" t="s">
        <v>1450</v>
      </c>
      <c r="B123" s="3593"/>
      <c r="C123" s="3593"/>
      <c r="D123" s="3599" t="str">
        <f ca="1">NUMBERSTRING(INT(D122*10000),2)&amp;"元整"</f>
        <v>伍佰陆拾伍万元整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C10:D13">
    <cfRule type="cellIs" dxfId="65" priority="5" stopIfTrue="1" operator="equal">
      <formula>15</formula>
    </cfRule>
  </conditionalFormatting>
  <conditionalFormatting sqref="D14:D16">
    <cfRule type="cellIs" dxfId="64" priority="4" stopIfTrue="1" operator="equal">
      <formula>30</formula>
    </cfRule>
  </conditionalFormatting>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E36">
    <cfRule type="expression" dxfId="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3479</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624.28309999999999</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179.5</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'数据-汇总表'!F22</f>
        <v>179.5</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60" priority="20" stopIfTrue="1" operator="containsText" text="超过">
      <formula>NOT(ISERROR(SEARCH("超过",F53)))</formula>
    </cfRule>
  </conditionalFormatting>
  <conditionalFormatting sqref="H55">
    <cfRule type="containsText" dxfId="59" priority="19" stopIfTrue="1" operator="containsText" text="超过">
      <formula>NOT(ISERROR(SEARCH("超过",H55)))</formula>
    </cfRule>
  </conditionalFormatting>
  <conditionalFormatting sqref="F55">
    <cfRule type="containsText" dxfId="58" priority="18" stopIfTrue="1" operator="containsText" text="超过">
      <formula>NOT(ISERROR(SEARCH("超过",F55)))</formula>
    </cfRule>
  </conditionalFormatting>
  <conditionalFormatting sqref="F54 H54">
    <cfRule type="containsText" dxfId="57" priority="17" stopIfTrue="1" operator="containsText" text="超过">
      <formula>NOT(ISERROR(SEARCH("超过",F54)))</formula>
    </cfRule>
  </conditionalFormatting>
  <conditionalFormatting sqref="E53">
    <cfRule type="expression" dxfId="56" priority="16" stopIfTrue="1">
      <formula>$F$53="超过30%"</formula>
    </cfRule>
  </conditionalFormatting>
  <conditionalFormatting sqref="E54">
    <cfRule type="expression" dxfId="55" priority="15" stopIfTrue="1">
      <formula>$F$54="超过20%"</formula>
    </cfRule>
  </conditionalFormatting>
  <conditionalFormatting sqref="E55">
    <cfRule type="expression" dxfId="54" priority="14" stopIfTrue="1">
      <formula>$F$55="超过30%"</formula>
    </cfRule>
  </conditionalFormatting>
  <conditionalFormatting sqref="G55">
    <cfRule type="expression" dxfId="53" priority="13" stopIfTrue="1">
      <formula>$H$55="超过30%"</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J53">
    <cfRule type="containsText" dxfId="50" priority="10" stopIfTrue="1" operator="containsText" text="超过">
      <formula>NOT(ISERROR(SEARCH("超过",J53)))</formula>
    </cfRule>
  </conditionalFormatting>
  <conditionalFormatting sqref="J55">
    <cfRule type="containsText" dxfId="49" priority="9" stopIfTrue="1" operator="containsText" text="超过">
      <formula>NOT(ISERROR(SEARCH("超过",J55)))</formula>
    </cfRule>
  </conditionalFormatting>
  <conditionalFormatting sqref="J54">
    <cfRule type="containsText" dxfId="48" priority="8" stopIfTrue="1" operator="containsText" text="超过">
      <formula>NOT(ISERROR(SEARCH("超过",J54)))</formula>
    </cfRule>
  </conditionalFormatting>
  <conditionalFormatting sqref="I53">
    <cfRule type="expression" dxfId="47" priority="7" stopIfTrue="1">
      <formula>$J$53="超过30%"</formula>
    </cfRule>
  </conditionalFormatting>
  <conditionalFormatting sqref="I54">
    <cfRule type="expression" dxfId="46" priority="6" stopIfTrue="1">
      <formula>$J$53+$J$54="超过20%"</formula>
    </cfRule>
  </conditionalFormatting>
  <conditionalFormatting sqref="I55">
    <cfRule type="expression" dxfId="45" priority="5" stopIfTrue="1">
      <formula>$J$55="超过30%"</formula>
    </cfRule>
  </conditionalFormatting>
  <conditionalFormatting sqref="F49">
    <cfRule type="expression" dxfId="44" priority="4">
      <formula>$D$49="简单平均"</formula>
    </cfRule>
  </conditionalFormatting>
  <conditionalFormatting sqref="H49">
    <cfRule type="expression" dxfId="43" priority="3">
      <formula>$D$49="简单平均"</formula>
    </cfRule>
  </conditionalFormatting>
  <conditionalFormatting sqref="J49">
    <cfRule type="expression" dxfId="42" priority="2">
      <formula>$D$49="简单平均"</formula>
    </cfRule>
  </conditionalFormatting>
  <conditionalFormatting sqref="F7:F47 H7:H47 J7:J47">
    <cfRule type="cellIs" dxfId="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3479</v>
      </c>
      <c r="D1" s="1358" t="s">
        <v>43</v>
      </c>
      <c r="E1" s="1359" t="s">
        <v>678</v>
      </c>
      <c r="F1" s="1058">
        <f ca="1">J53</f>
        <v>28</v>
      </c>
      <c r="G1" s="1374">
        <f>MATCH(C1,'数据-取费表'!A6:A16,0)+5</f>
        <v>9</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426.90089999999998</v>
      </c>
      <c r="C2" s="1383" t="s">
        <v>879</v>
      </c>
      <c r="D2" s="1467">
        <f ca="1">C40+J29+L46</f>
        <v>4269009</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283390</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283036</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179.5</v>
      </c>
      <c r="G7" s="1380"/>
      <c r="H7" s="304"/>
      <c r="I7" s="3678"/>
      <c r="J7" s="306"/>
      <c r="K7" s="307"/>
      <c r="L7" s="302" t="s">
        <v>697</v>
      </c>
      <c r="M7" s="303">
        <f ca="1">F7</f>
        <v>179.5</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354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937324</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807750</v>
      </c>
      <c r="D14" s="3459" t="s">
        <v>708</v>
      </c>
      <c r="E14" s="3458"/>
      <c r="F14" s="319"/>
      <c r="G14" s="1380"/>
      <c r="H14" s="978" t="s">
        <v>398</v>
      </c>
      <c r="I14" s="302" t="s">
        <v>709</v>
      </c>
      <c r="J14" s="21">
        <f ca="1">C29</f>
        <v>1157190</v>
      </c>
      <c r="K14" s="3447"/>
      <c r="L14" s="803"/>
      <c r="M14" s="804"/>
    </row>
    <row r="15" spans="1:37" s="1393" customFormat="1" ht="18" customHeight="1" thickBot="1">
      <c r="A15" s="978" t="s">
        <v>399</v>
      </c>
      <c r="B15" s="302" t="s">
        <v>710</v>
      </c>
      <c r="C15" s="21">
        <f ca="1">ROUND(C14*F15,0)</f>
        <v>24233</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5786</v>
      </c>
      <c r="K16" s="1083" t="s">
        <v>715</v>
      </c>
      <c r="L16" s="3464"/>
      <c r="M16" s="1068"/>
    </row>
    <row r="17" spans="1:37" s="1393" customFormat="1" ht="18" customHeight="1">
      <c r="A17" s="978" t="s">
        <v>681</v>
      </c>
      <c r="B17" s="302" t="s">
        <v>716</v>
      </c>
      <c r="C17" s="21">
        <f ca="1">ROUND(F17*(F43+INDIRECT("'数据-取费表'!S"&amp;$G$1)),0)</f>
        <v>35900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16155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884038</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17681</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5786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31109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-5786</v>
      </c>
      <c r="K25" s="1091" t="s">
        <v>753</v>
      </c>
      <c r="L25" s="1092"/>
      <c r="M25" s="1093"/>
    </row>
    <row r="26" spans="1:37" ht="18" customHeight="1">
      <c r="A26" s="978" t="s">
        <v>397</v>
      </c>
      <c r="B26" s="302" t="s">
        <v>754</v>
      </c>
      <c r="C26" s="21">
        <f ca="1">ROUND((C19+C20)*F26,0)</f>
        <v>135258</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1157190</v>
      </c>
      <c r="D29" s="1088"/>
      <c r="E29" s="1086"/>
      <c r="F29" s="1089"/>
      <c r="G29" s="1392"/>
      <c r="H29" s="334" t="s">
        <v>396</v>
      </c>
      <c r="I29" s="335" t="s">
        <v>768</v>
      </c>
      <c r="J29" s="336">
        <f ca="1">ROUND(J26/(1+F40)^F41,0)</f>
        <v>0</v>
      </c>
      <c r="K29" s="337" t="s">
        <v>769</v>
      </c>
      <c r="L29" s="338"/>
      <c r="M29" s="339">
        <f ca="1">INDIRECT("'数据-取费表'!k"&amp;$G$1)</f>
        <v>179.5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55582</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47442</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15095</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32347</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5786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937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1417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227808</v>
      </c>
      <c r="D39" s="1091" t="s">
        <v>753</v>
      </c>
      <c r="E39" s="1092"/>
      <c r="F39" s="1093"/>
      <c r="G39" s="1380"/>
      <c r="H39" s="2693">
        <f ca="1">C39/C5</f>
        <v>0.80386746180175728</v>
      </c>
      <c r="I39" s="1394"/>
      <c r="J39" s="1395"/>
      <c r="K39" s="2697"/>
      <c r="L39" s="2693"/>
      <c r="M39" s="2693"/>
    </row>
    <row r="40" spans="1:18" ht="18" customHeight="1">
      <c r="A40" s="299" t="s">
        <v>395</v>
      </c>
      <c r="B40" s="300" t="s">
        <v>774</v>
      </c>
      <c r="C40" s="301">
        <f ca="1">ROUND(C39*(1-((1+F42)/(1+F40))^F41)/(F40-F42),0)</f>
        <v>4207911</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179.5</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-430.28489999999999</v>
      </c>
      <c r="D45" s="3425" t="s">
        <v>3346</v>
      </c>
      <c r="E45" s="1396"/>
      <c r="F45" s="1396"/>
      <c r="O45" s="1399" t="s">
        <v>808</v>
      </c>
      <c r="P45" s="1457"/>
      <c r="Q45" s="1457"/>
      <c r="R45" s="1457"/>
    </row>
    <row r="46" spans="1:18" s="1380" customFormat="1" ht="13.5" thickBot="1">
      <c r="A46" s="1400" t="s">
        <v>809</v>
      </c>
      <c r="C46" s="1401">
        <f ca="1">ROUND(C45,0)</f>
        <v>-430</v>
      </c>
      <c r="D46" s="1402" t="str">
        <f>C2</f>
        <v>万元</v>
      </c>
      <c r="I46" s="1403" t="s">
        <v>810</v>
      </c>
      <c r="J46" s="1404"/>
      <c r="K46" s="1405"/>
      <c r="L46" s="1406">
        <f ca="1">IF(M47="住宅",0,IF(L48&gt;J51,L60,J60))</f>
        <v>61098</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4207911</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61098</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1157190</v>
      </c>
      <c r="R49" s="1416" t="s">
        <v>818</v>
      </c>
    </row>
    <row r="50" spans="1:18" s="1380" customFormat="1" ht="13.5" thickBot="1">
      <c r="A50" s="972"/>
      <c r="B50" s="975"/>
      <c r="C50" s="976"/>
      <c r="D50" s="949"/>
      <c r="E50" s="1052" t="s">
        <v>697</v>
      </c>
      <c r="F50" s="1053">
        <f ca="1">F7</f>
        <v>179.5</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2783124</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4269009</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937324</v>
      </c>
      <c r="D56" s="1443"/>
      <c r="E56" s="1444"/>
      <c r="F56" s="1436"/>
      <c r="I56" s="1445" t="s">
        <v>842</v>
      </c>
      <c r="J56" s="1446" t="s">
        <v>3385</v>
      </c>
      <c r="K56" s="1417" t="s">
        <v>843</v>
      </c>
      <c r="L56" s="1420" t="str">
        <f ca="1">IF(L48&lt;J51,"——",L48-J51)</f>
        <v>——</v>
      </c>
      <c r="O56" s="1414" t="s">
        <v>403</v>
      </c>
      <c r="P56" s="1415" t="s">
        <v>817</v>
      </c>
      <c r="Q56" s="1416">
        <f ca="1">C40+J29</f>
        <v>4207911</v>
      </c>
      <c r="R56" s="1416" t="s">
        <v>818</v>
      </c>
    </row>
    <row r="57" spans="1:18" s="1380" customFormat="1" ht="24.75" thickBot="1">
      <c r="A57" s="1447"/>
      <c r="B57" s="946" t="s">
        <v>767</v>
      </c>
      <c r="C57" s="238">
        <f ca="1">C29</f>
        <v>1157190</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6723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462876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61098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4207911</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5786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937</v>
      </c>
      <c r="D65" s="960" t="s">
        <v>743</v>
      </c>
      <c r="E65" s="946" t="s">
        <v>744</v>
      </c>
      <c r="F65" s="330">
        <f t="shared" ca="1" si="0"/>
        <v>1E-3</v>
      </c>
      <c r="I65" s="1458" t="s">
        <v>867</v>
      </c>
      <c r="J65" s="1459">
        <v>40</v>
      </c>
      <c r="K65" s="1459">
        <v>30</v>
      </c>
      <c r="L65" s="1459">
        <v>50</v>
      </c>
      <c r="M65" s="1461">
        <v>0.02</v>
      </c>
      <c r="O65" s="1414" t="s">
        <v>403</v>
      </c>
      <c r="P65" s="1415" t="s">
        <v>868</v>
      </c>
      <c r="Q65" s="1416">
        <f ca="1">C40+J29</f>
        <v>4207911</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-6723</v>
      </c>
      <c r="D67" s="959" t="s">
        <v>753</v>
      </c>
      <c r="E67" s="964"/>
      <c r="F67" s="965"/>
      <c r="O67" s="1424" t="s">
        <v>405</v>
      </c>
      <c r="P67" s="1415" t="s">
        <v>850</v>
      </c>
      <c r="Q67" s="1462">
        <f ca="1">L51</f>
        <v>2783124</v>
      </c>
      <c r="R67" s="1416" t="s">
        <v>870</v>
      </c>
    </row>
    <row r="68" spans="1:18" s="1380" customFormat="1" ht="16.5" thickBot="1">
      <c r="A68" s="943" t="s">
        <v>395</v>
      </c>
      <c r="B68" s="944" t="s">
        <v>774</v>
      </c>
      <c r="C68" s="301">
        <f ca="1">ROUND(C67*(1-((1+F70)/(1+F68))^F69)/(F68-F70),0)</f>
        <v>-94938</v>
      </c>
      <c r="D68" s="961" t="s">
        <v>758</v>
      </c>
      <c r="E68" s="946" t="s">
        <v>759</v>
      </c>
      <c r="F68" s="312">
        <f ca="1">F40</f>
        <v>5.5E-2</v>
      </c>
      <c r="O68" s="1424" t="s">
        <v>406</v>
      </c>
      <c r="P68" s="1463" t="s">
        <v>871</v>
      </c>
      <c r="Q68" s="1416">
        <f ca="1">ROUND(Q69-Q70*Q71,0)</f>
        <v>162195</v>
      </c>
      <c r="R68" s="1416" t="s">
        <v>414</v>
      </c>
    </row>
    <row r="69" spans="1:18" s="1380" customFormat="1" ht="13.5" thickBot="1">
      <c r="A69" s="947"/>
      <c r="B69" s="948"/>
      <c r="C69" s="306"/>
      <c r="D69" s="966" t="s">
        <v>762</v>
      </c>
      <c r="E69" s="946" t="s">
        <v>763</v>
      </c>
      <c r="F69" s="333">
        <f ca="1">F41</f>
        <v>28</v>
      </c>
      <c r="O69" s="1424" t="s">
        <v>411</v>
      </c>
      <c r="P69" s="1463" t="s">
        <v>872</v>
      </c>
      <c r="Q69" s="1416">
        <f ca="1">C39</f>
        <v>227808</v>
      </c>
      <c r="R69" s="1416" t="s">
        <v>818</v>
      </c>
    </row>
    <row r="70" spans="1:18" s="1380" customFormat="1" ht="13.5" thickBot="1">
      <c r="A70" s="950"/>
      <c r="B70" s="951"/>
      <c r="C70" s="310"/>
      <c r="D70" s="962"/>
      <c r="E70" s="946" t="s">
        <v>766</v>
      </c>
      <c r="F70" s="1050"/>
      <c r="O70" s="1424" t="s">
        <v>412</v>
      </c>
      <c r="P70" s="1463" t="s">
        <v>873</v>
      </c>
      <c r="Q70" s="1416">
        <f ca="1">C13</f>
        <v>937324</v>
      </c>
      <c r="R70" s="1416" t="s">
        <v>818</v>
      </c>
    </row>
    <row r="71" spans="1:18" s="1380" customFormat="1" ht="13.5" thickBot="1">
      <c r="A71" s="967" t="s">
        <v>396</v>
      </c>
      <c r="B71" s="968" t="s">
        <v>776</v>
      </c>
      <c r="C71" s="336">
        <f ca="1">ROUND(C68/F71,0)</f>
        <v>-529</v>
      </c>
      <c r="D71" s="969" t="s">
        <v>777</v>
      </c>
      <c r="E71" s="970" t="s">
        <v>778</v>
      </c>
      <c r="F71" s="339">
        <f ca="1">F43</f>
        <v>179.5</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65613</v>
      </c>
      <c r="D75" s="1380"/>
      <c r="E75" s="1380"/>
      <c r="F75" s="1380"/>
      <c r="K75" s="1398"/>
      <c r="L75" s="1380"/>
      <c r="O75" s="1414" t="s">
        <v>409</v>
      </c>
      <c r="P75" s="1415" t="s">
        <v>838</v>
      </c>
      <c r="Q75" s="1416">
        <f ca="1">Q65+Q66</f>
        <v>4207911</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0" priority="4">
      <formula>$L$48&gt;$J$51</formula>
    </cfRule>
  </conditionalFormatting>
  <conditionalFormatting sqref="I55 I60">
    <cfRule type="expression" dxfId="39" priority="5">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D4" sqref="D4"/>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3477</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3487</v>
      </c>
      <c r="D4" s="1752" t="s">
        <v>3481</v>
      </c>
      <c r="E4" s="3654" t="s">
        <v>1265</v>
      </c>
      <c r="F4" s="3655"/>
      <c r="G4" s="3655"/>
      <c r="H4" s="3655"/>
      <c r="I4" s="3656"/>
      <c r="K4" s="146" t="str">
        <f>IF(ISNUMBER(FIND("比较法",'结果表-1012'!C4)),"比较法",IF(ISNUMBER(FIND("成本法",'结果表-1012'!C4)),"成本法",IF(ISNUMBER(FIND("假设开发法",'结果表-1012'!C4)),"假设开发法",IF(ISNUMBER(FIND("收益法",'结果表-1012'!C4)),"收益法","基准地价系数修正法"))))</f>
        <v>比较法</v>
      </c>
      <c r="L4" s="146" t="str">
        <f>IF(ISNUMBER(FIND("比较法",'结果表-1012'!D4)),"比较法",IF(ISNUMBER(FIND("成本法",'结果表-1012'!D4)),"成本法",IF(ISNUMBER(FIND("假设开发法",'结果表-1012'!D4)),"假设开发法",IF(ISNUMBER(FIND("收益法",'结果表-1012'!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194.79</v>
      </c>
      <c r="M18" s="302">
        <f>IF(C1="",'数据-汇总表'!E3,SUMIF(项目类型,C1,'数据-汇总表'!E17:E26))</f>
        <v>194.79</v>
      </c>
    </row>
    <row r="19" spans="1:36" ht="15">
      <c r="A19" s="1757" t="s">
        <v>1288</v>
      </c>
      <c r="B19" s="1758" t="s">
        <v>1289</v>
      </c>
      <c r="C19" s="134">
        <f ca="1">SUMIF(INDIRECT("'"&amp;C4&amp;"'"&amp;"!A:A"),'结果表-1012'!B19,INDIRECT("'"&amp;C4&amp;"'"&amp;"!B:B"))</f>
        <v>677.46010000000001</v>
      </c>
      <c r="D19" s="135">
        <f ca="1">SUMIF(INDIRECT("'"&amp;D4&amp;"'"&amp;"!A:A"),'结果表-1012'!B19,INDIRECT("'"&amp;D4&amp;"'"&amp;"!B:B"))</f>
        <v>463.26299999999998</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SUMIF(INDIRECT("'"&amp;C4&amp;"'"&amp;"!A:A"),'结果表-1012'!B20,INDIRECT("'"&amp;C4&amp;"'"&amp;"!B:B"))</f>
        <v>34779</v>
      </c>
      <c r="D20" s="138">
        <f ca="1">SUMIF(INDIRECT("'"&amp;D4&amp;"'"&amp;"!A:A"),'结果表-1012'!B20,INDIRECT("'"&amp;D4&amp;"'"&amp;"!B:B"))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0.46236608578712324</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613</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613</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613</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33</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33</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33</v>
      </c>
      <c r="E54" s="327" t="s">
        <v>1357</v>
      </c>
      <c r="F54" s="2547">
        <f>'数据-取费表'!B41</f>
        <v>5.6000000000000001E-2</v>
      </c>
      <c r="G54" s="2548"/>
      <c r="H54" s="2549"/>
      <c r="I54" s="1803"/>
      <c r="J54" s="3452">
        <v>3</v>
      </c>
      <c r="K54" s="3606" t="s">
        <v>1358</v>
      </c>
      <c r="L54" s="3606"/>
      <c r="M54" s="2518">
        <f t="shared" ca="1" si="0"/>
        <v>347</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347</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IF(AND(J55="",J56=""),4,IF(项目基本情况!K6="上海银行",'结果表-1012'!J56+1,'结果表-1012'!J55+1))</f>
        <v>5</v>
      </c>
      <c r="K57" s="3606" t="s">
        <v>1365</v>
      </c>
      <c r="L57" s="2523" t="s">
        <v>1366</v>
      </c>
      <c r="M57" s="2524"/>
      <c r="N57" s="2525">
        <f ca="1">SUMIF(M52:M56,"&lt;9e307")</f>
        <v>353</v>
      </c>
      <c r="O57" s="2526"/>
      <c r="P57" s="2683">
        <f ca="1">N57/M49</f>
        <v>0.57585644371941269</v>
      </c>
    </row>
    <row r="58" spans="1:35" ht="24.75" hidden="1">
      <c r="A58" s="3465" t="s">
        <v>1350</v>
      </c>
      <c r="B58" s="3630" t="s">
        <v>1367</v>
      </c>
      <c r="C58" s="3629"/>
      <c r="D58" s="3447">
        <f ca="1">IF(H58="转让取得",C81,C97)</f>
        <v>347</v>
      </c>
      <c r="E58" s="3462" t="s">
        <v>1362</v>
      </c>
      <c r="F58" s="302" t="s">
        <v>28</v>
      </c>
      <c r="G58" s="2548"/>
      <c r="H58" s="2551"/>
      <c r="I58" s="1804"/>
      <c r="J58" s="3606"/>
      <c r="K58" s="3606"/>
      <c r="L58" s="2523" t="s">
        <v>1368</v>
      </c>
      <c r="M58" s="2527"/>
      <c r="N58" s="2528" t="str">
        <f ca="1">NUMBERSTRING(INT(N57*10000),2)&amp;"元整"</f>
        <v>叁佰伍拾叁万元整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260</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贰佰陆拾万元整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2675</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589" t="s">
        <v>1377</v>
      </c>
      <c r="K63" s="3448" t="s">
        <v>1378</v>
      </c>
      <c r="L63" s="3448">
        <f ca="1">IF(M49&gt;10000,M49*0.5%,IF(AND(M49&gt;1000,M49&lt;=10000),M49*1%,IF(AND(M49&gt;100,M49&lt;=1000),M49*3%,IF(AND(M49&gt;10,M49&lt;=100),M49*5%,M49*8%))))</f>
        <v>18.39</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4.2909999999999995</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3.0649999999999999</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3.0649999999999999</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1.7825</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18.39</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46</v>
      </c>
      <c r="N69" s="2538">
        <f ca="1">M69/M49</f>
        <v>7.5040783034257749E-2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比较法-1012</v>
      </c>
      <c r="D101" s="2579" t="str">
        <f>D4</f>
        <v>收益法-1012</v>
      </c>
      <c r="E101" s="3585" t="s">
        <v>1429</v>
      </c>
      <c r="F101" s="3586"/>
      <c r="G101" s="1823" t="s">
        <v>1430</v>
      </c>
      <c r="H101" s="2588">
        <f ca="1">H118</f>
        <v>613</v>
      </c>
      <c r="I101" s="129"/>
    </row>
    <row r="102" spans="1:35" ht="18.75" customHeight="1">
      <c r="A102" s="3617" t="s">
        <v>1431</v>
      </c>
      <c r="B102" s="2577" t="s">
        <v>1430</v>
      </c>
      <c r="C102" s="2578">
        <f ca="1">IF(D32="楼面单价",ROUND(C19,0),C19)</f>
        <v>677</v>
      </c>
      <c r="D102" s="2579">
        <f ca="1">IF(D32="楼面单价",ROUND(D19,0),D19)</f>
        <v>463</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613</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613</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194.79</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ROUND(IF(D32="总价",C32,I118*B118/10000),0)</f>
        <v>613</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陆佰壹拾叁万元整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613</v>
      </c>
      <c r="E122" s="3595"/>
      <c r="F122" s="3595"/>
      <c r="G122" s="3595"/>
      <c r="H122" s="3595"/>
      <c r="I122" s="3596"/>
      <c r="AA122" s="725"/>
    </row>
    <row r="123" spans="1:27" ht="18.75" customHeight="1">
      <c r="A123" s="3593" t="s">
        <v>1450</v>
      </c>
      <c r="B123" s="3593"/>
      <c r="C123" s="3593"/>
      <c r="D123" s="3599" t="str">
        <f ca="1">NUMBERSTRING(INT(D122*10000),2)&amp;"元整"</f>
        <v>陆佰壹拾叁万元整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3477</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677.46010000000001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194.79</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'数据-汇总表'!F23</f>
        <v>194.79</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3477</v>
      </c>
      <c r="D1" s="1358" t="s">
        <v>43</v>
      </c>
      <c r="E1" s="1359" t="s">
        <v>678</v>
      </c>
      <c r="F1" s="1058">
        <f ca="1">J53</f>
        <v>28</v>
      </c>
      <c r="G1" s="1374">
        <f>MATCH(C1,'数据-取费表'!A6:A16,0)+5</f>
        <v>10</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463.26299999999998</v>
      </c>
      <c r="C2" s="1383" t="s">
        <v>879</v>
      </c>
      <c r="D2" s="1467">
        <f ca="1">C40+J29+L46</f>
        <v>4632630</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307529</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307145</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194.79</v>
      </c>
      <c r="G7" s="1380"/>
      <c r="H7" s="304"/>
      <c r="I7" s="3678"/>
      <c r="J7" s="306"/>
      <c r="K7" s="307"/>
      <c r="L7" s="302" t="s">
        <v>697</v>
      </c>
      <c r="M7" s="303">
        <f ca="1">F7</f>
        <v>194.79</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384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1017165</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876555</v>
      </c>
      <c r="D14" s="3459" t="s">
        <v>708</v>
      </c>
      <c r="E14" s="3458"/>
      <c r="F14" s="319"/>
      <c r="G14" s="1380"/>
      <c r="H14" s="978" t="s">
        <v>398</v>
      </c>
      <c r="I14" s="302" t="s">
        <v>709</v>
      </c>
      <c r="J14" s="21">
        <f ca="1">C29</f>
        <v>1255759</v>
      </c>
      <c r="K14" s="3447"/>
      <c r="L14" s="803"/>
      <c r="M14" s="804"/>
    </row>
    <row r="15" spans="1:37" s="1393" customFormat="1" ht="18" customHeight="1" thickBot="1">
      <c r="A15" s="978" t="s">
        <v>399</v>
      </c>
      <c r="B15" s="302" t="s">
        <v>710</v>
      </c>
      <c r="C15" s="21">
        <f ca="1">ROUND(C14*F15,0)</f>
        <v>26297</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6279</v>
      </c>
      <c r="K16" s="1083" t="s">
        <v>715</v>
      </c>
      <c r="L16" s="3464"/>
      <c r="M16" s="1068"/>
    </row>
    <row r="17" spans="1:37" s="1393" customFormat="1" ht="18" customHeight="1">
      <c r="A17" s="978" t="s">
        <v>681</v>
      </c>
      <c r="B17" s="302" t="s">
        <v>716</v>
      </c>
      <c r="C17" s="21">
        <f ca="1">ROUND(F17*(F43+INDIRECT("'数据-取费表'!S"&amp;$G$1)),0)</f>
        <v>38958</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17531</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959341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19187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6279</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33759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-6279</v>
      </c>
      <c r="K25" s="1091" t="s">
        <v>753</v>
      </c>
      <c r="L25" s="1092"/>
      <c r="M25" s="1093"/>
    </row>
    <row r="26" spans="1:37" ht="18" customHeight="1">
      <c r="A26" s="978" t="s">
        <v>397</v>
      </c>
      <c r="B26" s="302" t="s">
        <v>754</v>
      </c>
      <c r="C26" s="21">
        <f ca="1">ROUND((C19+C20)*F26,0)</f>
        <v>146779</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1255759</v>
      </c>
      <c r="D29" s="1088"/>
      <c r="E29" s="1086"/>
      <c r="F29" s="1089"/>
      <c r="G29" s="1392"/>
      <c r="H29" s="334" t="s">
        <v>396</v>
      </c>
      <c r="I29" s="335" t="s">
        <v>768</v>
      </c>
      <c r="J29" s="336">
        <f ca="1">ROUND(J26/(1+F40)^F41,0)</f>
        <v>0</v>
      </c>
      <c r="K29" s="337" t="s">
        <v>769</v>
      </c>
      <c r="L29" s="338"/>
      <c r="M29" s="339">
        <f ca="1">INDIRECT("'数据-取费表'!k"&amp;$G$1)</f>
        <v>194.79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60317</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51483</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16381</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35102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6279</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1017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1538</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247212</v>
      </c>
      <c r="D39" s="1091" t="s">
        <v>753</v>
      </c>
      <c r="E39" s="1092"/>
      <c r="F39" s="1093"/>
      <c r="G39" s="1380"/>
      <c r="H39" s="2693">
        <f ca="1">C39/C5</f>
        <v>0.80386565169463697</v>
      </c>
      <c r="I39" s="1394"/>
      <c r="J39" s="1395"/>
      <c r="K39" s="2697"/>
      <c r="L39" s="2693"/>
      <c r="M39" s="2693"/>
    </row>
    <row r="40" spans="1:18" ht="18" customHeight="1">
      <c r="A40" s="299" t="s">
        <v>395</v>
      </c>
      <c r="B40" s="300" t="s">
        <v>774</v>
      </c>
      <c r="C40" s="301">
        <f ca="1">ROUND(C39*(1-((1+F42)/(1+F40))^F41)/(F40-F42),0)</f>
        <v>4566328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194.79</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-466.93579999999997</v>
      </c>
      <c r="D45" s="3425" t="s">
        <v>3346</v>
      </c>
      <c r="E45" s="1396"/>
      <c r="F45" s="1396"/>
      <c r="O45" s="1399" t="s">
        <v>808</v>
      </c>
      <c r="P45" s="1457"/>
      <c r="Q45" s="1457"/>
      <c r="R45" s="1457"/>
    </row>
    <row r="46" spans="1:18" s="1380" customFormat="1" ht="13.5" thickBot="1">
      <c r="A46" s="1400" t="s">
        <v>809</v>
      </c>
      <c r="C46" s="1401">
        <f ca="1">ROUND(C45,0)</f>
        <v>-467</v>
      </c>
      <c r="D46" s="1402" t="str">
        <f>C2</f>
        <v>万元</v>
      </c>
      <c r="I46" s="1403" t="s">
        <v>810</v>
      </c>
      <c r="J46" s="1404"/>
      <c r="K46" s="1405"/>
      <c r="L46" s="1406">
        <f ca="1">IF(M47="住宅",0,IF(L48&gt;J51,L60,J60))</f>
        <v>66302</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4566328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66302</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1255759</v>
      </c>
      <c r="R49" s="1416" t="s">
        <v>818</v>
      </c>
    </row>
    <row r="50" spans="1:18" s="1380" customFormat="1" ht="13.5" thickBot="1">
      <c r="A50" s="972"/>
      <c r="B50" s="975"/>
      <c r="C50" s="976"/>
      <c r="D50" s="949"/>
      <c r="E50" s="1052" t="s">
        <v>697</v>
      </c>
      <c r="F50" s="1053">
        <f ca="1">F7</f>
        <v>194.79</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3020179</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4632630</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1017165</v>
      </c>
      <c r="D56" s="1443"/>
      <c r="E56" s="1444"/>
      <c r="F56" s="1436"/>
      <c r="I56" s="1445" t="s">
        <v>842</v>
      </c>
      <c r="J56" s="1446" t="s">
        <v>3385</v>
      </c>
      <c r="K56" s="1417" t="s">
        <v>843</v>
      </c>
      <c r="L56" s="1420" t="str">
        <f ca="1">IF(L48&lt;J51,"——",L48-J51)</f>
        <v>——</v>
      </c>
      <c r="O56" s="1414" t="s">
        <v>403</v>
      </c>
      <c r="P56" s="1415" t="s">
        <v>817</v>
      </c>
      <c r="Q56" s="1416">
        <f ca="1">C40+J29</f>
        <v>4566328</v>
      </c>
      <c r="R56" s="1416" t="s">
        <v>818</v>
      </c>
    </row>
    <row r="57" spans="1:18" s="1380" customFormat="1" ht="24.75" thickBot="1">
      <c r="A57" s="1447"/>
      <c r="B57" s="946" t="s">
        <v>767</v>
      </c>
      <c r="C57" s="238">
        <f ca="1">C29</f>
        <v>1255759</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7296</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502304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66302</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4566328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6279</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1017</v>
      </c>
      <c r="D65" s="960" t="s">
        <v>743</v>
      </c>
      <c r="E65" s="946" t="s">
        <v>744</v>
      </c>
      <c r="F65" s="330">
        <f t="shared" ca="1" si="0"/>
        <v>1E-3</v>
      </c>
      <c r="I65" s="1458" t="s">
        <v>867</v>
      </c>
      <c r="J65" s="1459">
        <v>40</v>
      </c>
      <c r="K65" s="1459">
        <v>30</v>
      </c>
      <c r="L65" s="1459">
        <v>50</v>
      </c>
      <c r="M65" s="1461">
        <v>0.02</v>
      </c>
      <c r="O65" s="1414" t="s">
        <v>403</v>
      </c>
      <c r="P65" s="1415" t="s">
        <v>868</v>
      </c>
      <c r="Q65" s="1416">
        <f ca="1">C40+J29</f>
        <v>4566328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-7296</v>
      </c>
      <c r="D67" s="959" t="s">
        <v>753</v>
      </c>
      <c r="E67" s="964"/>
      <c r="F67" s="965"/>
      <c r="O67" s="1424" t="s">
        <v>405</v>
      </c>
      <c r="P67" s="1415" t="s">
        <v>850</v>
      </c>
      <c r="Q67" s="1462">
        <f ca="1">L51</f>
        <v>3020179</v>
      </c>
      <c r="R67" s="1416" t="s">
        <v>870</v>
      </c>
    </row>
    <row r="68" spans="1:18" s="1380" customFormat="1" ht="16.5" thickBot="1">
      <c r="A68" s="943" t="s">
        <v>395</v>
      </c>
      <c r="B68" s="944" t="s">
        <v>774</v>
      </c>
      <c r="C68" s="301">
        <f ca="1">ROUND(C67*(1-((1+F70)/(1+F68))^F69)/(F68-F70),0)</f>
        <v>-103030</v>
      </c>
      <c r="D68" s="961" t="s">
        <v>758</v>
      </c>
      <c r="E68" s="946" t="s">
        <v>759</v>
      </c>
      <c r="F68" s="312">
        <f ca="1">F40</f>
        <v>5.5E-2</v>
      </c>
      <c r="O68" s="1424" t="s">
        <v>406</v>
      </c>
      <c r="P68" s="1463" t="s">
        <v>871</v>
      </c>
      <c r="Q68" s="1416">
        <f ca="1">ROUND(Q69-Q70*Q71,0)</f>
        <v>176010</v>
      </c>
      <c r="R68" s="1416" t="s">
        <v>414</v>
      </c>
    </row>
    <row r="69" spans="1:18" s="1380" customFormat="1" ht="13.5" thickBot="1">
      <c r="A69" s="947"/>
      <c r="B69" s="948"/>
      <c r="C69" s="306"/>
      <c r="D69" s="966" t="s">
        <v>762</v>
      </c>
      <c r="E69" s="946" t="s">
        <v>763</v>
      </c>
      <c r="F69" s="333">
        <f ca="1">F41</f>
        <v>28</v>
      </c>
      <c r="O69" s="1424" t="s">
        <v>411</v>
      </c>
      <c r="P69" s="1463" t="s">
        <v>872</v>
      </c>
      <c r="Q69" s="1416">
        <f ca="1">C39</f>
        <v>247212</v>
      </c>
      <c r="R69" s="1416" t="s">
        <v>818</v>
      </c>
    </row>
    <row r="70" spans="1:18" s="1380" customFormat="1" ht="13.5" thickBot="1">
      <c r="A70" s="950"/>
      <c r="B70" s="951"/>
      <c r="C70" s="310"/>
      <c r="D70" s="962"/>
      <c r="E70" s="946" t="s">
        <v>766</v>
      </c>
      <c r="F70" s="1050"/>
      <c r="O70" s="1424" t="s">
        <v>412</v>
      </c>
      <c r="P70" s="1463" t="s">
        <v>873</v>
      </c>
      <c r="Q70" s="1416">
        <f ca="1">C13</f>
        <v>1017165</v>
      </c>
      <c r="R70" s="1416" t="s">
        <v>818</v>
      </c>
    </row>
    <row r="71" spans="1:18" s="1380" customFormat="1" ht="13.5" thickBot="1">
      <c r="A71" s="967" t="s">
        <v>396</v>
      </c>
      <c r="B71" s="968" t="s">
        <v>776</v>
      </c>
      <c r="C71" s="336">
        <f ca="1">ROUND(C68/F71,0)</f>
        <v>-529</v>
      </c>
      <c r="D71" s="969" t="s">
        <v>777</v>
      </c>
      <c r="E71" s="970" t="s">
        <v>778</v>
      </c>
      <c r="F71" s="339">
        <f ca="1">F43</f>
        <v>194.79</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71202</v>
      </c>
      <c r="D75" s="1380"/>
      <c r="E75" s="1380"/>
      <c r="F75" s="1380"/>
      <c r="K75" s="1398"/>
      <c r="L75" s="1380"/>
      <c r="O75" s="1414" t="s">
        <v>409</v>
      </c>
      <c r="P75" s="1415" t="s">
        <v>838</v>
      </c>
      <c r="Q75" s="1416">
        <f ca="1">Q65+Q66</f>
        <v>4566328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2081</v>
      </c>
      <c r="C1" s="3793" t="s">
        <v>2082</v>
      </c>
      <c r="D1" s="3794"/>
      <c r="E1" s="3794"/>
      <c r="F1" s="3794"/>
      <c r="G1" s="3794"/>
      <c r="H1" s="3794"/>
      <c r="I1" s="3794"/>
      <c r="J1" s="3794"/>
      <c r="K1" s="3794"/>
      <c r="L1" s="3794"/>
      <c r="M1" s="3794"/>
      <c r="N1" s="3794"/>
      <c r="O1" s="3794"/>
      <c r="P1" s="3794"/>
      <c r="Q1" s="3794"/>
      <c r="R1" s="3794"/>
      <c r="S1" s="3795"/>
      <c r="T1" s="979" t="s">
        <v>2083</v>
      </c>
    </row>
    <row r="2" spans="1:45" s="655" customFormat="1">
      <c r="A2" s="980"/>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2093</v>
      </c>
      <c r="E19" s="1336"/>
      <c r="F19" s="1336"/>
      <c r="G19" s="1336"/>
      <c r="H19" s="1055"/>
      <c r="I19" s="159"/>
      <c r="J19" s="159"/>
      <c r="K19" s="159"/>
      <c r="L19" s="159"/>
      <c r="M19" s="159"/>
      <c r="N19" s="159"/>
      <c r="O19" s="159"/>
      <c r="P19" s="159"/>
      <c r="Q19" s="159"/>
      <c r="R19" s="718"/>
      <c r="S19" s="129"/>
    </row>
    <row r="20" spans="1:45" ht="16.5" thickBot="1">
      <c r="A20" s="662" t="s">
        <v>2094</v>
      </c>
      <c r="B20" s="294" t="e">
        <f ca="1">IF(D20="——",S22,S22-F20)</f>
        <v>#REF!</v>
      </c>
      <c r="C20" s="159"/>
      <c r="D20" s="2147"/>
      <c r="E20" s="1337"/>
      <c r="F20" s="979" t="e">
        <f ca="1">SUMIF(INDIRECT("'"&amp;H20&amp;"'"&amp;"!A:A"),"承租人权益价值",INDIRECT("'"&amp;H20&amp;"'"&amp;"!c:c"))</f>
        <v>#REF!</v>
      </c>
      <c r="G20" s="979"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90" t="s">
        <v>27</v>
      </c>
      <c r="D22" s="3791"/>
      <c r="E22" s="3791"/>
      <c r="F22" s="3791"/>
      <c r="G22" s="3791"/>
      <c r="H22" s="3791"/>
      <c r="I22" s="3791"/>
      <c r="J22" s="3791"/>
      <c r="K22" s="3791"/>
      <c r="L22" s="3791"/>
      <c r="M22" s="3791"/>
      <c r="N22" s="3791"/>
      <c r="O22" s="3791"/>
      <c r="P22" s="3791"/>
      <c r="Q22" s="3792"/>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'结果表-307'!D116</f>
        <v>出让国有建设用地使用权价值</v>
      </c>
      <c r="E2" s="3501"/>
      <c r="F2" s="3501" t="str">
        <f>'结果表-307'!F116</f>
        <v>在建建筑物价值</v>
      </c>
      <c r="G2" s="3501"/>
      <c r="H2" s="3501" t="str">
        <f>IF(项目基本情况!B9="房地产市场价值","房地产市场价值","房地产价值")</f>
        <v>房地产价值</v>
      </c>
      <c r="I2" s="3501"/>
    </row>
    <row r="3" spans="1:9" ht="15">
      <c r="A3" s="3502"/>
      <c r="B3" s="3502"/>
      <c r="C3" s="3502"/>
      <c r="D3" s="850" t="s">
        <v>925</v>
      </c>
      <c r="E3" s="850" t="s">
        <v>931</v>
      </c>
      <c r="F3" s="850" t="s">
        <v>925</v>
      </c>
      <c r="G3" s="850" t="s">
        <v>926</v>
      </c>
      <c r="H3" s="850" t="s">
        <v>925</v>
      </c>
      <c r="I3" s="850" t="s">
        <v>926</v>
      </c>
    </row>
    <row r="4" spans="1:9" ht="30">
      <c r="A4" s="1501" t="str">
        <f>项目基本情况!S2</f>
        <v>北京市朝阳区东三环南路98号1幢3层307房地产</v>
      </c>
      <c r="B4" s="850">
        <f>项目基本情况!C17</f>
        <v>971.86</v>
      </c>
      <c r="C4" s="850">
        <f>项目基本情况!C18</f>
        <v>0</v>
      </c>
      <c r="D4" s="850" t="e">
        <f ca="1">'结果表-307'!D118</f>
        <v>#REF!</v>
      </c>
      <c r="E4" s="850" t="e">
        <f ca="1">'结果表-307'!E118</f>
        <v>#REF!</v>
      </c>
      <c r="F4" s="850" t="e">
        <f ca="1">'结果表-307'!F118</f>
        <v>#REF!</v>
      </c>
      <c r="G4" s="850" t="e">
        <f ca="1">'结果表-307'!G118</f>
        <v>#REF!</v>
      </c>
      <c r="H4" s="850">
        <f ca="1">'结果表-307'!H118</f>
        <v>608</v>
      </c>
      <c r="I4" s="850">
        <f ca="1">'结果表-307'!I118</f>
        <v>30704</v>
      </c>
    </row>
    <row r="5" spans="1:9" ht="30" customHeight="1">
      <c r="A5" s="3502" t="s">
        <v>927</v>
      </c>
      <c r="B5" s="3502"/>
      <c r="C5" s="3502"/>
      <c r="D5" s="3502" t="e">
        <f ca="1">'结果表-307'!D119</f>
        <v>#REF!</v>
      </c>
      <c r="E5" s="3502"/>
      <c r="F5" s="3502" t="e">
        <f ca="1">'结果表-307'!F119</f>
        <v>#REF!</v>
      </c>
      <c r="G5" s="3502"/>
      <c r="H5" s="3502" t="str">
        <f ca="1">'结果表-307'!H119</f>
        <v>陆佰零捌万元整</v>
      </c>
      <c r="I5" s="3502"/>
    </row>
    <row r="6" spans="1:9" ht="15.75">
      <c r="A6" s="3503" t="str">
        <f>'结果表-307'!A120</f>
        <v>估价师知悉的法定优先受偿款</v>
      </c>
      <c r="B6" s="3503"/>
      <c r="C6" s="3503"/>
      <c r="D6" s="3503">
        <f>'结果表-307'!D120</f>
        <v>0</v>
      </c>
      <c r="E6" s="3503"/>
      <c r="F6" s="3503"/>
      <c r="G6" s="3503"/>
      <c r="H6" s="3503"/>
      <c r="I6" s="3503"/>
    </row>
    <row r="7" spans="1:9" ht="15">
      <c r="A7" s="3502" t="s">
        <v>927</v>
      </c>
      <c r="B7" s="3502"/>
      <c r="C7" s="3502"/>
      <c r="D7" s="3504" t="str">
        <f>'结果表-307'!D121</f>
        <v>零元整</v>
      </c>
      <c r="E7" s="3505"/>
      <c r="F7" s="3505"/>
      <c r="G7" s="3505"/>
      <c r="H7" s="3505"/>
      <c r="I7" s="3506"/>
    </row>
    <row r="8" spans="1:9" ht="15.75">
      <c r="A8" s="3503" t="str">
        <f>'结果表-307'!A122</f>
        <v>房地产抵押价值</v>
      </c>
      <c r="B8" s="3503"/>
      <c r="C8" s="3503"/>
      <c r="D8" s="3503">
        <f ca="1">'结果表-307'!D122</f>
        <v>608</v>
      </c>
      <c r="E8" s="3503"/>
      <c r="F8" s="3503"/>
      <c r="G8" s="3503"/>
      <c r="H8" s="3503"/>
      <c r="I8" s="3503"/>
    </row>
    <row r="9" spans="1:9" ht="15">
      <c r="A9" s="3502" t="s">
        <v>927</v>
      </c>
      <c r="B9" s="3502"/>
      <c r="C9" s="3502"/>
      <c r="D9" s="3502" t="str">
        <f ca="1">'结果表-307'!D123</f>
        <v>陆佰零捌万元整</v>
      </c>
      <c r="E9" s="3502"/>
      <c r="F9" s="3502"/>
      <c r="G9" s="3502"/>
      <c r="H9" s="3502"/>
      <c r="I9" s="3502"/>
    </row>
    <row r="10" spans="1:9" ht="15.75">
      <c r="A10" s="3503" t="str">
        <f>'结果表-307'!A124</f>
        <v/>
      </c>
      <c r="B10" s="3503"/>
      <c r="C10" s="3503"/>
      <c r="D10" s="3503" t="str">
        <f>'结果表-307'!D124</f>
        <v>——</v>
      </c>
      <c r="E10" s="3503"/>
      <c r="F10" s="3503"/>
      <c r="G10" s="3503"/>
      <c r="H10" s="3503"/>
      <c r="I10" s="3503"/>
    </row>
    <row r="11" spans="1:9" ht="15">
      <c r="A11" s="3502" t="s">
        <v>927</v>
      </c>
      <c r="B11" s="3502"/>
      <c r="C11" s="3502"/>
      <c r="D11" s="3502" t="e">
        <f>'结果表-307'!D125</f>
        <v>#VALUE!</v>
      </c>
      <c r="E11" s="3502"/>
      <c r="F11" s="3502"/>
      <c r="G11" s="3502"/>
      <c r="H11" s="3502"/>
      <c r="I11" s="3502"/>
    </row>
    <row r="12" spans="1:9" ht="15.75">
      <c r="A12" s="3503" t="str">
        <f>'结果表-307'!A126</f>
        <v/>
      </c>
      <c r="B12" s="3503"/>
      <c r="C12" s="3503"/>
      <c r="D12" s="3503" t="str">
        <f>'结果表-307'!D126</f>
        <v>——</v>
      </c>
      <c r="E12" s="3503"/>
      <c r="F12" s="3503"/>
      <c r="G12" s="3503"/>
      <c r="H12" s="3503"/>
      <c r="I12" s="3503"/>
    </row>
    <row r="13" spans="1:9" ht="15.75" thickBot="1">
      <c r="A13" s="3507" t="s">
        <v>927</v>
      </c>
      <c r="B13" s="3507"/>
      <c r="C13" s="3507"/>
      <c r="D13" s="3507" t="e">
        <f>'结果表-307'!D127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2587</v>
      </c>
      <c r="B1" s="3065" t="s">
        <v>2588</v>
      </c>
      <c r="C1" s="3065" t="s">
        <v>2589</v>
      </c>
      <c r="D1" s="3065" t="s">
        <v>2590</v>
      </c>
      <c r="E1" s="3065" t="s">
        <v>2591</v>
      </c>
      <c r="F1" s="3065" t="s">
        <v>2592</v>
      </c>
      <c r="G1" s="3065" t="s">
        <v>2593</v>
      </c>
      <c r="H1" s="3065" t="s">
        <v>2594</v>
      </c>
      <c r="I1" s="3065" t="s">
        <v>2595</v>
      </c>
      <c r="J1" s="3065" t="s">
        <v>2596</v>
      </c>
      <c r="K1" s="3065" t="s">
        <v>2597</v>
      </c>
      <c r="L1" s="3065" t="s">
        <v>2598</v>
      </c>
      <c r="M1" s="3066" t="s">
        <v>2599</v>
      </c>
    </row>
    <row r="2" spans="1:13" ht="19.5" customHeight="1">
      <c r="A2" s="3068" t="s">
        <v>2600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2616</v>
      </c>
      <c r="B18" s="3090"/>
      <c r="C18" s="3091"/>
      <c r="D18" s="3091"/>
      <c r="E18" s="3090"/>
      <c r="F18" s="3091"/>
      <c r="G18" s="3091"/>
    </row>
    <row r="19" spans="1:13" ht="19.5" customHeight="1" thickBot="1">
      <c r="A19" s="3088" t="s">
        <v>2617</v>
      </c>
      <c r="B19" s="3093" t="s">
        <v>2618</v>
      </c>
      <c r="C19" s="3093" t="s">
        <v>2619</v>
      </c>
      <c r="D19" s="3094"/>
      <c r="E19" s="3088" t="s">
        <v>2620</v>
      </c>
      <c r="F19" s="3095"/>
      <c r="G19" s="3095"/>
    </row>
    <row r="20" spans="1:13" ht="19.5" customHeight="1">
      <c r="A20" s="3803" t="s">
        <v>2600</v>
      </c>
      <c r="B20" s="3796" t="s">
        <v>2621</v>
      </c>
      <c r="C20" s="3096" t="s">
        <v>2432</v>
      </c>
      <c r="D20" s="3097"/>
      <c r="E20" s="3098">
        <v>1</v>
      </c>
      <c r="F20" s="3099" t="s">
        <v>2433</v>
      </c>
      <c r="G20" s="3099"/>
    </row>
    <row r="21" spans="1:13" ht="19.5" customHeight="1">
      <c r="A21" s="3804"/>
      <c r="B21" s="3797"/>
      <c r="C21" s="3100" t="s">
        <v>2434</v>
      </c>
      <c r="D21" s="3101"/>
      <c r="E21" s="3102">
        <v>1</v>
      </c>
      <c r="F21" s="3099" t="s">
        <v>2435</v>
      </c>
      <c r="G21" s="3099"/>
    </row>
    <row r="22" spans="1:13" ht="19.5" customHeight="1">
      <c r="A22" s="3804"/>
      <c r="B22" s="3797"/>
      <c r="C22" s="3100" t="s">
        <v>2436</v>
      </c>
      <c r="D22" s="3101"/>
      <c r="E22" s="3102">
        <v>0.9</v>
      </c>
      <c r="F22" s="3099" t="s">
        <v>2437</v>
      </c>
      <c r="G22" s="3099"/>
    </row>
    <row r="23" spans="1:13" ht="19.5" customHeight="1">
      <c r="A23" s="3804"/>
      <c r="B23" s="3797"/>
      <c r="C23" s="3100" t="s">
        <v>2438</v>
      </c>
      <c r="D23" s="3101"/>
      <c r="E23" s="3102">
        <v>0.9</v>
      </c>
      <c r="F23" s="3099" t="s">
        <v>2439</v>
      </c>
      <c r="G23" s="3099"/>
    </row>
    <row r="24" spans="1:13" ht="19.5" customHeight="1">
      <c r="A24" s="3804"/>
      <c r="B24" s="3797"/>
      <c r="C24" s="3100" t="s">
        <v>2440</v>
      </c>
      <c r="D24" s="3101"/>
      <c r="E24" s="3102">
        <v>0.8</v>
      </c>
      <c r="F24" s="3099" t="s">
        <v>2441</v>
      </c>
      <c r="G24" s="3099"/>
    </row>
    <row r="25" spans="1:13" ht="19.5" customHeight="1" thickBot="1">
      <c r="A25" s="3805"/>
      <c r="B25" s="3798"/>
      <c r="C25" s="3103" t="s">
        <v>2442</v>
      </c>
      <c r="D25" s="3104"/>
      <c r="E25" s="3105">
        <v>0.8</v>
      </c>
      <c r="F25" s="3099" t="s">
        <v>2443</v>
      </c>
      <c r="G25" s="3099"/>
    </row>
    <row r="26" spans="1:13" ht="19.5" customHeight="1" thickBot="1">
      <c r="A26" s="3106" t="s">
        <v>2622</v>
      </c>
      <c r="B26" s="3107" t="s">
        <v>2621</v>
      </c>
      <c r="C26" s="3108" t="s">
        <v>2623</v>
      </c>
      <c r="D26" s="3109"/>
      <c r="E26" s="3110">
        <v>1</v>
      </c>
      <c r="F26" s="3099" t="s">
        <v>2444</v>
      </c>
      <c r="G26" s="3099"/>
    </row>
    <row r="27" spans="1:13" ht="19.5" customHeight="1">
      <c r="A27" s="3799" t="s">
        <v>2624</v>
      </c>
      <c r="B27" s="3796" t="s">
        <v>2605</v>
      </c>
      <c r="C27" s="3096" t="s">
        <v>2445</v>
      </c>
      <c r="D27" s="3097"/>
      <c r="E27" s="3098">
        <v>1</v>
      </c>
      <c r="F27" s="3099" t="s">
        <v>2446</v>
      </c>
      <c r="G27" s="3099"/>
    </row>
    <row r="28" spans="1:13" ht="19.5" customHeight="1">
      <c r="A28" s="3800"/>
      <c r="B28" s="3797"/>
      <c r="C28" s="3100" t="s">
        <v>2447</v>
      </c>
      <c r="D28" s="3101"/>
      <c r="E28" s="3102">
        <v>1</v>
      </c>
      <c r="F28" s="3099" t="s">
        <v>2448</v>
      </c>
      <c r="G28" s="3099"/>
    </row>
    <row r="29" spans="1:13" ht="19.5" customHeight="1">
      <c r="A29" s="3800"/>
      <c r="B29" s="3797"/>
      <c r="C29" s="3100" t="s">
        <v>2449</v>
      </c>
      <c r="D29" s="3101"/>
      <c r="E29" s="3102">
        <v>0.8</v>
      </c>
      <c r="F29" s="3099" t="s">
        <v>2450</v>
      </c>
      <c r="G29" s="3099"/>
    </row>
    <row r="30" spans="1:13" ht="19.5" customHeight="1">
      <c r="A30" s="3800"/>
      <c r="B30" s="3797"/>
      <c r="C30" s="3100" t="s">
        <v>2451</v>
      </c>
      <c r="D30" s="3101"/>
      <c r="E30" s="3102">
        <v>0.8</v>
      </c>
      <c r="F30" s="3099" t="s">
        <v>2452</v>
      </c>
      <c r="G30" s="3099"/>
    </row>
    <row r="31" spans="1:13" ht="19.5" customHeight="1">
      <c r="A31" s="3800"/>
      <c r="B31" s="3797"/>
      <c r="C31" s="3100" t="s">
        <v>2453</v>
      </c>
      <c r="D31" s="3101"/>
      <c r="E31" s="3102">
        <v>0.8</v>
      </c>
      <c r="F31" s="3099" t="s">
        <v>2454</v>
      </c>
      <c r="G31" s="3099"/>
    </row>
    <row r="32" spans="1:13" ht="19.5" customHeight="1">
      <c r="A32" s="3800"/>
      <c r="B32" s="3797"/>
      <c r="C32" s="3100" t="s">
        <v>2455</v>
      </c>
      <c r="D32" s="3101"/>
      <c r="E32" s="3102">
        <v>0.7</v>
      </c>
      <c r="F32" s="3099" t="s">
        <v>2456</v>
      </c>
      <c r="G32" s="3099"/>
    </row>
    <row r="33" spans="1:7" ht="19.5" customHeight="1">
      <c r="A33" s="3800"/>
      <c r="B33" s="3797"/>
      <c r="C33" s="3100" t="s">
        <v>2457</v>
      </c>
      <c r="D33" s="3101"/>
      <c r="E33" s="3102">
        <v>0.8</v>
      </c>
      <c r="F33" s="3099" t="s">
        <v>2458</v>
      </c>
      <c r="G33" s="3099"/>
    </row>
    <row r="34" spans="1:7" ht="19.5" customHeight="1">
      <c r="A34" s="3800"/>
      <c r="B34" s="3797"/>
      <c r="C34" s="3100" t="s">
        <v>2459</v>
      </c>
      <c r="D34" s="3101"/>
      <c r="E34" s="3102">
        <v>0.6</v>
      </c>
      <c r="F34" s="3099" t="s">
        <v>2460</v>
      </c>
      <c r="G34" s="3099"/>
    </row>
    <row r="35" spans="1:7" ht="19.5" customHeight="1">
      <c r="A35" s="3800"/>
      <c r="B35" s="3797"/>
      <c r="C35" s="3100" t="s">
        <v>2461</v>
      </c>
      <c r="D35" s="3101"/>
      <c r="E35" s="3102">
        <v>0.2</v>
      </c>
      <c r="F35" s="3099" t="s">
        <v>2462</v>
      </c>
      <c r="G35" s="3099"/>
    </row>
    <row r="36" spans="1:7" ht="19.5" customHeight="1">
      <c r="A36" s="3800"/>
      <c r="B36" s="3797"/>
      <c r="C36" s="3100" t="s">
        <v>2463</v>
      </c>
      <c r="D36" s="3101"/>
      <c r="E36" s="3102">
        <v>0.2</v>
      </c>
      <c r="F36" s="3099" t="s">
        <v>2464</v>
      </c>
      <c r="G36" s="3099"/>
    </row>
    <row r="37" spans="1:7" ht="19.5" customHeight="1">
      <c r="A37" s="3800"/>
      <c r="B37" s="3802" t="s">
        <v>2625</v>
      </c>
      <c r="C37" s="3100" t="s">
        <v>2465</v>
      </c>
      <c r="D37" s="3101"/>
      <c r="E37" s="3102">
        <v>0.6</v>
      </c>
      <c r="F37" s="3099" t="s">
        <v>2466</v>
      </c>
      <c r="G37" s="3099"/>
    </row>
    <row r="38" spans="1:7" ht="19.5" customHeight="1">
      <c r="A38" s="3800"/>
      <c r="B38" s="3797"/>
      <c r="C38" s="3100" t="s">
        <v>2467</v>
      </c>
      <c r="D38" s="3101"/>
      <c r="E38" s="3102">
        <v>0.6</v>
      </c>
      <c r="F38" s="3099" t="s">
        <v>2468</v>
      </c>
      <c r="G38" s="3099"/>
    </row>
    <row r="39" spans="1:7" ht="19.5" customHeight="1" thickBot="1">
      <c r="A39" s="3801"/>
      <c r="B39" s="3798"/>
      <c r="C39" s="3103" t="s">
        <v>2469</v>
      </c>
      <c r="D39" s="3104"/>
      <c r="E39" s="3105">
        <v>0.6</v>
      </c>
      <c r="F39" s="3099" t="s">
        <v>2470</v>
      </c>
      <c r="G39" s="3099"/>
    </row>
    <row r="40" spans="1:7" ht="19.5" customHeight="1" thickBot="1">
      <c r="A40" s="3106" t="s">
        <v>2602</v>
      </c>
      <c r="B40" s="3107" t="s">
        <v>2602</v>
      </c>
      <c r="C40" s="3108" t="s">
        <v>2626</v>
      </c>
      <c r="D40" s="3109"/>
      <c r="E40" s="3110">
        <v>1</v>
      </c>
      <c r="F40" s="3099" t="s">
        <v>2471</v>
      </c>
      <c r="G40" s="3099"/>
    </row>
    <row r="41" spans="1:7" ht="19.5" customHeight="1">
      <c r="A41" s="3803" t="s">
        <v>2603</v>
      </c>
      <c r="B41" s="3796" t="s">
        <v>2627</v>
      </c>
      <c r="C41" s="3096" t="s">
        <v>2472</v>
      </c>
      <c r="D41" s="3097"/>
      <c r="E41" s="3098">
        <v>1</v>
      </c>
      <c r="F41" s="3099" t="s">
        <v>2473</v>
      </c>
      <c r="G41" s="3099"/>
    </row>
    <row r="42" spans="1:7" ht="19.5" customHeight="1">
      <c r="A42" s="3804"/>
      <c r="B42" s="3797"/>
      <c r="C42" s="3100" t="s">
        <v>2474</v>
      </c>
      <c r="D42" s="3101"/>
      <c r="E42" s="3102">
        <v>1</v>
      </c>
      <c r="F42" s="3099" t="s">
        <v>2475</v>
      </c>
      <c r="G42" s="3099"/>
    </row>
    <row r="43" spans="1:7" ht="19.5" customHeight="1">
      <c r="A43" s="3804"/>
      <c r="B43" s="3806"/>
      <c r="C43" s="3100" t="s">
        <v>2476</v>
      </c>
      <c r="D43" s="3101"/>
      <c r="E43" s="3102">
        <v>1.5</v>
      </c>
      <c r="F43" s="3099" t="s">
        <v>2477</v>
      </c>
      <c r="G43" s="3099"/>
    </row>
    <row r="44" spans="1:7" ht="19.5" customHeight="1">
      <c r="A44" s="3804"/>
      <c r="B44" s="3111" t="s">
        <v>2628</v>
      </c>
      <c r="C44" s="3100" t="s">
        <v>2629</v>
      </c>
      <c r="D44" s="3101"/>
      <c r="E44" s="3102">
        <v>2</v>
      </c>
      <c r="F44" s="3099" t="s">
        <v>2478</v>
      </c>
      <c r="G44" s="3099"/>
    </row>
    <row r="45" spans="1:7" ht="19.5" customHeight="1">
      <c r="A45" s="3804"/>
      <c r="B45" s="3802" t="s">
        <v>2630</v>
      </c>
      <c r="C45" s="3100" t="s">
        <v>2479</v>
      </c>
      <c r="D45" s="3101"/>
      <c r="E45" s="3102">
        <v>1</v>
      </c>
      <c r="F45" s="3099" t="s">
        <v>2480</v>
      </c>
      <c r="G45" s="3099"/>
    </row>
    <row r="46" spans="1:7" ht="19.5" customHeight="1">
      <c r="A46" s="3804"/>
      <c r="B46" s="3797"/>
      <c r="C46" s="3100" t="s">
        <v>2481</v>
      </c>
      <c r="D46" s="3101"/>
      <c r="E46" s="3102">
        <v>1</v>
      </c>
      <c r="F46" s="3099" t="s">
        <v>2482</v>
      </c>
      <c r="G46" s="3099"/>
    </row>
    <row r="47" spans="1:7" ht="19.5" customHeight="1">
      <c r="A47" s="3804"/>
      <c r="B47" s="3797"/>
      <c r="C47" s="3100" t="s">
        <v>2483</v>
      </c>
      <c r="D47" s="3101"/>
      <c r="E47" s="3102">
        <v>1</v>
      </c>
      <c r="F47" s="3099" t="s">
        <v>2484</v>
      </c>
      <c r="G47" s="3099"/>
    </row>
    <row r="48" spans="1:7" ht="19.5" customHeight="1">
      <c r="A48" s="3804"/>
      <c r="B48" s="3797"/>
      <c r="C48" s="3100" t="s">
        <v>2485</v>
      </c>
      <c r="D48" s="3101"/>
      <c r="E48" s="3102">
        <v>1</v>
      </c>
      <c r="F48" s="3099" t="s">
        <v>2486</v>
      </c>
      <c r="G48" s="3099"/>
    </row>
    <row r="49" spans="1:7" ht="19.5" customHeight="1">
      <c r="A49" s="3804"/>
      <c r="B49" s="3797"/>
      <c r="C49" s="3100" t="s">
        <v>2487</v>
      </c>
      <c r="D49" s="3101"/>
      <c r="E49" s="3102">
        <v>1</v>
      </c>
      <c r="F49" s="3099" t="s">
        <v>2488</v>
      </c>
      <c r="G49" s="3099"/>
    </row>
    <row r="50" spans="1:7" ht="19.5" customHeight="1">
      <c r="A50" s="3804"/>
      <c r="B50" s="3797"/>
      <c r="C50" s="3100" t="s">
        <v>2489</v>
      </c>
      <c r="D50" s="3101"/>
      <c r="E50" s="3102">
        <v>1</v>
      </c>
      <c r="F50" s="3099" t="s">
        <v>2490</v>
      </c>
      <c r="G50" s="3099"/>
    </row>
    <row r="51" spans="1:7" ht="19.5" customHeight="1" thickBot="1">
      <c r="A51" s="3805"/>
      <c r="B51" s="3798"/>
      <c r="C51" s="3103" t="s">
        <v>2491</v>
      </c>
      <c r="D51" s="3104"/>
      <c r="E51" s="3105">
        <v>1</v>
      </c>
      <c r="F51" s="3099" t="s">
        <v>2492</v>
      </c>
      <c r="G51" s="3099"/>
    </row>
    <row r="52" spans="1:7" ht="19.5" customHeight="1">
      <c r="A52" s="3112"/>
      <c r="B52" s="3112"/>
      <c r="C52" s="3112"/>
      <c r="D52" s="3112"/>
      <c r="E52" s="3112"/>
      <c r="F52" s="3112"/>
      <c r="G52" s="3112"/>
    </row>
    <row r="54" spans="1:7" ht="19.5" customHeight="1">
      <c r="A54" s="3113"/>
      <c r="B54" s="3085" t="s">
        <v>2631</v>
      </c>
      <c r="C54" s="3085" t="s">
        <v>2631</v>
      </c>
      <c r="D54" s="3085" t="s">
        <v>2631</v>
      </c>
      <c r="E54" s="3088" t="s">
        <v>2631</v>
      </c>
      <c r="F54" s="3088" t="s">
        <v>2632</v>
      </c>
      <c r="G54" s="3088" t="s">
        <v>2633</v>
      </c>
    </row>
    <row r="55" spans="1:7" ht="19.5" customHeight="1">
      <c r="A55" s="3114"/>
      <c r="B55" s="3088" t="s">
        <v>2600</v>
      </c>
      <c r="C55" s="3088" t="s">
        <v>2600</v>
      </c>
      <c r="D55" s="3088" t="s">
        <v>2600</v>
      </c>
      <c r="E55" s="3085" t="s">
        <v>2601</v>
      </c>
      <c r="F55" s="3085" t="s">
        <v>2603</v>
      </c>
      <c r="G55" s="3085" t="s">
        <v>2634</v>
      </c>
    </row>
    <row r="56" spans="1:7" ht="19.5" customHeight="1">
      <c r="A56" s="3115"/>
      <c r="B56" s="3085">
        <v>1</v>
      </c>
      <c r="C56" s="3085">
        <v>2</v>
      </c>
      <c r="D56" s="3085">
        <v>3</v>
      </c>
      <c r="E56" s="3116" t="s">
        <v>2635</v>
      </c>
      <c r="F56" s="3116" t="s">
        <v>2635</v>
      </c>
      <c r="G56" s="3116" t="s">
        <v>2635</v>
      </c>
    </row>
    <row r="57" spans="1:7" ht="19.5" customHeight="1">
      <c r="A57" s="3117" t="s">
        <v>2588</v>
      </c>
      <c r="B57" s="3085">
        <v>0.7</v>
      </c>
      <c r="C57" s="3085">
        <v>0.4</v>
      </c>
      <c r="D57" s="3085">
        <v>0.3</v>
      </c>
      <c r="E57" s="3116">
        <v>0.3</v>
      </c>
      <c r="F57" s="3085">
        <v>0.3</v>
      </c>
      <c r="G57" s="3085">
        <v>0.2</v>
      </c>
    </row>
    <row r="58" spans="1:7" ht="19.5" customHeight="1">
      <c r="A58" s="3117" t="s">
        <v>2589</v>
      </c>
      <c r="B58" s="3085">
        <v>0.7</v>
      </c>
      <c r="C58" s="3085">
        <v>0.4</v>
      </c>
      <c r="D58" s="3085">
        <v>0.3</v>
      </c>
      <c r="E58" s="3085">
        <v>0.3</v>
      </c>
      <c r="F58" s="3085">
        <v>0.3</v>
      </c>
      <c r="G58" s="3085">
        <v>0.2</v>
      </c>
    </row>
    <row r="59" spans="1:7" ht="19.5" customHeight="1">
      <c r="A59" s="3117" t="s">
        <v>2590</v>
      </c>
      <c r="B59" s="3085">
        <v>0.6</v>
      </c>
      <c r="C59" s="3085">
        <v>0.3</v>
      </c>
      <c r="D59" s="3085">
        <v>0.25</v>
      </c>
      <c r="E59" s="3085">
        <v>0.25</v>
      </c>
      <c r="F59" s="3085">
        <v>0.25</v>
      </c>
      <c r="G59" s="3085">
        <v>0.15</v>
      </c>
    </row>
    <row r="60" spans="1:7" ht="19.5" customHeight="1">
      <c r="A60" s="3117" t="s">
        <v>2591</v>
      </c>
      <c r="B60" s="3085">
        <v>0.6</v>
      </c>
      <c r="C60" s="3085">
        <v>0.3</v>
      </c>
      <c r="D60" s="3085">
        <v>0.25</v>
      </c>
      <c r="E60" s="3085">
        <v>0.25</v>
      </c>
      <c r="F60" s="3085">
        <v>0.25</v>
      </c>
      <c r="G60" s="3085">
        <v>0.15</v>
      </c>
    </row>
    <row r="61" spans="1:7" ht="19.5" customHeight="1">
      <c r="A61" s="3117" t="s">
        <v>2592</v>
      </c>
      <c r="B61" s="3085">
        <v>0.6</v>
      </c>
      <c r="C61" s="3085">
        <v>0.3</v>
      </c>
      <c r="D61" s="3085">
        <v>0.25</v>
      </c>
      <c r="E61" s="3085">
        <v>0.25</v>
      </c>
      <c r="F61" s="3085">
        <v>0.25</v>
      </c>
      <c r="G61" s="3085">
        <v>0.15</v>
      </c>
    </row>
    <row r="62" spans="1:7" ht="19.5" customHeight="1">
      <c r="A62" s="3117" t="s">
        <v>2593</v>
      </c>
      <c r="B62" s="3085">
        <v>0.6</v>
      </c>
      <c r="C62" s="3085">
        <v>0.3</v>
      </c>
      <c r="D62" s="3085">
        <v>0.25</v>
      </c>
      <c r="E62" s="3085">
        <v>0.25</v>
      </c>
      <c r="F62" s="3085">
        <v>0.25</v>
      </c>
      <c r="G62" s="3085">
        <v>0.15</v>
      </c>
    </row>
    <row r="63" spans="1:7" ht="19.5" customHeight="1">
      <c r="A63" s="3117" t="s">
        <v>2594</v>
      </c>
      <c r="B63" s="3085">
        <v>0.6</v>
      </c>
      <c r="C63" s="3085">
        <v>0.3</v>
      </c>
      <c r="D63" s="3085">
        <v>0.25</v>
      </c>
      <c r="E63" s="3085">
        <v>0.25</v>
      </c>
      <c r="F63" s="3085">
        <v>0.25</v>
      </c>
      <c r="G63" s="3085">
        <v>0.15</v>
      </c>
    </row>
    <row r="64" spans="1:7" ht="19.5" customHeight="1">
      <c r="A64" s="3117" t="s">
        <v>2595</v>
      </c>
      <c r="B64" s="3085">
        <v>0.5</v>
      </c>
      <c r="C64" s="3085">
        <v>0.2</v>
      </c>
      <c r="D64" s="3085">
        <v>0.2</v>
      </c>
      <c r="E64" s="3085">
        <v>0.2</v>
      </c>
      <c r="F64" s="3085">
        <v>0.2</v>
      </c>
      <c r="G64" s="3085">
        <v>0.1</v>
      </c>
    </row>
    <row r="65" spans="1:7" ht="19.5" customHeight="1">
      <c r="A65" s="3117" t="s">
        <v>2596</v>
      </c>
      <c r="B65" s="3085">
        <v>0.5</v>
      </c>
      <c r="C65" s="3085">
        <v>0.2</v>
      </c>
      <c r="D65" s="3085">
        <v>0.2</v>
      </c>
      <c r="E65" s="3085">
        <v>0.2</v>
      </c>
      <c r="F65" s="3085">
        <v>0.2</v>
      </c>
      <c r="G65" s="3085">
        <v>0.1</v>
      </c>
    </row>
    <row r="66" spans="1:7" ht="19.5" customHeight="1">
      <c r="A66" s="3117" t="s">
        <v>2597</v>
      </c>
      <c r="B66" s="3085">
        <v>0.5</v>
      </c>
      <c r="C66" s="3085">
        <v>0.2</v>
      </c>
      <c r="D66" s="3085">
        <v>0.2</v>
      </c>
      <c r="E66" s="3085">
        <v>0.2</v>
      </c>
      <c r="F66" s="3085">
        <v>0.2</v>
      </c>
      <c r="G66" s="3085">
        <v>0.1</v>
      </c>
    </row>
    <row r="67" spans="1:7" ht="19.5" customHeight="1">
      <c r="A67" s="3117" t="s">
        <v>2598</v>
      </c>
      <c r="B67" s="3085">
        <v>0.5</v>
      </c>
      <c r="C67" s="3085">
        <v>0.2</v>
      </c>
      <c r="D67" s="3085">
        <v>0.2</v>
      </c>
      <c r="E67" s="3085">
        <v>0.2</v>
      </c>
      <c r="F67" s="3085">
        <v>0.2</v>
      </c>
      <c r="G67" s="3085">
        <v>0.1</v>
      </c>
    </row>
    <row r="68" spans="1:7" ht="19.5" customHeight="1">
      <c r="A68" s="3117" t="s">
        <v>2599</v>
      </c>
      <c r="B68" s="3085">
        <v>0.5</v>
      </c>
      <c r="C68" s="3085">
        <v>0.2</v>
      </c>
      <c r="D68" s="3085">
        <v>0.2</v>
      </c>
      <c r="E68" s="3085">
        <v>0.2</v>
      </c>
      <c r="F68" s="3085">
        <v>0.2</v>
      </c>
      <c r="G68" s="3085">
        <v>0.1</v>
      </c>
    </row>
    <row r="70" spans="1:7" ht="19.5" customHeight="1">
      <c r="A70" s="3118"/>
      <c r="B70" s="3119"/>
      <c r="C70" s="3119"/>
      <c r="D70" s="3119" t="s">
        <v>2636</v>
      </c>
      <c r="E70" s="3119"/>
      <c r="F70" s="3119"/>
    </row>
    <row r="71" spans="1:7" ht="19.5" customHeight="1">
      <c r="A71" s="3111" t="s">
        <v>2637</v>
      </c>
      <c r="B71" s="3111" t="s">
        <v>2638</v>
      </c>
      <c r="C71" s="3111" t="s">
        <v>2639</v>
      </c>
      <c r="D71" s="3111" t="s">
        <v>2640</v>
      </c>
      <c r="E71" s="3111" t="s">
        <v>2641</v>
      </c>
      <c r="F71" s="3111" t="s">
        <v>2642</v>
      </c>
    </row>
    <row r="72" spans="1:7" ht="13.5">
      <c r="A72" s="3111"/>
      <c r="B72" s="3111"/>
      <c r="C72" s="3111" t="s">
        <v>2643</v>
      </c>
      <c r="D72" s="3111"/>
      <c r="E72" s="3111" t="s">
        <v>2614</v>
      </c>
      <c r="F72" s="3111" t="s">
        <v>2614</v>
      </c>
    </row>
    <row r="73" spans="1:7" ht="13.5">
      <c r="A73" s="3111">
        <v>1</v>
      </c>
      <c r="B73" s="3802" t="s">
        <v>2644</v>
      </c>
      <c r="C73" s="3085" t="s">
        <v>2645</v>
      </c>
      <c r="D73" s="3085" t="s">
        <v>2646</v>
      </c>
      <c r="E73" s="3111">
        <v>0.2</v>
      </c>
      <c r="F73" s="3111">
        <v>25</v>
      </c>
    </row>
    <row r="74" spans="1:7" ht="24">
      <c r="A74" s="3111">
        <v>2</v>
      </c>
      <c r="B74" s="3797"/>
      <c r="C74" s="3085" t="s">
        <v>2647</v>
      </c>
      <c r="D74" s="3085" t="s">
        <v>2648</v>
      </c>
      <c r="E74" s="3111">
        <v>0.2</v>
      </c>
      <c r="F74" s="3111">
        <v>25</v>
      </c>
    </row>
    <row r="75" spans="1:7" ht="24">
      <c r="A75" s="3111">
        <v>3</v>
      </c>
      <c r="B75" s="3797"/>
      <c r="C75" s="3085" t="s">
        <v>2649</v>
      </c>
      <c r="D75" s="3085" t="s">
        <v>2650</v>
      </c>
      <c r="E75" s="3111">
        <v>0.2</v>
      </c>
      <c r="F75" s="3111">
        <v>25</v>
      </c>
    </row>
    <row r="76" spans="1:7" ht="13.5">
      <c r="A76" s="3111">
        <v>4</v>
      </c>
      <c r="B76" s="3797"/>
      <c r="C76" s="3085" t="s">
        <v>2651</v>
      </c>
      <c r="D76" s="3085" t="s">
        <v>2652</v>
      </c>
      <c r="E76" s="3111">
        <v>0.15</v>
      </c>
      <c r="F76" s="3111">
        <v>20</v>
      </c>
    </row>
    <row r="77" spans="1:7" ht="24">
      <c r="A77" s="3111">
        <v>5</v>
      </c>
      <c r="B77" s="3797"/>
      <c r="C77" s="3085" t="s">
        <v>2653</v>
      </c>
      <c r="D77" s="3085" t="s">
        <v>2654</v>
      </c>
      <c r="E77" s="3111">
        <v>0.15</v>
      </c>
      <c r="F77" s="3111">
        <v>20</v>
      </c>
    </row>
    <row r="78" spans="1:7" ht="24">
      <c r="A78" s="3111">
        <v>6</v>
      </c>
      <c r="B78" s="3797"/>
      <c r="C78" s="3085" t="s">
        <v>2655</v>
      </c>
      <c r="D78" s="3085" t="s">
        <v>2656</v>
      </c>
      <c r="E78" s="3111">
        <v>0.15</v>
      </c>
      <c r="F78" s="3111">
        <v>20</v>
      </c>
    </row>
    <row r="79" spans="1:7" ht="24">
      <c r="A79" s="3111">
        <v>7</v>
      </c>
      <c r="B79" s="3797"/>
      <c r="C79" s="3085" t="s">
        <v>2657</v>
      </c>
      <c r="D79" s="3085" t="s">
        <v>2658</v>
      </c>
      <c r="E79" s="3111">
        <v>0.15</v>
      </c>
      <c r="F79" s="3111">
        <v>20</v>
      </c>
    </row>
    <row r="80" spans="1:7" ht="24">
      <c r="A80" s="3111">
        <v>8</v>
      </c>
      <c r="B80" s="3797"/>
      <c r="C80" s="3085" t="s">
        <v>2659</v>
      </c>
      <c r="D80" s="3085" t="s">
        <v>2660</v>
      </c>
      <c r="E80" s="3111">
        <v>0.1</v>
      </c>
      <c r="F80" s="3111">
        <v>15</v>
      </c>
    </row>
    <row r="81" spans="1:6" ht="24">
      <c r="A81" s="3111">
        <v>9</v>
      </c>
      <c r="B81" s="3797"/>
      <c r="C81" s="3085" t="s">
        <v>2661</v>
      </c>
      <c r="D81" s="3085" t="s">
        <v>2662</v>
      </c>
      <c r="E81" s="3111">
        <v>0.1</v>
      </c>
      <c r="F81" s="3111">
        <v>15</v>
      </c>
    </row>
    <row r="82" spans="1:6" ht="24">
      <c r="A82" s="3111">
        <v>10</v>
      </c>
      <c r="B82" s="3797"/>
      <c r="C82" s="3085" t="s">
        <v>2663</v>
      </c>
      <c r="D82" s="3085" t="s">
        <v>2664</v>
      </c>
      <c r="E82" s="3111">
        <v>0.1</v>
      </c>
      <c r="F82" s="3111">
        <v>15</v>
      </c>
    </row>
    <row r="83" spans="1:6" ht="24">
      <c r="A83" s="3111">
        <v>11</v>
      </c>
      <c r="B83" s="3797"/>
      <c r="C83" s="3085" t="s">
        <v>2665</v>
      </c>
      <c r="D83" s="3085" t="s">
        <v>2666</v>
      </c>
      <c r="E83" s="3111">
        <v>0.1</v>
      </c>
      <c r="F83" s="3111">
        <v>15</v>
      </c>
    </row>
    <row r="84" spans="1:6" ht="24">
      <c r="A84" s="3111">
        <v>12</v>
      </c>
      <c r="B84" s="3797"/>
      <c r="C84" s="3085" t="s">
        <v>2667</v>
      </c>
      <c r="D84" s="3085" t="s">
        <v>2668</v>
      </c>
      <c r="E84" s="3111">
        <v>0.1</v>
      </c>
      <c r="F84" s="3111">
        <v>15</v>
      </c>
    </row>
    <row r="85" spans="1:6" ht="13.5">
      <c r="A85" s="3111">
        <v>13</v>
      </c>
      <c r="B85" s="3797"/>
      <c r="C85" s="3085" t="s">
        <v>2669</v>
      </c>
      <c r="D85" s="3085" t="s">
        <v>2670</v>
      </c>
      <c r="E85" s="3111">
        <v>0.1</v>
      </c>
      <c r="F85" s="3111">
        <v>15</v>
      </c>
    </row>
    <row r="86" spans="1:6" ht="13.5">
      <c r="A86" s="3111">
        <v>14</v>
      </c>
      <c r="B86" s="3797"/>
      <c r="C86" s="3085" t="s">
        <v>2671</v>
      </c>
      <c r="D86" s="3085" t="s">
        <v>2672</v>
      </c>
      <c r="E86" s="3111">
        <v>0.1</v>
      </c>
      <c r="F86" s="3111">
        <v>15</v>
      </c>
    </row>
    <row r="87" spans="1:6" ht="13.5">
      <c r="A87" s="3111">
        <v>15</v>
      </c>
      <c r="B87" s="3797"/>
      <c r="C87" s="3085" t="s">
        <v>2673</v>
      </c>
      <c r="D87" s="3085" t="s">
        <v>2674</v>
      </c>
      <c r="E87" s="3111">
        <v>0.1</v>
      </c>
      <c r="F87" s="3111">
        <v>15</v>
      </c>
    </row>
    <row r="88" spans="1:6" ht="24">
      <c r="A88" s="3111">
        <v>16</v>
      </c>
      <c r="B88" s="3797"/>
      <c r="C88" s="3085" t="s">
        <v>2675</v>
      </c>
      <c r="D88" s="3085" t="s">
        <v>2676</v>
      </c>
      <c r="E88" s="3111">
        <v>0.1</v>
      </c>
      <c r="F88" s="3111">
        <v>15</v>
      </c>
    </row>
    <row r="89" spans="1:6" ht="24">
      <c r="A89" s="3111">
        <v>17</v>
      </c>
      <c r="B89" s="3806"/>
      <c r="C89" s="3085" t="s">
        <v>2677</v>
      </c>
      <c r="D89" s="3085" t="s">
        <v>2678</v>
      </c>
      <c r="E89" s="3111">
        <v>0.1</v>
      </c>
      <c r="F89" s="3111">
        <v>15</v>
      </c>
    </row>
    <row r="90" spans="1:6" ht="13.5">
      <c r="A90" s="3111">
        <v>18</v>
      </c>
      <c r="B90" s="3802" t="s">
        <v>2679</v>
      </c>
      <c r="C90" s="3085" t="s">
        <v>2680</v>
      </c>
      <c r="D90" s="3085" t="s">
        <v>2681</v>
      </c>
      <c r="E90" s="3111">
        <v>0.2</v>
      </c>
      <c r="F90" s="3111">
        <v>25</v>
      </c>
    </row>
    <row r="91" spans="1:6" ht="24">
      <c r="A91" s="3111">
        <v>19</v>
      </c>
      <c r="B91" s="3797"/>
      <c r="C91" s="3085" t="s">
        <v>2682</v>
      </c>
      <c r="D91" s="3085" t="s">
        <v>2683</v>
      </c>
      <c r="E91" s="3111">
        <v>0.2</v>
      </c>
      <c r="F91" s="3111">
        <v>25</v>
      </c>
    </row>
    <row r="92" spans="1:6" ht="13.5">
      <c r="A92" s="3111">
        <v>20</v>
      </c>
      <c r="B92" s="3797"/>
      <c r="C92" s="3085" t="s">
        <v>2684</v>
      </c>
      <c r="D92" s="3085" t="s">
        <v>2685</v>
      </c>
      <c r="E92" s="3111">
        <v>0.15</v>
      </c>
      <c r="F92" s="3111">
        <v>20</v>
      </c>
    </row>
    <row r="93" spans="1:6" ht="13.5">
      <c r="A93" s="3111">
        <v>21</v>
      </c>
      <c r="B93" s="3797"/>
      <c r="C93" s="3085" t="s">
        <v>2686</v>
      </c>
      <c r="D93" s="3085" t="s">
        <v>2687</v>
      </c>
      <c r="E93" s="3111">
        <v>0.15</v>
      </c>
      <c r="F93" s="3111">
        <v>20</v>
      </c>
    </row>
    <row r="94" spans="1:6" ht="13.5">
      <c r="A94" s="3111">
        <v>22</v>
      </c>
      <c r="B94" s="3797"/>
      <c r="C94" s="3085" t="s">
        <v>2688</v>
      </c>
      <c r="D94" s="3085" t="s">
        <v>2689</v>
      </c>
      <c r="E94" s="3111">
        <v>0.15</v>
      </c>
      <c r="F94" s="3111">
        <v>20</v>
      </c>
    </row>
    <row r="95" spans="1:6" ht="36">
      <c r="A95" s="3111">
        <v>23</v>
      </c>
      <c r="B95" s="3797"/>
      <c r="C95" s="3085" t="s">
        <v>2690</v>
      </c>
      <c r="D95" s="3085" t="s">
        <v>2691</v>
      </c>
      <c r="E95" s="3111">
        <v>0.15</v>
      </c>
      <c r="F95" s="3111">
        <v>20</v>
      </c>
    </row>
    <row r="96" spans="1:6" ht="13.5">
      <c r="A96" s="3111">
        <v>24</v>
      </c>
      <c r="B96" s="3797"/>
      <c r="C96" s="3085" t="s">
        <v>2692</v>
      </c>
      <c r="D96" s="3085" t="s">
        <v>2693</v>
      </c>
      <c r="E96" s="3111">
        <v>0.1</v>
      </c>
      <c r="F96" s="3111">
        <v>15</v>
      </c>
    </row>
    <row r="97" spans="1:6" ht="13.5">
      <c r="A97" s="3111">
        <v>25</v>
      </c>
      <c r="B97" s="3797"/>
      <c r="C97" s="3085" t="s">
        <v>2694</v>
      </c>
      <c r="D97" s="3085" t="s">
        <v>2695</v>
      </c>
      <c r="E97" s="3111">
        <v>0.1</v>
      </c>
      <c r="F97" s="3111">
        <v>15</v>
      </c>
    </row>
    <row r="98" spans="1:6" ht="24">
      <c r="A98" s="3111">
        <v>26</v>
      </c>
      <c r="B98" s="3797"/>
      <c r="C98" s="3085" t="s">
        <v>2696</v>
      </c>
      <c r="D98" s="3085" t="s">
        <v>2697</v>
      </c>
      <c r="E98" s="3111">
        <v>0.1</v>
      </c>
      <c r="F98" s="3111">
        <v>15</v>
      </c>
    </row>
    <row r="99" spans="1:6" ht="24">
      <c r="A99" s="3111">
        <v>27</v>
      </c>
      <c r="B99" s="3797"/>
      <c r="C99" s="3085" t="s">
        <v>2698</v>
      </c>
      <c r="D99" s="3085" t="s">
        <v>2699</v>
      </c>
      <c r="E99" s="3111">
        <v>0.1</v>
      </c>
      <c r="F99" s="3111">
        <v>15</v>
      </c>
    </row>
    <row r="100" spans="1:6" ht="13.5">
      <c r="A100" s="3111">
        <v>28</v>
      </c>
      <c r="B100" s="3797"/>
      <c r="C100" s="3085" t="s">
        <v>2700</v>
      </c>
      <c r="D100" s="3085" t="s">
        <v>2701</v>
      </c>
      <c r="E100" s="3111">
        <v>0.1</v>
      </c>
      <c r="F100" s="3111">
        <v>15</v>
      </c>
    </row>
    <row r="101" spans="1:6" ht="13.5">
      <c r="A101" s="3111">
        <v>29</v>
      </c>
      <c r="B101" s="3797"/>
      <c r="C101" s="3085" t="s">
        <v>2702</v>
      </c>
      <c r="D101" s="3085" t="s">
        <v>2703</v>
      </c>
      <c r="E101" s="3111">
        <v>0.1</v>
      </c>
      <c r="F101" s="3111">
        <v>15</v>
      </c>
    </row>
    <row r="102" spans="1:6" ht="13.5">
      <c r="A102" s="3111">
        <v>30</v>
      </c>
      <c r="B102" s="3797"/>
      <c r="C102" s="3085" t="s">
        <v>2704</v>
      </c>
      <c r="D102" s="3085" t="s">
        <v>2705</v>
      </c>
      <c r="E102" s="3111">
        <v>0.1</v>
      </c>
      <c r="F102" s="3111">
        <v>15</v>
      </c>
    </row>
    <row r="103" spans="1:6" ht="24">
      <c r="A103" s="3111">
        <v>31</v>
      </c>
      <c r="B103" s="3797"/>
      <c r="C103" s="3085" t="s">
        <v>2706</v>
      </c>
      <c r="D103" s="3085" t="s">
        <v>2707</v>
      </c>
      <c r="E103" s="3111">
        <v>0.1</v>
      </c>
      <c r="F103" s="3111">
        <v>15</v>
      </c>
    </row>
    <row r="104" spans="1:6" ht="24">
      <c r="A104" s="3111">
        <v>32</v>
      </c>
      <c r="B104" s="3797"/>
      <c r="C104" s="3085" t="s">
        <v>2708</v>
      </c>
      <c r="D104" s="3085" t="s">
        <v>2709</v>
      </c>
      <c r="E104" s="3111">
        <v>0.1</v>
      </c>
      <c r="F104" s="3111">
        <v>15</v>
      </c>
    </row>
    <row r="105" spans="1:6" ht="24">
      <c r="A105" s="3111">
        <v>33</v>
      </c>
      <c r="B105" s="3797"/>
      <c r="C105" s="3085" t="s">
        <v>2710</v>
      </c>
      <c r="D105" s="3085" t="s">
        <v>2711</v>
      </c>
      <c r="E105" s="3111">
        <v>0.1</v>
      </c>
      <c r="F105" s="3111">
        <v>15</v>
      </c>
    </row>
    <row r="106" spans="1:6" ht="24">
      <c r="A106" s="3111">
        <v>34</v>
      </c>
      <c r="B106" s="3806"/>
      <c r="C106" s="3085" t="s">
        <v>2712</v>
      </c>
      <c r="D106" s="3085" t="s">
        <v>2713</v>
      </c>
      <c r="E106" s="3111">
        <v>0.1</v>
      </c>
      <c r="F106" s="3111">
        <v>15</v>
      </c>
    </row>
    <row r="107" spans="1:6" ht="24">
      <c r="A107" s="3111">
        <v>35</v>
      </c>
      <c r="B107" s="3802" t="s">
        <v>2714</v>
      </c>
      <c r="C107" s="3111" t="s">
        <v>2715</v>
      </c>
      <c r="D107" s="3085" t="s">
        <v>2716</v>
      </c>
      <c r="E107" s="3111">
        <v>0.15</v>
      </c>
      <c r="F107" s="3111">
        <v>20</v>
      </c>
    </row>
    <row r="108" spans="1:6" ht="13.5">
      <c r="A108" s="3111">
        <v>36</v>
      </c>
      <c r="B108" s="3797"/>
      <c r="C108" s="3111" t="s">
        <v>2717</v>
      </c>
      <c r="D108" s="3085" t="s">
        <v>2718</v>
      </c>
      <c r="E108" s="3111">
        <v>0.15</v>
      </c>
      <c r="F108" s="3111">
        <v>20</v>
      </c>
    </row>
    <row r="109" spans="1:6" ht="13.5">
      <c r="A109" s="3111">
        <v>37</v>
      </c>
      <c r="B109" s="3797"/>
      <c r="C109" s="3111" t="s">
        <v>2719</v>
      </c>
      <c r="D109" s="3085" t="s">
        <v>2720</v>
      </c>
      <c r="E109" s="3111">
        <v>0.15</v>
      </c>
      <c r="F109" s="3111">
        <v>20</v>
      </c>
    </row>
    <row r="110" spans="1:6" ht="13.5">
      <c r="A110" s="3111">
        <v>38</v>
      </c>
      <c r="B110" s="3797"/>
      <c r="C110" s="3111" t="s">
        <v>2721</v>
      </c>
      <c r="D110" s="3085" t="s">
        <v>2722</v>
      </c>
      <c r="E110" s="3111">
        <v>0.1</v>
      </c>
      <c r="F110" s="3111">
        <v>15</v>
      </c>
    </row>
    <row r="111" spans="1:6" ht="24">
      <c r="A111" s="3111">
        <v>39</v>
      </c>
      <c r="B111" s="3797"/>
      <c r="C111" s="3111" t="s">
        <v>2723</v>
      </c>
      <c r="D111" s="3085" t="s">
        <v>2724</v>
      </c>
      <c r="E111" s="3111">
        <v>0.1</v>
      </c>
      <c r="F111" s="3111">
        <v>15</v>
      </c>
    </row>
    <row r="112" spans="1:6" ht="24">
      <c r="A112" s="3111">
        <v>40</v>
      </c>
      <c r="B112" s="3806"/>
      <c r="C112" s="3111" t="s">
        <v>2725</v>
      </c>
      <c r="D112" s="3085" t="s">
        <v>2726</v>
      </c>
      <c r="E112" s="3111">
        <v>0.1</v>
      </c>
      <c r="F112" s="3111">
        <v>15</v>
      </c>
    </row>
    <row r="113" spans="1:6" ht="13.5">
      <c r="A113" s="3111">
        <v>41</v>
      </c>
      <c r="B113" s="3807" t="s">
        <v>2727</v>
      </c>
      <c r="C113" s="3111" t="s">
        <v>2728</v>
      </c>
      <c r="D113" s="3085" t="s">
        <v>2729</v>
      </c>
      <c r="E113" s="3111">
        <v>0.1</v>
      </c>
      <c r="F113" s="3111">
        <v>15</v>
      </c>
    </row>
    <row r="114" spans="1:6" ht="13.5">
      <c r="A114" s="3111">
        <v>42</v>
      </c>
      <c r="B114" s="3807"/>
      <c r="C114" s="3111" t="s">
        <v>2730</v>
      </c>
      <c r="D114" s="3085" t="s">
        <v>2731</v>
      </c>
      <c r="E114" s="3111">
        <v>0.1</v>
      </c>
      <c r="F114" s="3111">
        <v>15</v>
      </c>
    </row>
    <row r="115" spans="1:6" ht="24">
      <c r="A115" s="3111">
        <v>43</v>
      </c>
      <c r="B115" s="3807"/>
      <c r="C115" s="3111" t="s">
        <v>2732</v>
      </c>
      <c r="D115" s="3085" t="s">
        <v>2733</v>
      </c>
      <c r="E115" s="3111">
        <v>0.1</v>
      </c>
      <c r="F115" s="3111">
        <v>15</v>
      </c>
    </row>
    <row r="116" spans="1:6" ht="13.5">
      <c r="A116" s="3111">
        <v>44</v>
      </c>
      <c r="B116" s="3802" t="s">
        <v>2734</v>
      </c>
      <c r="C116" s="3111" t="s">
        <v>2735</v>
      </c>
      <c r="D116" s="3085" t="s">
        <v>2736</v>
      </c>
      <c r="E116" s="3111">
        <v>0.1</v>
      </c>
      <c r="F116" s="3111">
        <v>15</v>
      </c>
    </row>
    <row r="117" spans="1:6" ht="24">
      <c r="A117" s="3111">
        <v>45</v>
      </c>
      <c r="B117" s="3806"/>
      <c r="C117" s="3085" t="s">
        <v>2737</v>
      </c>
      <c r="D117" s="3085" t="s">
        <v>2738</v>
      </c>
      <c r="E117" s="3111">
        <v>0.1</v>
      </c>
      <c r="F117" s="3111">
        <v>15</v>
      </c>
    </row>
    <row r="118" spans="1:6" ht="24">
      <c r="A118" s="3111">
        <v>46</v>
      </c>
      <c r="B118" s="3802" t="s">
        <v>2739</v>
      </c>
      <c r="C118" s="3111" t="s">
        <v>2740</v>
      </c>
      <c r="D118" s="3085" t="s">
        <v>2741</v>
      </c>
      <c r="E118" s="3111">
        <v>0.1</v>
      </c>
      <c r="F118" s="3111">
        <v>15</v>
      </c>
    </row>
    <row r="119" spans="1:6" ht="24">
      <c r="A119" s="3111">
        <v>47</v>
      </c>
      <c r="B119" s="3806"/>
      <c r="C119" s="3111" t="s">
        <v>2742</v>
      </c>
      <c r="D119" s="3085" t="s">
        <v>2743</v>
      </c>
      <c r="E119" s="3111">
        <v>0.1</v>
      </c>
      <c r="F119" s="3111">
        <v>15</v>
      </c>
    </row>
    <row r="120" spans="1:6" ht="13.5">
      <c r="A120" s="3111">
        <v>48</v>
      </c>
      <c r="B120" s="3802" t="s">
        <v>2744</v>
      </c>
      <c r="C120" s="3111" t="s">
        <v>2745</v>
      </c>
      <c r="D120" s="3085" t="s">
        <v>2746</v>
      </c>
      <c r="E120" s="3111">
        <v>0.1</v>
      </c>
      <c r="F120" s="3111">
        <v>15</v>
      </c>
    </row>
    <row r="121" spans="1:6" ht="13.5">
      <c r="A121" s="3111">
        <v>49</v>
      </c>
      <c r="B121" s="3806"/>
      <c r="C121" s="3111" t="s">
        <v>2747</v>
      </c>
      <c r="D121" s="3085" t="s">
        <v>2748</v>
      </c>
      <c r="E121" s="3111">
        <v>0.1</v>
      </c>
      <c r="F121" s="3111">
        <v>15</v>
      </c>
    </row>
    <row r="122" spans="1:6" ht="24">
      <c r="A122" s="3111">
        <v>50</v>
      </c>
      <c r="B122" s="3807" t="s">
        <v>2749</v>
      </c>
      <c r="C122" s="3111" t="s">
        <v>2750</v>
      </c>
      <c r="D122" s="3085" t="s">
        <v>2751</v>
      </c>
      <c r="E122" s="3111">
        <v>0.1</v>
      </c>
      <c r="F122" s="3111">
        <v>15</v>
      </c>
    </row>
    <row r="123" spans="1:6" ht="24">
      <c r="A123" s="3111">
        <v>51</v>
      </c>
      <c r="B123" s="3807"/>
      <c r="C123" s="3111" t="s">
        <v>2752</v>
      </c>
      <c r="D123" s="3085" t="s">
        <v>2753</v>
      </c>
      <c r="E123" s="3111">
        <v>0.1</v>
      </c>
      <c r="F123" s="3111">
        <v>15</v>
      </c>
    </row>
    <row r="124" spans="1:6" ht="24">
      <c r="A124" s="3111">
        <v>52</v>
      </c>
      <c r="B124" s="3807" t="s">
        <v>2754</v>
      </c>
      <c r="C124" s="3111" t="s">
        <v>2755</v>
      </c>
      <c r="D124" s="3085" t="s">
        <v>2756</v>
      </c>
      <c r="E124" s="3111">
        <v>0.1</v>
      </c>
      <c r="F124" s="3111">
        <v>15</v>
      </c>
    </row>
    <row r="125" spans="1:6" ht="24">
      <c r="A125" s="3111">
        <v>53</v>
      </c>
      <c r="B125" s="3807"/>
      <c r="C125" s="3111" t="s">
        <v>2757</v>
      </c>
      <c r="D125" s="3085" t="s">
        <v>2758</v>
      </c>
      <c r="E125" s="3111">
        <v>0.1</v>
      </c>
      <c r="F125" s="3111">
        <v>15</v>
      </c>
    </row>
    <row r="126" spans="1:6" ht="13.5">
      <c r="A126" s="3111">
        <v>54</v>
      </c>
      <c r="B126" s="3111" t="s">
        <v>2759</v>
      </c>
      <c r="C126" s="3111" t="s">
        <v>2760</v>
      </c>
      <c r="D126" s="3085" t="s">
        <v>2761</v>
      </c>
      <c r="E126" s="3111">
        <v>0.1</v>
      </c>
      <c r="F126" s="3111">
        <v>15</v>
      </c>
    </row>
    <row r="127" spans="1:6" ht="13.5">
      <c r="A127" s="3111">
        <v>55</v>
      </c>
      <c r="B127" s="3807" t="s">
        <v>2762</v>
      </c>
      <c r="C127" s="3111" t="s">
        <v>2763</v>
      </c>
      <c r="D127" s="3085" t="s">
        <v>2764</v>
      </c>
      <c r="E127" s="3111">
        <v>0.1</v>
      </c>
      <c r="F127" s="3111">
        <v>15</v>
      </c>
    </row>
    <row r="128" spans="1:6" ht="13.5">
      <c r="A128" s="3111">
        <v>56</v>
      </c>
      <c r="B128" s="3807"/>
      <c r="C128" s="3111" t="s">
        <v>2765</v>
      </c>
      <c r="D128" s="3085" t="s">
        <v>2766</v>
      </c>
      <c r="E128" s="3111">
        <v>0.1</v>
      </c>
      <c r="F128" s="3111">
        <v>15</v>
      </c>
    </row>
    <row r="129" spans="1:6" ht="24">
      <c r="A129" s="3111">
        <v>57</v>
      </c>
      <c r="B129" s="3807"/>
      <c r="C129" s="3111" t="s">
        <v>2767</v>
      </c>
      <c r="D129" s="3085" t="s">
        <v>2768</v>
      </c>
      <c r="E129" s="3111">
        <v>0.1</v>
      </c>
      <c r="F129" s="3111">
        <v>15</v>
      </c>
    </row>
    <row r="130" spans="1:6" ht="24">
      <c r="A130" s="3111">
        <v>58</v>
      </c>
      <c r="B130" s="3807" t="s">
        <v>2769</v>
      </c>
      <c r="C130" s="3111" t="s">
        <v>2770</v>
      </c>
      <c r="D130" s="3085" t="s">
        <v>2771</v>
      </c>
      <c r="E130" s="3111">
        <v>0.1</v>
      </c>
      <c r="F130" s="3111">
        <v>15</v>
      </c>
    </row>
    <row r="131" spans="1:6" ht="13.5">
      <c r="A131" s="3111">
        <v>59</v>
      </c>
      <c r="B131" s="3807"/>
      <c r="C131" s="3111" t="s">
        <v>2772</v>
      </c>
      <c r="D131" s="3085" t="s">
        <v>2773</v>
      </c>
      <c r="E131" s="3111">
        <v>0.1</v>
      </c>
      <c r="F131" s="3111">
        <v>15</v>
      </c>
    </row>
    <row r="132" spans="1:6" ht="13.5">
      <c r="A132" s="3111">
        <v>60</v>
      </c>
      <c r="B132" s="3802" t="s">
        <v>2774</v>
      </c>
      <c r="C132" s="3111" t="s">
        <v>2775</v>
      </c>
      <c r="D132" s="3085" t="s">
        <v>2776</v>
      </c>
      <c r="E132" s="3111">
        <v>0.1</v>
      </c>
      <c r="F132" s="3111">
        <v>15</v>
      </c>
    </row>
    <row r="133" spans="1:6" ht="13.5">
      <c r="A133" s="3111">
        <v>61</v>
      </c>
      <c r="B133" s="3806"/>
      <c r="C133" s="3111" t="s">
        <v>2777</v>
      </c>
      <c r="D133" s="3085" t="s">
        <v>2778</v>
      </c>
      <c r="E133" s="3111">
        <v>0.1</v>
      </c>
      <c r="F133" s="3111">
        <v>15</v>
      </c>
    </row>
    <row r="134" spans="1:6" ht="24">
      <c r="A134" s="3111">
        <v>62</v>
      </c>
      <c r="B134" s="3111" t="s">
        <v>2779</v>
      </c>
      <c r="C134" s="3111" t="s">
        <v>2780</v>
      </c>
      <c r="D134" s="3085" t="s">
        <v>2781</v>
      </c>
      <c r="E134" s="3111">
        <v>0.1</v>
      </c>
      <c r="F134" s="3111">
        <v>15</v>
      </c>
    </row>
    <row r="135" spans="1:6" ht="13.5">
      <c r="A135" s="3111">
        <v>63</v>
      </c>
      <c r="B135" s="3807" t="s">
        <v>2782</v>
      </c>
      <c r="C135" s="3111" t="s">
        <v>2783</v>
      </c>
      <c r="D135" s="3085" t="s">
        <v>2784</v>
      </c>
      <c r="E135" s="3111">
        <v>0.1</v>
      </c>
      <c r="F135" s="3111">
        <v>15</v>
      </c>
    </row>
    <row r="136" spans="1:6" ht="13.5">
      <c r="A136" s="3111">
        <v>64</v>
      </c>
      <c r="B136" s="3807"/>
      <c r="C136" s="3111" t="s">
        <v>2785</v>
      </c>
      <c r="D136" s="3085" t="s">
        <v>2786</v>
      </c>
      <c r="E136" s="3111">
        <v>0.1</v>
      </c>
      <c r="F136" s="3111">
        <v>15</v>
      </c>
    </row>
    <row r="137" spans="1:6" ht="13.5">
      <c r="A137" s="3111">
        <v>65</v>
      </c>
      <c r="B137" s="3111" t="s">
        <v>2787</v>
      </c>
      <c r="C137" s="3111" t="s">
        <v>2788</v>
      </c>
      <c r="D137" s="3085" t="s">
        <v>2789</v>
      </c>
      <c r="E137" s="3111">
        <v>0.1</v>
      </c>
      <c r="F137" s="3111">
        <v>15</v>
      </c>
    </row>
    <row r="138" spans="1:6" ht="13.5">
      <c r="A138" s="3111"/>
      <c r="B138" s="3111"/>
      <c r="C138" s="3111"/>
      <c r="D138" s="3111"/>
      <c r="E138" s="3111" t="s">
        <v>2790</v>
      </c>
      <c r="F138" s="3111"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2791</v>
      </c>
      <c r="B1" s="3120"/>
      <c r="C1" s="3120"/>
      <c r="D1" s="3120"/>
      <c r="E1" s="3120"/>
      <c r="F1" s="3120"/>
      <c r="G1" s="3120"/>
      <c r="H1" s="3120"/>
      <c r="I1" s="3120"/>
      <c r="J1" s="3120"/>
      <c r="K1" s="3120"/>
      <c r="L1" s="3120"/>
      <c r="M1" s="3120"/>
      <c r="N1" s="745"/>
    </row>
    <row r="2" spans="1:20">
      <c r="A2" s="3121" t="s">
        <v>2792</v>
      </c>
      <c r="B2" s="3122" t="s">
        <v>2588</v>
      </c>
      <c r="C2" s="3122" t="s">
        <v>2589</v>
      </c>
      <c r="D2" s="3122" t="s">
        <v>2590</v>
      </c>
      <c r="E2" s="3122" t="s">
        <v>2591</v>
      </c>
      <c r="F2" s="3122" t="s">
        <v>2592</v>
      </c>
      <c r="G2" s="3122" t="s">
        <v>2593</v>
      </c>
      <c r="H2" s="3123" t="s">
        <v>2594</v>
      </c>
      <c r="I2" s="3123" t="s">
        <v>2595</v>
      </c>
      <c r="J2" s="3124" t="s">
        <v>2596</v>
      </c>
      <c r="K2" s="3124" t="s">
        <v>2597</v>
      </c>
      <c r="L2" s="3124" t="s">
        <v>2598</v>
      </c>
      <c r="M2" s="3125" t="s">
        <v>2599</v>
      </c>
      <c r="Q2" s="3135" t="s">
        <v>2797</v>
      </c>
      <c r="R2" s="3135" t="s">
        <v>2798</v>
      </c>
      <c r="S2" s="3135" t="s">
        <v>2799</v>
      </c>
      <c r="T2" s="3135" t="s">
        <v>2800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2793</v>
      </c>
      <c r="B93" s="3120"/>
      <c r="C93" s="3120"/>
      <c r="D93" s="3120"/>
      <c r="E93" s="3120"/>
      <c r="F93" s="3120"/>
      <c r="G93" s="3120"/>
      <c r="H93" s="3120"/>
      <c r="I93" s="3120"/>
      <c r="J93" s="3120"/>
      <c r="K93" s="3120"/>
      <c r="L93" s="3120"/>
      <c r="M93" s="3120"/>
    </row>
    <row r="94" spans="1:20">
      <c r="A94" s="3121" t="s">
        <v>2792</v>
      </c>
      <c r="B94" s="3122" t="s">
        <v>2588</v>
      </c>
      <c r="C94" s="3122" t="s">
        <v>2589</v>
      </c>
      <c r="D94" s="3122" t="s">
        <v>2590</v>
      </c>
      <c r="E94" s="3122" t="s">
        <v>2591</v>
      </c>
      <c r="F94" s="3122" t="s">
        <v>2592</v>
      </c>
      <c r="G94" s="3122" t="s">
        <v>2593</v>
      </c>
      <c r="H94" s="3123" t="s">
        <v>2594</v>
      </c>
      <c r="I94" s="3123" t="s">
        <v>2595</v>
      </c>
      <c r="J94" s="3124" t="s">
        <v>2596</v>
      </c>
      <c r="K94" s="3124" t="s">
        <v>2597</v>
      </c>
      <c r="L94" s="3124" t="s">
        <v>2598</v>
      </c>
      <c r="M94" s="3125" t="s">
        <v>2599</v>
      </c>
      <c r="N94" s="746">
        <f>SUMPRODUCT((A95:A184=ROUNDDOWN(基准地价修正!G3,1))*(B94:M94=基准地价修正!G2)*(B95:M184))</f>
        <v>0.92879999999999996</v>
      </c>
      <c r="Q94" s="3135" t="s">
        <v>2797</v>
      </c>
      <c r="R94" s="3135" t="s">
        <v>2798</v>
      </c>
      <c r="S94" s="3135" t="s">
        <v>2799</v>
      </c>
      <c r="T94" s="3135" t="s">
        <v>2800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2794</v>
      </c>
      <c r="B185" s="3120"/>
      <c r="C185" s="3120"/>
      <c r="D185" s="3120"/>
      <c r="E185" s="3120"/>
      <c r="F185" s="3120"/>
      <c r="G185" s="3120"/>
      <c r="H185" s="3120"/>
      <c r="I185" s="3120"/>
      <c r="J185" s="3120"/>
      <c r="K185" s="3120"/>
      <c r="L185" s="3120"/>
      <c r="M185" s="3120"/>
    </row>
    <row r="186" spans="1:20">
      <c r="A186" s="3121" t="s">
        <v>2792</v>
      </c>
      <c r="B186" s="3122" t="s">
        <v>2588</v>
      </c>
      <c r="C186" s="3122" t="s">
        <v>2589</v>
      </c>
      <c r="D186" s="3122" t="s">
        <v>2590</v>
      </c>
      <c r="E186" s="3122" t="s">
        <v>2591</v>
      </c>
      <c r="F186" s="3122" t="s">
        <v>2592</v>
      </c>
      <c r="G186" s="3122" t="s">
        <v>2593</v>
      </c>
      <c r="H186" s="3123" t="s">
        <v>2594</v>
      </c>
      <c r="I186" s="3123" t="s">
        <v>2595</v>
      </c>
      <c r="J186" s="3124" t="s">
        <v>2596</v>
      </c>
      <c r="K186" s="3124" t="s">
        <v>2597</v>
      </c>
      <c r="L186" s="3124" t="s">
        <v>2598</v>
      </c>
      <c r="M186" s="3125" t="s">
        <v>2599</v>
      </c>
      <c r="Q186" s="3135" t="s">
        <v>2797</v>
      </c>
      <c r="R186" s="3135" t="s">
        <v>2798</v>
      </c>
      <c r="S186" s="3135" t="s">
        <v>2799</v>
      </c>
      <c r="T186" s="3135" t="s">
        <v>2800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2795</v>
      </c>
      <c r="B277" s="3120"/>
      <c r="C277" s="3120"/>
      <c r="D277" s="3120"/>
      <c r="E277" s="3120"/>
      <c r="F277" s="3120"/>
      <c r="G277" s="3120"/>
      <c r="H277" s="3120"/>
      <c r="I277" s="3120"/>
      <c r="J277" s="3120"/>
      <c r="K277" s="3120"/>
      <c r="L277" s="3120"/>
      <c r="M277" s="3120"/>
    </row>
    <row r="278" spans="1:21">
      <c r="A278" s="3121" t="s">
        <v>2792</v>
      </c>
      <c r="B278" s="3122" t="s">
        <v>2588</v>
      </c>
      <c r="C278" s="3122" t="s">
        <v>2589</v>
      </c>
      <c r="D278" s="3122" t="s">
        <v>2590</v>
      </c>
      <c r="E278" s="3122" t="s">
        <v>2591</v>
      </c>
      <c r="F278" s="3122" t="s">
        <v>2592</v>
      </c>
      <c r="G278" s="3122" t="s">
        <v>2593</v>
      </c>
      <c r="H278" s="3123" t="s">
        <v>2594</v>
      </c>
      <c r="I278" s="3123" t="s">
        <v>2595</v>
      </c>
      <c r="J278" s="3124" t="s">
        <v>2596</v>
      </c>
      <c r="K278" s="3124" t="s">
        <v>2597</v>
      </c>
      <c r="L278" s="3124" t="s">
        <v>2598</v>
      </c>
      <c r="M278" s="3125" t="s">
        <v>2599</v>
      </c>
      <c r="Q278" s="3135" t="s">
        <v>2797</v>
      </c>
      <c r="R278" s="3135" t="s">
        <v>2798</v>
      </c>
      <c r="S278" s="3135" t="s">
        <v>2801</v>
      </c>
      <c r="T278" s="3135" t="s">
        <v>2802</v>
      </c>
      <c r="U278" s="3135" t="s">
        <v>2800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2796</v>
      </c>
      <c r="B369" s="3133"/>
      <c r="C369" s="3133"/>
      <c r="D369" s="3133"/>
      <c r="E369" s="3133"/>
      <c r="F369" s="3133"/>
      <c r="G369" s="3133"/>
      <c r="H369" s="3133"/>
      <c r="I369" s="3133"/>
      <c r="J369" s="3133"/>
      <c r="K369" s="3133"/>
      <c r="L369" s="3133"/>
      <c r="M369" s="3133"/>
    </row>
    <row r="370" spans="1:20">
      <c r="A370" s="3121" t="s">
        <v>2792</v>
      </c>
      <c r="B370" s="3122" t="s">
        <v>2588</v>
      </c>
      <c r="C370" s="3122" t="s">
        <v>2589</v>
      </c>
      <c r="D370" s="3122" t="s">
        <v>2590</v>
      </c>
      <c r="E370" s="3122" t="s">
        <v>2591</v>
      </c>
      <c r="F370" s="3122" t="s">
        <v>2592</v>
      </c>
      <c r="G370" s="3122" t="s">
        <v>2593</v>
      </c>
      <c r="H370" s="3123" t="s">
        <v>2594</v>
      </c>
      <c r="I370" s="3123" t="s">
        <v>2595</v>
      </c>
      <c r="J370" s="3124" t="s">
        <v>2596</v>
      </c>
      <c r="K370" s="3124" t="s">
        <v>2597</v>
      </c>
      <c r="L370" s="3124" t="s">
        <v>2598</v>
      </c>
      <c r="M370" s="3125" t="s">
        <v>2599</v>
      </c>
      <c r="N370" s="746">
        <f>SUMPRODUCT((A371:A460=ROUNDDOWN(基准地价修正!G3,1))*(B370:M370=基准地价修正!G2)*(B371:M460))</f>
        <v>0.88349999999999995</v>
      </c>
      <c r="Q370" s="3135" t="s">
        <v>2797</v>
      </c>
      <c r="R370" s="3135" t="s">
        <v>2798</v>
      </c>
      <c r="S370" s="3135" t="s">
        <v>2799</v>
      </c>
      <c r="T370" s="3135" t="s">
        <v>2800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28310</v>
      </c>
      <c r="C2" s="2" t="s">
        <v>106</v>
      </c>
      <c r="D2" s="199"/>
      <c r="E2" s="199"/>
      <c r="F2" s="199"/>
      <c r="G2" s="199"/>
    </row>
    <row r="3" spans="1:7" s="200" customFormat="1" ht="18" customHeight="1" thickBot="1">
      <c r="A3" s="203" t="s">
        <v>58</v>
      </c>
      <c r="B3" s="204">
        <f ca="1">ROUND(B2*10000/'数据-汇总表'!E3,0)</f>
        <v>291297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19</v>
      </c>
      <c r="D10" s="841">
        <f>'数据-汇总表'!E6</f>
        <v>971.86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19</v>
      </c>
      <c r="D19" s="845">
        <f>'数据-汇总表'!E3</f>
        <v>971.86</v>
      </c>
      <c r="E19" s="211">
        <f>'数据-取费表'!B31</f>
        <v>200</v>
      </c>
      <c r="F19" s="231"/>
      <c r="G19" s="1" t="s">
        <v>436</v>
      </c>
    </row>
    <row r="20" spans="1:7" s="214" customFormat="1" ht="13.5" customHeight="1">
      <c r="A20" s="773" t="s">
        <v>419</v>
      </c>
      <c r="B20" s="210" t="s">
        <v>77</v>
      </c>
      <c r="C20" s="232">
        <f>ROUND((C5+C19)*F20,0)</f>
        <v>413</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1462</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14</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3156</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3156</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479</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438</v>
      </c>
      <c r="D34" s="217"/>
      <c r="E34" s="220"/>
      <c r="F34" s="257">
        <f>IF('数据-取费表'!B24=0,1,'数据-取费表'!N16)</f>
        <v>1</v>
      </c>
      <c r="G34" s="219" t="s">
        <v>89</v>
      </c>
    </row>
    <row r="35" spans="1:7" ht="13.5" customHeight="1">
      <c r="A35" s="776" t="s">
        <v>351</v>
      </c>
      <c r="B35" s="215" t="s">
        <v>33</v>
      </c>
      <c r="C35" s="220">
        <f>ROUND(C34*F35,0)</f>
        <v>13</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19</v>
      </c>
      <c r="D37" s="217">
        <f>'数据-汇总表'!E3</f>
        <v>971.86</v>
      </c>
      <c r="E37" s="249">
        <f>'数据-取费表'!B35</f>
        <v>200</v>
      </c>
      <c r="F37" s="259"/>
      <c r="G37" s="261" t="s">
        <v>92</v>
      </c>
    </row>
    <row r="38" spans="1:7" ht="13.5" customHeight="1">
      <c r="A38" s="776" t="s">
        <v>354</v>
      </c>
      <c r="B38" s="215" t="s">
        <v>36</v>
      </c>
      <c r="C38" s="220">
        <f>ROUND(C34*F38,0)</f>
        <v>9</v>
      </c>
      <c r="D38" s="220"/>
      <c r="E38" s="220"/>
      <c r="F38" s="259">
        <f>'数据-取费表'!B36</f>
        <v>0.02</v>
      </c>
      <c r="G38" s="219" t="s">
        <v>90</v>
      </c>
    </row>
    <row r="39" spans="1:7" s="214" customFormat="1" ht="13.5" customHeight="1">
      <c r="A39" s="773" t="s">
        <v>338</v>
      </c>
      <c r="B39" s="210" t="s">
        <v>77</v>
      </c>
      <c r="C39" s="232">
        <f>ROUND(C33*F20,0)</f>
        <v>10</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17</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17</v>
      </c>
      <c r="D42" s="238"/>
      <c r="E42" s="238"/>
      <c r="F42" s="239"/>
      <c r="G42" s="3672" t="s">
        <v>94</v>
      </c>
    </row>
    <row r="43" spans="1:7" ht="13.5" customHeight="1">
      <c r="A43" s="776" t="s">
        <v>347</v>
      </c>
      <c r="B43" s="215" t="s">
        <v>426</v>
      </c>
      <c r="C43" s="238">
        <f ca="1">ROUND(IF('数据-取费表'!B22&lt;=1,C39*F22*'数据-取费表'!B21/2,C39*(POWER((1+F22),'数据-取费表'!B21/2)-1)),0)</f>
        <v>0</v>
      </c>
      <c r="D43" s="238"/>
      <c r="E43" s="238"/>
      <c r="F43" s="239"/>
      <c r="G43" s="3673"/>
    </row>
    <row r="44" spans="1:7" ht="13.5" customHeight="1">
      <c r="A44" s="776" t="s">
        <v>348</v>
      </c>
      <c r="B44" s="215" t="s">
        <v>428</v>
      </c>
      <c r="C44" s="238">
        <f ca="1">ROUND(IF('数据-取费表'!B22&lt;=1,C40*F22*'数据-取费表'!B21/2,C40*(POWER((1+F22),'数据-取费表'!B21/2)-1)),4)</f>
        <v>6.9999999999999999E-4</v>
      </c>
      <c r="D44" s="238"/>
      <c r="E44" s="238"/>
      <c r="F44" s="239"/>
      <c r="G44" s="3674"/>
    </row>
    <row r="45" spans="1:7" s="214" customFormat="1" ht="13.5" customHeight="1">
      <c r="A45" s="773" t="s">
        <v>341</v>
      </c>
      <c r="B45" s="244" t="s">
        <v>85</v>
      </c>
      <c r="C45" s="245">
        <f>C46</f>
        <v>73</v>
      </c>
      <c r="D45" s="235">
        <f>C47</f>
        <v>3.0000000000000001E-3</v>
      </c>
      <c r="E45" s="236" t="s">
        <v>102</v>
      </c>
      <c r="F45" s="246"/>
      <c r="G45" s="247" t="s">
        <v>434</v>
      </c>
    </row>
    <row r="46" spans="1:7" s="214" customFormat="1" ht="13.5" customHeight="1">
      <c r="A46" s="776" t="s">
        <v>349</v>
      </c>
      <c r="B46" s="248" t="s">
        <v>427</v>
      </c>
      <c r="C46" s="249">
        <f>ROUND((C33+C39)*F27,0)</f>
        <v>73</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627</v>
      </c>
      <c r="D49" s="232"/>
      <c r="E49" s="232"/>
      <c r="F49" s="264"/>
      <c r="G49" s="234" t="s">
        <v>435</v>
      </c>
    </row>
    <row r="50" spans="1:7" s="258" customFormat="1" ht="24">
      <c r="A50" s="773" t="s">
        <v>344</v>
      </c>
      <c r="B50" s="210" t="s">
        <v>97</v>
      </c>
      <c r="C50" s="232"/>
      <c r="D50" s="232"/>
      <c r="E50" s="232"/>
      <c r="F50" s="264">
        <f>IF('数据-取费表'!B24=0,'数据-取费表'!N16,1)</f>
        <v>0.81</v>
      </c>
      <c r="G50" s="247" t="s">
        <v>98</v>
      </c>
    </row>
    <row r="51" spans="1:7" ht="16.5" customHeight="1">
      <c r="A51" s="773" t="s">
        <v>345</v>
      </c>
      <c r="B51" s="210" t="s">
        <v>105</v>
      </c>
      <c r="C51" s="232">
        <f ca="1">ROUND(C49*F50,0)</f>
        <v>508</v>
      </c>
      <c r="D51" s="232"/>
      <c r="E51" s="232"/>
      <c r="F51" s="264"/>
      <c r="G51" s="234" t="s">
        <v>37</v>
      </c>
    </row>
    <row r="52" spans="1:7" s="208" customFormat="1" ht="16.5" thickBot="1">
      <c r="A52" s="265" t="s">
        <v>38</v>
      </c>
      <c r="B52" s="266"/>
      <c r="C52" s="267">
        <f ca="1">C31+C51</f>
        <v>28310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10" t="s">
        <v>2832</v>
      </c>
      <c r="B1" s="3810"/>
      <c r="C1" s="3810"/>
      <c r="D1" s="3810"/>
      <c r="E1" s="3810"/>
      <c r="F1" s="3810"/>
      <c r="G1" s="3811"/>
      <c r="I1" s="3216" t="s">
        <v>2833</v>
      </c>
      <c r="J1" s="3217" t="s">
        <v>2834</v>
      </c>
      <c r="K1" s="3217" t="s">
        <v>2835</v>
      </c>
      <c r="L1" s="3217" t="s">
        <v>2836</v>
      </c>
      <c r="M1" s="3217" t="s">
        <v>2837</v>
      </c>
      <c r="N1" s="3217" t="s">
        <v>2838</v>
      </c>
      <c r="O1" s="3217" t="s">
        <v>2839</v>
      </c>
      <c r="P1" s="3217" t="s">
        <v>2840</v>
      </c>
      <c r="Q1" s="3217" t="s">
        <v>2841</v>
      </c>
      <c r="R1" s="3217" t="s">
        <v>2842</v>
      </c>
      <c r="S1" s="3217" t="s">
        <v>2843</v>
      </c>
      <c r="T1" s="3218" t="s">
        <v>2844</v>
      </c>
    </row>
    <row r="2" spans="1:20" ht="12" thickBot="1">
      <c r="A2" s="3220" t="s">
        <v>2845</v>
      </c>
      <c r="B2" s="3220"/>
      <c r="C2" s="3220"/>
      <c r="D2" s="3220"/>
      <c r="E2" s="3220"/>
      <c r="F2" s="3220"/>
      <c r="G2" s="3221" t="s">
        <v>2846</v>
      </c>
      <c r="I2" s="3222" t="s">
        <v>2847</v>
      </c>
      <c r="J2" s="3222" t="s">
        <v>2848</v>
      </c>
      <c r="K2" s="3222" t="s">
        <v>2849</v>
      </c>
      <c r="L2" s="3222" t="s">
        <v>2850</v>
      </c>
      <c r="M2" s="3222" t="s">
        <v>2851</v>
      </c>
      <c r="N2" s="3222" t="s">
        <v>2852</v>
      </c>
      <c r="O2" s="3222" t="s">
        <v>2853</v>
      </c>
      <c r="P2" s="3222" t="s">
        <v>2854</v>
      </c>
      <c r="Q2" s="3222" t="s">
        <v>2855</v>
      </c>
      <c r="R2" s="3222" t="s">
        <v>2856</v>
      </c>
      <c r="S2" s="3222" t="s">
        <v>2857</v>
      </c>
      <c r="T2" s="3222" t="s">
        <v>2858</v>
      </c>
    </row>
    <row r="3" spans="1:20" s="3228" customFormat="1">
      <c r="A3" s="3808" t="s">
        <v>2859</v>
      </c>
      <c r="B3" s="3223"/>
      <c r="C3" s="3224" t="s">
        <v>2804</v>
      </c>
      <c r="D3" s="3224" t="s">
        <v>2860</v>
      </c>
      <c r="E3" s="3224" t="s">
        <v>2806</v>
      </c>
      <c r="F3" s="3224" t="s">
        <v>2861</v>
      </c>
      <c r="G3" s="3224" t="s">
        <v>2624</v>
      </c>
      <c r="H3" s="3225"/>
      <c r="I3" s="3226" t="s">
        <v>2862</v>
      </c>
      <c r="J3" s="3227" t="s">
        <v>128</v>
      </c>
      <c r="K3" s="3227" t="s">
        <v>129</v>
      </c>
      <c r="L3" s="3226" t="s">
        <v>130</v>
      </c>
      <c r="M3" s="3226" t="s">
        <v>131</v>
      </c>
      <c r="N3" s="3226" t="s">
        <v>132</v>
      </c>
      <c r="O3" s="3226" t="s">
        <v>133</v>
      </c>
      <c r="P3" s="3226" t="s">
        <v>134</v>
      </c>
      <c r="Q3" s="3226" t="s">
        <v>135</v>
      </c>
      <c r="R3" s="3226" t="s">
        <v>136</v>
      </c>
      <c r="S3" s="3226" t="s">
        <v>2863</v>
      </c>
      <c r="T3" s="3226" t="s">
        <v>2864</v>
      </c>
    </row>
    <row r="4" spans="1:20" s="3228" customFormat="1" ht="12" thickBot="1">
      <c r="A4" s="3809"/>
      <c r="B4" s="3229" t="s">
        <v>2865</v>
      </c>
      <c r="C4" s="3229" t="s">
        <v>2866</v>
      </c>
      <c r="D4" s="3229" t="s">
        <v>2866</v>
      </c>
      <c r="E4" s="3229" t="s">
        <v>2866</v>
      </c>
      <c r="F4" s="3230" t="s">
        <v>2866</v>
      </c>
      <c r="G4" s="3230" t="s">
        <v>2866</v>
      </c>
      <c r="H4" s="3225"/>
      <c r="I4" s="3227" t="s">
        <v>137</v>
      </c>
      <c r="J4" s="3227" t="s">
        <v>111</v>
      </c>
      <c r="K4" s="3227" t="s">
        <v>138</v>
      </c>
      <c r="L4" s="3226" t="s">
        <v>139</v>
      </c>
      <c r="M4" s="3226" t="s">
        <v>140</v>
      </c>
      <c r="N4" s="3226" t="s">
        <v>141</v>
      </c>
      <c r="O4" s="3226" t="s">
        <v>142</v>
      </c>
      <c r="P4" s="3226" t="s">
        <v>143</v>
      </c>
      <c r="Q4" s="3226" t="s">
        <v>2867</v>
      </c>
      <c r="R4" s="3226" t="s">
        <v>2868</v>
      </c>
      <c r="S4" s="3226" t="s">
        <v>2869</v>
      </c>
      <c r="T4" s="3226" t="s">
        <v>2870</v>
      </c>
    </row>
    <row r="5" spans="1:20">
      <c r="A5" s="3231" t="s">
        <v>2833</v>
      </c>
      <c r="B5" s="3222" t="s">
        <v>2847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2871</v>
      </c>
      <c r="R5" s="3226" t="s">
        <v>2872</v>
      </c>
      <c r="S5" s="3226" t="s">
        <v>153</v>
      </c>
      <c r="T5" s="3226" t="s">
        <v>2873</v>
      </c>
    </row>
    <row r="6" spans="1:20" ht="12" thickBot="1">
      <c r="A6" s="3226" t="s">
        <v>144</v>
      </c>
      <c r="B6" s="3226" t="s">
        <v>2862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2874</v>
      </c>
      <c r="Q6" s="3226" t="s">
        <v>2875</v>
      </c>
      <c r="R6" s="3226" t="s">
        <v>161</v>
      </c>
      <c r="S6" s="3226" t="s">
        <v>2876</v>
      </c>
      <c r="T6" s="3226" t="s">
        <v>2877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2878</v>
      </c>
      <c r="Q7" s="3226" t="s">
        <v>2879</v>
      </c>
      <c r="R7" s="3226" t="s">
        <v>2880</v>
      </c>
      <c r="S7" s="3226" t="s">
        <v>2881</v>
      </c>
      <c r="T7" s="3226" t="s">
        <v>2882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2883</v>
      </c>
      <c r="Q8" s="3226" t="s">
        <v>174</v>
      </c>
      <c r="R8" s="3226" t="s">
        <v>2884</v>
      </c>
      <c r="S8" s="3226" t="s">
        <v>2885</v>
      </c>
      <c r="T8" s="3233" t="s">
        <v>2886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2887</v>
      </c>
      <c r="Q9" s="3226" t="s">
        <v>182</v>
      </c>
      <c r="R9" s="3226" t="s">
        <v>183</v>
      </c>
      <c r="S9" s="3226" t="s">
        <v>200</v>
      </c>
    </row>
    <row r="10" spans="1:20">
      <c r="A10" s="3231" t="s">
        <v>184</v>
      </c>
      <c r="B10" s="3222" t="s">
        <v>2848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2889</v>
      </c>
      <c r="P11" s="3226" t="s">
        <v>191</v>
      </c>
      <c r="Q11" s="3226" t="s">
        <v>199</v>
      </c>
      <c r="R11" s="3226" t="s">
        <v>2890</v>
      </c>
      <c r="S11" s="3226" t="s">
        <v>2891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2892</v>
      </c>
      <c r="P12" s="3226" t="s">
        <v>2893</v>
      </c>
      <c r="Q12" s="3226" t="s">
        <v>2894</v>
      </c>
      <c r="R12" s="3226" t="s">
        <v>2895</v>
      </c>
      <c r="S12" s="3226" t="s">
        <v>2896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2898</v>
      </c>
      <c r="K14" s="3227" t="s">
        <v>215</v>
      </c>
      <c r="L14" s="3226" t="s">
        <v>216</v>
      </c>
      <c r="M14" s="3226" t="s">
        <v>217</v>
      </c>
      <c r="N14" s="3226" t="s">
        <v>218</v>
      </c>
      <c r="O14" s="3226" t="s">
        <v>240</v>
      </c>
      <c r="P14" s="3226" t="s">
        <v>213</v>
      </c>
      <c r="Q14" s="3226" t="s">
        <v>2899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2900</v>
      </c>
      <c r="P15" s="3226" t="s">
        <v>2901</v>
      </c>
      <c r="Q15" s="3226" t="s">
        <v>242</v>
      </c>
      <c r="R15" s="3226" t="s">
        <v>2902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2903</v>
      </c>
      <c r="P16" s="3226" t="s">
        <v>227</v>
      </c>
      <c r="Q16" s="3226" t="s">
        <v>250</v>
      </c>
      <c r="R16" s="3226" t="s">
        <v>207</v>
      </c>
      <c r="S16" s="3226" t="s">
        <v>2904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2905</v>
      </c>
      <c r="P17" s="3226" t="s">
        <v>2906</v>
      </c>
      <c r="Q17" s="3226" t="s">
        <v>256</v>
      </c>
      <c r="R17" s="3226" t="s">
        <v>2907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2908</v>
      </c>
      <c r="P18" s="3226" t="s">
        <v>241</v>
      </c>
      <c r="Q18" s="3226" t="s">
        <v>2909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2910</v>
      </c>
      <c r="P19" s="3226" t="s">
        <v>249</v>
      </c>
      <c r="Q19" s="3226" t="s">
        <v>2911</v>
      </c>
      <c r="R19" s="3226" t="s">
        <v>265</v>
      </c>
      <c r="S19" s="3226" t="s">
        <v>2912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2913</v>
      </c>
      <c r="P20" s="3226" t="s">
        <v>2914</v>
      </c>
      <c r="Q20" s="3226" t="s">
        <v>290</v>
      </c>
      <c r="R20" s="3226" t="s">
        <v>2915</v>
      </c>
      <c r="S20" s="3226" t="s">
        <v>277</v>
      </c>
    </row>
    <row r="21" spans="1:19" ht="14.25" customHeight="1" thickBot="1">
      <c r="A21" s="3226" t="s">
        <v>184</v>
      </c>
      <c r="B21" s="3227" t="s">
        <v>208</v>
      </c>
      <c r="C21" s="3226">
        <v>32370</v>
      </c>
      <c r="D21" s="3226">
        <v>26730</v>
      </c>
      <c r="E21" s="3226">
        <v>26640</v>
      </c>
      <c r="F21" s="3226"/>
      <c r="G21" s="3226">
        <v>19440</v>
      </c>
      <c r="J21" s="3233" t="s">
        <v>2916</v>
      </c>
      <c r="K21" s="3227" t="s">
        <v>267</v>
      </c>
      <c r="L21" s="3226" t="s">
        <v>268</v>
      </c>
      <c r="M21" s="3226" t="s">
        <v>269</v>
      </c>
      <c r="N21" s="3226" t="s">
        <v>270</v>
      </c>
      <c r="O21" s="3226" t="s">
        <v>264</v>
      </c>
      <c r="P21" s="3226" t="s">
        <v>283</v>
      </c>
      <c r="Q21" s="3226" t="s">
        <v>293</v>
      </c>
      <c r="R21" s="3226" t="s">
        <v>2917</v>
      </c>
      <c r="S21" s="3233" t="s">
        <v>2918</v>
      </c>
    </row>
    <row r="22" spans="1:19" ht="14.25" customHeight="1">
      <c r="A22" s="3226" t="s">
        <v>184</v>
      </c>
      <c r="B22" s="3227" t="s">
        <v>2898</v>
      </c>
      <c r="C22" s="3226">
        <v>29830</v>
      </c>
      <c r="D22" s="3226">
        <v>27600</v>
      </c>
      <c r="E22" s="3226">
        <v>28150</v>
      </c>
      <c r="F22" s="3226"/>
      <c r="G22" s="3226">
        <v>20080</v>
      </c>
      <c r="K22" s="3227" t="s">
        <v>2919</v>
      </c>
      <c r="L22" s="3226" t="s">
        <v>272</v>
      </c>
      <c r="M22" s="3226" t="s">
        <v>273</v>
      </c>
      <c r="N22" s="3226" t="s">
        <v>274</v>
      </c>
      <c r="O22" s="3226" t="s">
        <v>2920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2921</v>
      </c>
      <c r="L23" s="3226" t="s">
        <v>278</v>
      </c>
      <c r="M23" s="3226" t="s">
        <v>279</v>
      </c>
      <c r="N23" s="3226" t="s">
        <v>2922</v>
      </c>
      <c r="O23" s="3226" t="s">
        <v>2923</v>
      </c>
      <c r="P23" s="3226" t="s">
        <v>289</v>
      </c>
      <c r="Q23" s="3226" t="s">
        <v>298</v>
      </c>
      <c r="R23" s="3226" t="s">
        <v>2924</v>
      </c>
    </row>
    <row r="24" spans="1:19" ht="14.25" customHeight="1">
      <c r="A24" s="3226" t="s">
        <v>184</v>
      </c>
      <c r="B24" s="3227" t="s">
        <v>230</v>
      </c>
      <c r="C24" s="3226">
        <v>27930</v>
      </c>
      <c r="D24" s="3226">
        <v>32260</v>
      </c>
      <c r="E24" s="3226">
        <v>32120</v>
      </c>
      <c r="F24" s="3226"/>
      <c r="G24" s="3226">
        <v>23470</v>
      </c>
      <c r="K24" s="3227" t="s">
        <v>2925</v>
      </c>
      <c r="L24" s="3226" t="s">
        <v>281</v>
      </c>
      <c r="M24" s="3226" t="s">
        <v>282</v>
      </c>
      <c r="N24" s="3226" t="s">
        <v>2926</v>
      </c>
      <c r="O24" s="3226" t="s">
        <v>285</v>
      </c>
      <c r="P24" s="3226" t="s">
        <v>2927</v>
      </c>
      <c r="Q24" s="3235" t="s">
        <v>2928</v>
      </c>
      <c r="R24" s="3226" t="s">
        <v>2929</v>
      </c>
    </row>
    <row r="25" spans="1:19" ht="14.25" customHeight="1">
      <c r="A25" s="3226" t="s">
        <v>184</v>
      </c>
      <c r="B25" s="3227" t="s">
        <v>235</v>
      </c>
      <c r="C25" s="3226">
        <v>32230</v>
      </c>
      <c r="D25" s="3226">
        <v>29640</v>
      </c>
      <c r="E25" s="3226">
        <v>29510</v>
      </c>
      <c r="F25" s="3226"/>
      <c r="G25" s="3226">
        <v>21560</v>
      </c>
      <c r="K25" s="3227" t="s">
        <v>2930</v>
      </c>
      <c r="L25" s="3226" t="s">
        <v>2931</v>
      </c>
      <c r="M25" s="3226" t="s">
        <v>284</v>
      </c>
      <c r="N25" s="3226" t="s">
        <v>292</v>
      </c>
      <c r="O25" s="3226" t="s">
        <v>288</v>
      </c>
      <c r="P25" s="3226" t="s">
        <v>275</v>
      </c>
      <c r="Q25" s="3235" t="s">
        <v>271</v>
      </c>
      <c r="R25" s="3226" t="s">
        <v>2932</v>
      </c>
    </row>
    <row r="26" spans="1:19" ht="14.25" customHeight="1" thickBot="1">
      <c r="A26" s="3226" t="s">
        <v>184</v>
      </c>
      <c r="B26" s="3227" t="s">
        <v>244</v>
      </c>
      <c r="C26" s="3226">
        <v>31690</v>
      </c>
      <c r="D26" s="3226">
        <v>27650</v>
      </c>
      <c r="E26" s="3226">
        <v>28200</v>
      </c>
      <c r="F26" s="3226"/>
      <c r="G26" s="3226">
        <v>20110</v>
      </c>
      <c r="K26" s="3232" t="s">
        <v>2933</v>
      </c>
      <c r="L26" s="3226" t="s">
        <v>2934</v>
      </c>
      <c r="M26" s="3226" t="s">
        <v>287</v>
      </c>
      <c r="N26" s="3226" t="s">
        <v>294</v>
      </c>
      <c r="O26" s="3226" t="s">
        <v>2935</v>
      </c>
      <c r="P26" s="3226" t="s">
        <v>2936</v>
      </c>
      <c r="Q26" s="3235" t="s">
        <v>276</v>
      </c>
      <c r="R26" s="3226" t="s">
        <v>2937</v>
      </c>
    </row>
    <row r="27" spans="1:19" ht="14.25" customHeight="1">
      <c r="A27" s="3226" t="s">
        <v>184</v>
      </c>
      <c r="B27" s="3227" t="s">
        <v>251</v>
      </c>
      <c r="C27" s="3226">
        <v>29610</v>
      </c>
      <c r="D27" s="3226">
        <v>27770</v>
      </c>
      <c r="E27" s="3226">
        <v>28300</v>
      </c>
      <c r="F27" s="3226"/>
      <c r="G27" s="3226">
        <v>20210</v>
      </c>
      <c r="L27" s="3226" t="s">
        <v>2938</v>
      </c>
      <c r="M27" s="3226" t="s">
        <v>291</v>
      </c>
      <c r="N27" s="3226" t="s">
        <v>297</v>
      </c>
      <c r="O27" s="3226" t="s">
        <v>2939</v>
      </c>
      <c r="P27" s="3226" t="s">
        <v>2940</v>
      </c>
      <c r="Q27" s="3226" t="s">
        <v>2941</v>
      </c>
      <c r="R27" s="3226" t="s">
        <v>2942</v>
      </c>
    </row>
    <row r="28" spans="1:19" ht="14.25" customHeight="1">
      <c r="A28" s="3226" t="s">
        <v>184</v>
      </c>
      <c r="B28" s="3227" t="s">
        <v>259</v>
      </c>
      <c r="C28" s="3226"/>
      <c r="D28" s="3226">
        <v>31520</v>
      </c>
      <c r="E28" s="3226">
        <v>31410</v>
      </c>
      <c r="F28" s="3226"/>
      <c r="G28" s="3226">
        <v>22940</v>
      </c>
      <c r="L28" s="3226" t="s">
        <v>2943</v>
      </c>
      <c r="M28" s="3226" t="s">
        <v>2944</v>
      </c>
      <c r="N28" s="3226" t="s">
        <v>2945</v>
      </c>
      <c r="O28" s="3226" t="s">
        <v>2946</v>
      </c>
      <c r="P28" s="3226" t="s">
        <v>2947</v>
      </c>
      <c r="Q28" s="3226" t="s">
        <v>2948</v>
      </c>
      <c r="R28" s="3226" t="s">
        <v>2949</v>
      </c>
    </row>
    <row r="29" spans="1:19" ht="14.25" customHeight="1" thickBot="1">
      <c r="A29" s="3234" t="s">
        <v>184</v>
      </c>
      <c r="B29" s="3236" t="s">
        <v>2916</v>
      </c>
      <c r="C29" s="3237"/>
      <c r="D29" s="3237">
        <v>29460</v>
      </c>
      <c r="E29" s="3237">
        <v>28640</v>
      </c>
      <c r="F29" s="3237"/>
      <c r="G29" s="3237">
        <v>21430</v>
      </c>
      <c r="L29" s="3226" t="s">
        <v>2950</v>
      </c>
      <c r="M29" s="3226" t="s">
        <v>2951</v>
      </c>
      <c r="N29" s="3226" t="s">
        <v>2952</v>
      </c>
      <c r="O29" s="3226" t="s">
        <v>2953</v>
      </c>
      <c r="P29" s="3226" t="s">
        <v>2954</v>
      </c>
      <c r="Q29" s="3226" t="s">
        <v>2955</v>
      </c>
      <c r="R29" s="3226" t="s">
        <v>280</v>
      </c>
    </row>
    <row r="30" spans="1:19" ht="14.25" customHeight="1">
      <c r="A30" s="3231" t="s">
        <v>296</v>
      </c>
      <c r="B30" s="3222" t="s">
        <v>2849</v>
      </c>
      <c r="C30" s="3222">
        <v>26890</v>
      </c>
      <c r="D30" s="3222">
        <v>26770</v>
      </c>
      <c r="E30" s="3222">
        <v>25700</v>
      </c>
      <c r="F30" s="3222">
        <v>8180</v>
      </c>
      <c r="G30" s="3238">
        <v>18740</v>
      </c>
      <c r="L30" s="3226" t="s">
        <v>2956</v>
      </c>
      <c r="M30" s="3226" t="s">
        <v>2957</v>
      </c>
      <c r="N30" s="3226" t="s">
        <v>2958</v>
      </c>
      <c r="O30" s="3226" t="s">
        <v>2959</v>
      </c>
      <c r="P30" s="3226" t="s">
        <v>2960</v>
      </c>
      <c r="Q30" s="3226" t="s">
        <v>2961</v>
      </c>
      <c r="R30" s="3226" t="s">
        <v>2962</v>
      </c>
    </row>
    <row r="31" spans="1:19" ht="14.25" customHeight="1">
      <c r="A31" s="3226" t="s">
        <v>296</v>
      </c>
      <c r="B31" s="3227" t="s">
        <v>129</v>
      </c>
      <c r="C31" s="3226">
        <v>24550</v>
      </c>
      <c r="D31" s="3226">
        <v>23990</v>
      </c>
      <c r="E31" s="3226">
        <v>22930</v>
      </c>
      <c r="F31" s="3226">
        <v>7470</v>
      </c>
      <c r="G31" s="3239">
        <v>16790</v>
      </c>
      <c r="L31" s="3226" t="s">
        <v>2963</v>
      </c>
      <c r="M31" s="3226" t="s">
        <v>2964</v>
      </c>
      <c r="N31" s="3226" t="s">
        <v>2965</v>
      </c>
      <c r="O31" s="3226" t="s">
        <v>2966</v>
      </c>
      <c r="P31" s="3226" t="s">
        <v>2967</v>
      </c>
      <c r="Q31" s="3226" t="s">
        <v>2968</v>
      </c>
      <c r="R31" s="3226" t="s">
        <v>2969</v>
      </c>
    </row>
    <row r="32" spans="1:19" ht="14.25" customHeight="1" thickBot="1">
      <c r="A32" s="3226" t="s">
        <v>296</v>
      </c>
      <c r="B32" s="3227" t="s">
        <v>138</v>
      </c>
      <c r="C32" s="3226">
        <v>27210</v>
      </c>
      <c r="D32" s="3226">
        <v>23240</v>
      </c>
      <c r="E32" s="3226">
        <v>23260</v>
      </c>
      <c r="F32" s="3226">
        <v>7130</v>
      </c>
      <c r="G32" s="3239">
        <v>16270</v>
      </c>
      <c r="L32" s="3226" t="s">
        <v>2970</v>
      </c>
      <c r="M32" s="3226" t="s">
        <v>2971</v>
      </c>
      <c r="N32" s="3226" t="s">
        <v>300</v>
      </c>
      <c r="O32" s="3226" t="s">
        <v>2972</v>
      </c>
      <c r="P32" s="3226" t="s">
        <v>299</v>
      </c>
      <c r="Q32" s="3226" t="s">
        <v>2973</v>
      </c>
      <c r="R32" s="3233" t="s">
        <v>2974</v>
      </c>
    </row>
    <row r="33" spans="1:17" ht="14.25" customHeight="1" thickBot="1">
      <c r="A33" s="3226" t="s">
        <v>296</v>
      </c>
      <c r="B33" s="3227" t="s">
        <v>147</v>
      </c>
      <c r="C33" s="3226">
        <v>27300</v>
      </c>
      <c r="D33" s="3226">
        <v>22980</v>
      </c>
      <c r="E33" s="3226">
        <v>24260</v>
      </c>
      <c r="F33" s="3226">
        <v>5860</v>
      </c>
      <c r="G33" s="3239">
        <v>16090</v>
      </c>
      <c r="L33" s="3233" t="s">
        <v>2975</v>
      </c>
      <c r="M33" s="3226" t="s">
        <v>2976</v>
      </c>
      <c r="N33" s="3226" t="s">
        <v>301</v>
      </c>
      <c r="O33" s="3226" t="s">
        <v>2977</v>
      </c>
      <c r="P33" s="3226" t="s">
        <v>2978</v>
      </c>
      <c r="Q33" s="3226" t="s">
        <v>2979</v>
      </c>
    </row>
    <row r="34" spans="1:17" ht="14.25" customHeight="1">
      <c r="A34" s="3226" t="s">
        <v>296</v>
      </c>
      <c r="B34" s="3227" t="s">
        <v>156</v>
      </c>
      <c r="C34" s="3226">
        <v>23090</v>
      </c>
      <c r="D34" s="3226">
        <v>23390</v>
      </c>
      <c r="E34" s="3226">
        <v>23510</v>
      </c>
      <c r="F34" s="3226">
        <v>6700</v>
      </c>
      <c r="G34" s="3239">
        <v>16370</v>
      </c>
      <c r="M34" s="3226" t="s">
        <v>2980</v>
      </c>
      <c r="N34" s="3226" t="s">
        <v>302</v>
      </c>
      <c r="O34" s="3226" t="s">
        <v>2981</v>
      </c>
      <c r="P34" s="3226" t="s">
        <v>2982</v>
      </c>
      <c r="Q34" s="3226" t="s">
        <v>2983</v>
      </c>
    </row>
    <row r="35" spans="1:17" ht="14.25" customHeight="1">
      <c r="A35" s="3226" t="s">
        <v>296</v>
      </c>
      <c r="B35" s="3227" t="s">
        <v>163</v>
      </c>
      <c r="C35" s="3226">
        <v>27270</v>
      </c>
      <c r="D35" s="3226">
        <v>24270</v>
      </c>
      <c r="E35" s="3226">
        <v>24950</v>
      </c>
      <c r="F35" s="3226">
        <v>6600</v>
      </c>
      <c r="G35" s="3239">
        <v>16990</v>
      </c>
      <c r="M35" s="3226" t="s">
        <v>2984</v>
      </c>
      <c r="N35" s="3226" t="s">
        <v>2985</v>
      </c>
      <c r="O35" s="3226" t="s">
        <v>2986</v>
      </c>
      <c r="P35" s="3226" t="s">
        <v>2987</v>
      </c>
      <c r="Q35" s="3226" t="s">
        <v>2988</v>
      </c>
    </row>
    <row r="36" spans="1:17" ht="14.25" customHeight="1">
      <c r="A36" s="3226" t="s">
        <v>296</v>
      </c>
      <c r="B36" s="3227" t="s">
        <v>169</v>
      </c>
      <c r="C36" s="3226">
        <v>23490</v>
      </c>
      <c r="D36" s="3226">
        <v>23020</v>
      </c>
      <c r="E36" s="3226">
        <v>25230</v>
      </c>
      <c r="F36" s="3226">
        <v>6780</v>
      </c>
      <c r="G36" s="3239">
        <v>16120</v>
      </c>
      <c r="M36" s="3226" t="s">
        <v>2989</v>
      </c>
      <c r="N36" s="3226" t="s">
        <v>2990</v>
      </c>
      <c r="O36" s="3226" t="s">
        <v>2991</v>
      </c>
      <c r="P36" s="3226" t="s">
        <v>2992</v>
      </c>
      <c r="Q36" s="3226" t="s">
        <v>2993</v>
      </c>
    </row>
    <row r="37" spans="1:17" ht="14.25" customHeight="1">
      <c r="A37" s="3226" t="s">
        <v>296</v>
      </c>
      <c r="B37" s="3227" t="s">
        <v>176</v>
      </c>
      <c r="C37" s="3226">
        <v>24380</v>
      </c>
      <c r="D37" s="3226">
        <v>22240</v>
      </c>
      <c r="E37" s="3226">
        <v>25980</v>
      </c>
      <c r="F37" s="3226">
        <v>8160</v>
      </c>
      <c r="G37" s="3239">
        <v>15570</v>
      </c>
      <c r="M37" s="3226" t="s">
        <v>2994</v>
      </c>
      <c r="N37" s="3226" t="s">
        <v>2995</v>
      </c>
      <c r="O37" s="3226" t="s">
        <v>2996</v>
      </c>
      <c r="P37" s="3226" t="s">
        <v>2997</v>
      </c>
      <c r="Q37" s="3226" t="s">
        <v>2998</v>
      </c>
    </row>
    <row r="38" spans="1:17" ht="14.25" customHeight="1">
      <c r="A38" s="3226" t="s">
        <v>296</v>
      </c>
      <c r="B38" s="3227" t="s">
        <v>186</v>
      </c>
      <c r="C38" s="3226">
        <v>23120</v>
      </c>
      <c r="D38" s="3226">
        <v>24630</v>
      </c>
      <c r="E38" s="3226">
        <v>25030</v>
      </c>
      <c r="F38" s="3226">
        <v>7710</v>
      </c>
      <c r="G38" s="3239">
        <v>17240</v>
      </c>
      <c r="M38" s="3226" t="s">
        <v>2999</v>
      </c>
      <c r="N38" s="3226" t="s">
        <v>3000</v>
      </c>
      <c r="O38" s="3226" t="s">
        <v>3001</v>
      </c>
      <c r="P38" s="3226" t="s">
        <v>3002</v>
      </c>
      <c r="Q38" s="3226" t="s">
        <v>3003</v>
      </c>
    </row>
    <row r="39" spans="1:17" ht="14.25" customHeight="1">
      <c r="A39" s="3226" t="s">
        <v>296</v>
      </c>
      <c r="B39" s="3227" t="s">
        <v>195</v>
      </c>
      <c r="C39" s="3226">
        <v>22330</v>
      </c>
      <c r="D39" s="3226">
        <v>21140</v>
      </c>
      <c r="E39" s="3226">
        <v>23970</v>
      </c>
      <c r="F39" s="3226">
        <v>7940</v>
      </c>
      <c r="G39" s="3239">
        <v>14790</v>
      </c>
      <c r="M39" s="3226" t="s">
        <v>3004</v>
      </c>
      <c r="N39" s="3226" t="s">
        <v>3005</v>
      </c>
      <c r="O39" s="3226" t="s">
        <v>3006</v>
      </c>
      <c r="P39" s="3226" t="s">
        <v>3007</v>
      </c>
      <c r="Q39" s="3226" t="s">
        <v>3008</v>
      </c>
    </row>
    <row r="40" spans="1:17" ht="14.25" customHeight="1">
      <c r="A40" s="3226" t="s">
        <v>296</v>
      </c>
      <c r="B40" s="3227" t="s">
        <v>202</v>
      </c>
      <c r="C40" s="3226">
        <v>24740</v>
      </c>
      <c r="D40" s="3226">
        <v>24690</v>
      </c>
      <c r="E40" s="3226">
        <v>22610</v>
      </c>
      <c r="F40" s="3226"/>
      <c r="G40" s="3239">
        <v>17280</v>
      </c>
      <c r="M40" s="3226" t="s">
        <v>3009</v>
      </c>
      <c r="N40" s="3226" t="s">
        <v>3010</v>
      </c>
      <c r="O40" s="3226" t="s">
        <v>3011</v>
      </c>
      <c r="P40" s="3226" t="s">
        <v>3012</v>
      </c>
      <c r="Q40" s="3226" t="s">
        <v>3013</v>
      </c>
    </row>
    <row r="41" spans="1:17" ht="14.25" customHeight="1" thickBot="1">
      <c r="A41" s="3226" t="s">
        <v>296</v>
      </c>
      <c r="B41" s="3227" t="s">
        <v>209</v>
      </c>
      <c r="C41" s="3226">
        <v>21220</v>
      </c>
      <c r="D41" s="3226">
        <v>21120</v>
      </c>
      <c r="E41" s="3226">
        <v>22590</v>
      </c>
      <c r="F41" s="3226"/>
      <c r="G41" s="3239">
        <v>14780</v>
      </c>
      <c r="M41" s="3233" t="s">
        <v>3014</v>
      </c>
      <c r="N41" s="3226" t="s">
        <v>3015</v>
      </c>
      <c r="O41" s="3226" t="s">
        <v>3016</v>
      </c>
      <c r="P41" s="3226" t="s">
        <v>3017</v>
      </c>
      <c r="Q41" s="3226" t="s">
        <v>3018</v>
      </c>
    </row>
    <row r="42" spans="1:17" ht="14.25" customHeight="1">
      <c r="A42" s="3226" t="s">
        <v>296</v>
      </c>
      <c r="B42" s="3227" t="s">
        <v>215</v>
      </c>
      <c r="C42" s="3226">
        <v>24800</v>
      </c>
      <c r="D42" s="3226">
        <v>22280</v>
      </c>
      <c r="E42" s="3226">
        <v>24350</v>
      </c>
      <c r="F42" s="3226"/>
      <c r="G42" s="3239">
        <v>15590</v>
      </c>
      <c r="N42" s="3226" t="s">
        <v>3019</v>
      </c>
      <c r="O42" s="3226" t="s">
        <v>3020</v>
      </c>
      <c r="P42" s="3226" t="s">
        <v>3021</v>
      </c>
      <c r="Q42" s="3226" t="s">
        <v>3022</v>
      </c>
    </row>
    <row r="43" spans="1:17" ht="14.25" customHeight="1">
      <c r="A43" s="3226" t="s">
        <v>3023</v>
      </c>
      <c r="B43" s="3227" t="s">
        <v>223</v>
      </c>
      <c r="C43" s="3226">
        <v>21210</v>
      </c>
      <c r="D43" s="3226">
        <v>21160</v>
      </c>
      <c r="E43" s="3226">
        <v>22650</v>
      </c>
      <c r="F43" s="3226"/>
      <c r="G43" s="3239">
        <v>14800</v>
      </c>
      <c r="N43" s="3226" t="s">
        <v>3024</v>
      </c>
      <c r="O43" s="3226" t="s">
        <v>3025</v>
      </c>
      <c r="P43" s="3226" t="s">
        <v>3026</v>
      </c>
      <c r="Q43" s="3226" t="s">
        <v>3027</v>
      </c>
    </row>
    <row r="44" spans="1:17" ht="14.25" customHeight="1" thickBot="1">
      <c r="A44" s="3226" t="s">
        <v>296</v>
      </c>
      <c r="B44" s="3227" t="s">
        <v>231</v>
      </c>
      <c r="C44" s="3226">
        <v>22370</v>
      </c>
      <c r="D44" s="3226">
        <v>23140</v>
      </c>
      <c r="E44" s="3226">
        <v>25090</v>
      </c>
      <c r="F44" s="3226"/>
      <c r="G44" s="3239">
        <v>16190</v>
      </c>
      <c r="N44" s="3226" t="s">
        <v>3028</v>
      </c>
      <c r="O44" s="3226" t="s">
        <v>3029</v>
      </c>
      <c r="P44" s="3233" t="s">
        <v>3030</v>
      </c>
      <c r="Q44" s="3226" t="s">
        <v>3031</v>
      </c>
    </row>
    <row r="45" spans="1:17" ht="14.25" customHeight="1" thickBot="1">
      <c r="A45" s="3226" t="s">
        <v>296</v>
      </c>
      <c r="B45" s="3227" t="s">
        <v>236</v>
      </c>
      <c r="C45" s="3226">
        <v>21240</v>
      </c>
      <c r="D45" s="3226">
        <v>27050</v>
      </c>
      <c r="E45" s="3226">
        <v>28000</v>
      </c>
      <c r="F45" s="3226"/>
      <c r="G45" s="3239">
        <v>18940</v>
      </c>
      <c r="N45" s="3226" t="s">
        <v>3032</v>
      </c>
      <c r="O45" s="3233" t="s">
        <v>3033</v>
      </c>
      <c r="Q45" s="3226" t="s">
        <v>3034</v>
      </c>
    </row>
    <row r="46" spans="1:17" ht="14.25" customHeight="1">
      <c r="A46" s="3226" t="s">
        <v>296</v>
      </c>
      <c r="B46" s="3227" t="s">
        <v>245</v>
      </c>
      <c r="C46" s="3226">
        <v>23240</v>
      </c>
      <c r="D46" s="3226">
        <v>23000</v>
      </c>
      <c r="E46" s="3226">
        <v>24980</v>
      </c>
      <c r="F46" s="3226"/>
      <c r="G46" s="3239">
        <v>16100</v>
      </c>
      <c r="N46" s="3226" t="s">
        <v>3035</v>
      </c>
      <c r="Q46" s="3226" t="s">
        <v>3036</v>
      </c>
    </row>
    <row r="47" spans="1:17" ht="14.25" customHeight="1">
      <c r="A47" s="3226" t="s">
        <v>296</v>
      </c>
      <c r="B47" s="3227" t="s">
        <v>252</v>
      </c>
      <c r="C47" s="3226">
        <v>27150</v>
      </c>
      <c r="D47" s="3226">
        <v>23310</v>
      </c>
      <c r="E47" s="3226">
        <v>25150</v>
      </c>
      <c r="F47" s="3226"/>
      <c r="G47" s="3239">
        <v>16310</v>
      </c>
      <c r="N47" s="3226" t="s">
        <v>3037</v>
      </c>
      <c r="Q47" s="3226" t="s">
        <v>3038</v>
      </c>
    </row>
    <row r="48" spans="1:17" ht="14.25" customHeight="1">
      <c r="A48" s="3226" t="s">
        <v>296</v>
      </c>
      <c r="B48" s="3227" t="s">
        <v>260</v>
      </c>
      <c r="C48" s="3226">
        <v>23100</v>
      </c>
      <c r="D48" s="3226">
        <v>21110</v>
      </c>
      <c r="E48" s="3226">
        <v>23080</v>
      </c>
      <c r="F48" s="3226"/>
      <c r="G48" s="3239">
        <v>14780</v>
      </c>
      <c r="N48" s="3226" t="s">
        <v>3039</v>
      </c>
      <c r="Q48" s="3226" t="s">
        <v>3040</v>
      </c>
    </row>
    <row r="49" spans="1:17" ht="14.25" customHeight="1">
      <c r="A49" s="3226" t="s">
        <v>296</v>
      </c>
      <c r="B49" s="3227" t="s">
        <v>267</v>
      </c>
      <c r="C49" s="3226">
        <v>23400</v>
      </c>
      <c r="D49" s="3226">
        <v>22920</v>
      </c>
      <c r="E49" s="3226">
        <v>24900</v>
      </c>
      <c r="F49" s="3226"/>
      <c r="G49" s="3239">
        <v>16040</v>
      </c>
      <c r="N49" s="3226" t="s">
        <v>3041</v>
      </c>
      <c r="Q49" s="3226" t="s">
        <v>3042</v>
      </c>
    </row>
    <row r="50" spans="1:17" ht="14.25" customHeight="1">
      <c r="A50" s="3226" t="s">
        <v>296</v>
      </c>
      <c r="B50" s="3227" t="s">
        <v>2919</v>
      </c>
      <c r="C50" s="3226">
        <v>21200</v>
      </c>
      <c r="D50" s="3226">
        <v>26540</v>
      </c>
      <c r="E50" s="3226">
        <v>23200</v>
      </c>
      <c r="F50" s="3226"/>
      <c r="G50" s="3239">
        <v>18580</v>
      </c>
      <c r="N50" s="3226" t="s">
        <v>3043</v>
      </c>
      <c r="Q50" s="3227" t="s">
        <v>3044</v>
      </c>
    </row>
    <row r="51" spans="1:17" ht="14.25" customHeight="1" thickBot="1">
      <c r="A51" s="3226" t="s">
        <v>296</v>
      </c>
      <c r="B51" s="3227" t="s">
        <v>2921</v>
      </c>
      <c r="C51" s="3226">
        <v>23000</v>
      </c>
      <c r="D51" s="3226">
        <v>23460</v>
      </c>
      <c r="E51" s="3226">
        <v>25290</v>
      </c>
      <c r="F51" s="3226"/>
      <c r="G51" s="3239">
        <v>16420</v>
      </c>
      <c r="N51" s="3226" t="s">
        <v>3045</v>
      </c>
      <c r="Q51" s="3233" t="s">
        <v>3046</v>
      </c>
    </row>
    <row r="52" spans="1:17" ht="14.25" customHeight="1">
      <c r="A52" s="3226" t="s">
        <v>296</v>
      </c>
      <c r="B52" s="3227" t="s">
        <v>2925</v>
      </c>
      <c r="C52" s="3226">
        <v>26660</v>
      </c>
      <c r="D52" s="3226">
        <v>22350</v>
      </c>
      <c r="E52" s="3226">
        <v>22920</v>
      </c>
      <c r="F52" s="3226"/>
      <c r="G52" s="3239">
        <v>15640</v>
      </c>
      <c r="N52" s="3226" t="s">
        <v>3047</v>
      </c>
    </row>
    <row r="53" spans="1:17" ht="14.25" customHeight="1">
      <c r="A53" s="3226" t="s">
        <v>296</v>
      </c>
      <c r="B53" s="3227" t="s">
        <v>2930</v>
      </c>
      <c r="C53" s="3226">
        <v>23580</v>
      </c>
      <c r="D53" s="3226"/>
      <c r="E53" s="3226">
        <v>24280</v>
      </c>
      <c r="F53" s="3226"/>
      <c r="G53" s="3239"/>
      <c r="N53" s="3226" t="s">
        <v>3048</v>
      </c>
    </row>
    <row r="54" spans="1:17" ht="14.25" customHeight="1" thickBot="1">
      <c r="A54" s="3240" t="s">
        <v>296</v>
      </c>
      <c r="B54" s="3232" t="s">
        <v>2933</v>
      </c>
      <c r="C54" s="3233">
        <v>22460</v>
      </c>
      <c r="D54" s="3233"/>
      <c r="E54" s="3233"/>
      <c r="F54" s="3233"/>
      <c r="G54" s="3241"/>
      <c r="N54" s="3226" t="s">
        <v>3049</v>
      </c>
    </row>
    <row r="55" spans="1:17" ht="14.25" customHeight="1">
      <c r="A55" s="3231" t="s">
        <v>110</v>
      </c>
      <c r="B55" s="3222" t="s">
        <v>3050</v>
      </c>
      <c r="C55" s="3226">
        <v>21970</v>
      </c>
      <c r="D55" s="3226">
        <v>20370</v>
      </c>
      <c r="E55" s="3226">
        <v>20180</v>
      </c>
      <c r="F55" s="3226">
        <v>5730</v>
      </c>
      <c r="G55" s="3226">
        <v>13820</v>
      </c>
      <c r="N55" s="3226" t="s">
        <v>3051</v>
      </c>
    </row>
    <row r="56" spans="1:17" ht="14.25" customHeight="1">
      <c r="A56" s="3226" t="s">
        <v>110</v>
      </c>
      <c r="B56" s="3226" t="s">
        <v>130</v>
      </c>
      <c r="C56" s="3226">
        <v>20470</v>
      </c>
      <c r="D56" s="3226">
        <v>20700</v>
      </c>
      <c r="E56" s="3226">
        <v>20380</v>
      </c>
      <c r="F56" s="3226">
        <v>4760</v>
      </c>
      <c r="G56" s="3226">
        <v>14050</v>
      </c>
      <c r="N56" s="3226" t="s">
        <v>3052</v>
      </c>
    </row>
    <row r="57" spans="1:17" ht="14.25" customHeight="1">
      <c r="A57" s="3226" t="s">
        <v>110</v>
      </c>
      <c r="B57" s="3226" t="s">
        <v>139</v>
      </c>
      <c r="C57" s="3226">
        <v>20790</v>
      </c>
      <c r="D57" s="3226">
        <v>21370</v>
      </c>
      <c r="E57" s="3226">
        <v>20890</v>
      </c>
      <c r="F57" s="3226">
        <v>4910</v>
      </c>
      <c r="G57" s="3226">
        <v>14510</v>
      </c>
      <c r="N57" s="3226" t="s">
        <v>3053</v>
      </c>
    </row>
    <row r="58" spans="1:17" ht="14.25" customHeight="1">
      <c r="A58" s="3226" t="s">
        <v>110</v>
      </c>
      <c r="B58" s="3226" t="s">
        <v>148</v>
      </c>
      <c r="C58" s="3226">
        <v>21460</v>
      </c>
      <c r="D58" s="3226">
        <v>20920</v>
      </c>
      <c r="E58" s="3226">
        <v>23410</v>
      </c>
      <c r="F58" s="3226">
        <v>5100</v>
      </c>
      <c r="G58" s="3226">
        <v>14200</v>
      </c>
      <c r="N58" s="3226" t="s">
        <v>3054</v>
      </c>
    </row>
    <row r="59" spans="1:17" ht="14.25" customHeight="1">
      <c r="A59" s="3226" t="s">
        <v>110</v>
      </c>
      <c r="B59" s="3226" t="s">
        <v>157</v>
      </c>
      <c r="C59" s="3226">
        <v>21000</v>
      </c>
      <c r="D59" s="3226">
        <v>21550</v>
      </c>
      <c r="E59" s="3226">
        <v>21150</v>
      </c>
      <c r="F59" s="3226">
        <v>5250</v>
      </c>
      <c r="G59" s="3226">
        <v>14630</v>
      </c>
      <c r="N59" s="3226" t="s">
        <v>3055</v>
      </c>
    </row>
    <row r="60" spans="1:17" ht="14.25" customHeight="1">
      <c r="A60" s="3226" t="s">
        <v>110</v>
      </c>
      <c r="B60" s="3226" t="s">
        <v>164</v>
      </c>
      <c r="C60" s="3226">
        <v>21640</v>
      </c>
      <c r="D60" s="3226">
        <v>21260</v>
      </c>
      <c r="E60" s="3226">
        <v>24040</v>
      </c>
      <c r="F60" s="3226">
        <v>4470</v>
      </c>
      <c r="G60" s="3226">
        <v>14430</v>
      </c>
      <c r="N60" s="3226" t="s">
        <v>3056</v>
      </c>
    </row>
    <row r="61" spans="1:17" ht="14.25" customHeight="1">
      <c r="A61" s="3226" t="s">
        <v>110</v>
      </c>
      <c r="B61" s="3226" t="s">
        <v>170</v>
      </c>
      <c r="C61" s="3226">
        <v>21330</v>
      </c>
      <c r="D61" s="3226">
        <v>18640</v>
      </c>
      <c r="E61" s="3226">
        <v>21190</v>
      </c>
      <c r="F61" s="3226">
        <v>4180</v>
      </c>
      <c r="G61" s="3226">
        <v>12650</v>
      </c>
      <c r="N61" s="3226" t="s">
        <v>3057</v>
      </c>
    </row>
    <row r="62" spans="1:17" ht="14.25" customHeight="1">
      <c r="A62" s="3226" t="s">
        <v>110</v>
      </c>
      <c r="B62" s="3226" t="s">
        <v>177</v>
      </c>
      <c r="C62" s="3226">
        <v>18710</v>
      </c>
      <c r="D62" s="3226">
        <v>19400</v>
      </c>
      <c r="E62" s="3226">
        <v>23750</v>
      </c>
      <c r="F62" s="3226">
        <v>4860</v>
      </c>
      <c r="G62" s="3226">
        <v>13170</v>
      </c>
      <c r="N62" s="3226" t="s">
        <v>3058</v>
      </c>
    </row>
    <row r="63" spans="1:17" ht="14.25" customHeight="1">
      <c r="A63" s="3226" t="s">
        <v>110</v>
      </c>
      <c r="B63" s="3226" t="s">
        <v>187</v>
      </c>
      <c r="C63" s="3226">
        <v>19480</v>
      </c>
      <c r="D63" s="3226">
        <v>16830</v>
      </c>
      <c r="E63" s="3226">
        <v>21590</v>
      </c>
      <c r="F63" s="3226">
        <v>4560</v>
      </c>
      <c r="G63" s="3226">
        <v>11420</v>
      </c>
      <c r="N63" s="3226" t="s">
        <v>3059</v>
      </c>
    </row>
    <row r="64" spans="1:17" ht="14.25" customHeight="1" thickBot="1">
      <c r="A64" s="3226" t="s">
        <v>110</v>
      </c>
      <c r="B64" s="3226" t="s">
        <v>196</v>
      </c>
      <c r="C64" s="3226">
        <v>16920</v>
      </c>
      <c r="D64" s="3226">
        <v>19190</v>
      </c>
      <c r="E64" s="3226">
        <v>22200</v>
      </c>
      <c r="F64" s="3226">
        <v>4390</v>
      </c>
      <c r="G64" s="3226">
        <v>13030</v>
      </c>
      <c r="N64" s="3233" t="s">
        <v>3060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2931</v>
      </c>
      <c r="C78" s="3226">
        <v>19820</v>
      </c>
      <c r="D78" s="3226">
        <v>19780</v>
      </c>
      <c r="E78" s="3226">
        <v>18560</v>
      </c>
      <c r="F78" s="3226"/>
      <c r="G78" s="3226">
        <v>13430</v>
      </c>
    </row>
    <row r="79" spans="1:7" s="3215" customFormat="1" ht="14.25" customHeight="1">
      <c r="A79" s="3226" t="s">
        <v>110</v>
      </c>
      <c r="B79" s="3226" t="s">
        <v>2934</v>
      </c>
      <c r="C79" s="3226">
        <v>21660</v>
      </c>
      <c r="D79" s="3226">
        <v>18000</v>
      </c>
      <c r="E79" s="3226">
        <v>22570</v>
      </c>
      <c r="F79" s="3226"/>
      <c r="G79" s="3226">
        <v>12220</v>
      </c>
    </row>
    <row r="80" spans="1:7" s="3215" customFormat="1" ht="14.25" customHeight="1">
      <c r="A80" s="3226" t="s">
        <v>110</v>
      </c>
      <c r="B80" s="3226" t="s">
        <v>2938</v>
      </c>
      <c r="C80" s="3226">
        <v>19850</v>
      </c>
      <c r="D80" s="3226"/>
      <c r="E80" s="3226">
        <v>21700</v>
      </c>
      <c r="F80" s="3226"/>
      <c r="G80" s="3226"/>
    </row>
    <row r="81" spans="1:7" s="3215" customFormat="1" ht="14.25" customHeight="1">
      <c r="A81" s="3226" t="s">
        <v>110</v>
      </c>
      <c r="B81" s="3226" t="s">
        <v>2943</v>
      </c>
      <c r="C81" s="3226">
        <v>18080</v>
      </c>
      <c r="D81" s="3226"/>
      <c r="E81" s="3226">
        <v>20900</v>
      </c>
      <c r="F81" s="3226"/>
      <c r="G81" s="3226"/>
    </row>
    <row r="82" spans="1:7" s="3215" customFormat="1" ht="14.25" customHeight="1">
      <c r="A82" s="3226" t="s">
        <v>110</v>
      </c>
      <c r="B82" s="3226" t="s">
        <v>2950</v>
      </c>
      <c r="C82" s="3226"/>
      <c r="D82" s="3226"/>
      <c r="E82" s="3226">
        <v>20840</v>
      </c>
      <c r="F82" s="3226"/>
      <c r="G82" s="3226"/>
    </row>
    <row r="83" spans="1:7" s="3215" customFormat="1" ht="14.25" customHeight="1">
      <c r="A83" s="3226" t="s">
        <v>110</v>
      </c>
      <c r="B83" s="3226" t="s">
        <v>3061</v>
      </c>
      <c r="C83" s="3226"/>
      <c r="D83" s="3226"/>
      <c r="E83" s="3226"/>
      <c r="F83" s="3226">
        <v>4770</v>
      </c>
      <c r="G83" s="3226"/>
    </row>
    <row r="84" spans="1:7" s="3215" customFormat="1" ht="14.25" customHeight="1">
      <c r="A84" s="3226" t="s">
        <v>110</v>
      </c>
      <c r="B84" s="3226" t="s">
        <v>3062</v>
      </c>
      <c r="C84" s="3226"/>
      <c r="D84" s="3226"/>
      <c r="E84" s="3226"/>
      <c r="F84" s="3226">
        <v>4600</v>
      </c>
      <c r="G84" s="3226"/>
    </row>
    <row r="85" spans="1:7" s="3215" customFormat="1" ht="14.25" customHeight="1">
      <c r="A85" s="3226" t="s">
        <v>110</v>
      </c>
      <c r="B85" s="3226" t="s">
        <v>3063</v>
      </c>
      <c r="C85" s="3226"/>
      <c r="D85" s="3226"/>
      <c r="E85" s="3226"/>
      <c r="F85" s="3226">
        <v>4680</v>
      </c>
      <c r="G85" s="3226"/>
    </row>
    <row r="86" spans="1:7" s="3215" customFormat="1" ht="14.25" customHeight="1" thickBot="1">
      <c r="A86" s="3234" t="s">
        <v>110</v>
      </c>
      <c r="B86" s="3236" t="s">
        <v>3064</v>
      </c>
      <c r="C86" s="3237">
        <v>16610</v>
      </c>
      <c r="D86" s="3237">
        <v>16540</v>
      </c>
      <c r="E86" s="3237">
        <v>18850</v>
      </c>
      <c r="F86" s="3237"/>
      <c r="G86" s="3237">
        <v>11220</v>
      </c>
    </row>
    <row r="87" spans="1:7" s="3215" customFormat="1" ht="14.25" customHeight="1">
      <c r="A87" s="3231" t="s">
        <v>303</v>
      </c>
      <c r="B87" s="3222" t="s">
        <v>3065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2944</v>
      </c>
      <c r="C113" s="3226">
        <v>15520</v>
      </c>
      <c r="D113" s="3226">
        <v>15450</v>
      </c>
      <c r="E113" s="3226"/>
      <c r="F113" s="3226"/>
      <c r="G113" s="3239">
        <v>10210</v>
      </c>
    </row>
    <row r="114" spans="1:7" s="3215" customFormat="1" ht="14.25" customHeight="1">
      <c r="A114" s="3226" t="s">
        <v>303</v>
      </c>
      <c r="B114" s="3226" t="s">
        <v>2951</v>
      </c>
      <c r="C114" s="3226">
        <v>13110</v>
      </c>
      <c r="D114" s="3226">
        <v>13050</v>
      </c>
      <c r="E114" s="3226"/>
      <c r="F114" s="3226"/>
      <c r="G114" s="3239">
        <v>8620</v>
      </c>
    </row>
    <row r="115" spans="1:7" s="3215" customFormat="1" ht="14.25" customHeight="1">
      <c r="A115" s="3226" t="s">
        <v>303</v>
      </c>
      <c r="B115" s="3226" t="s">
        <v>2957</v>
      </c>
      <c r="C115" s="3226">
        <v>12460</v>
      </c>
      <c r="D115" s="3226">
        <v>12390</v>
      </c>
      <c r="E115" s="3226"/>
      <c r="F115" s="3226"/>
      <c r="G115" s="3239">
        <v>8190</v>
      </c>
    </row>
    <row r="116" spans="1:7" s="3215" customFormat="1" ht="14.25" customHeight="1">
      <c r="A116" s="3226" t="s">
        <v>303</v>
      </c>
      <c r="B116" s="3226" t="s">
        <v>2964</v>
      </c>
      <c r="C116" s="3226">
        <v>13580</v>
      </c>
      <c r="D116" s="3226">
        <v>13520</v>
      </c>
      <c r="E116" s="3226"/>
      <c r="F116" s="3226"/>
      <c r="G116" s="3239">
        <v>8930</v>
      </c>
    </row>
    <row r="117" spans="1:7" s="3215" customFormat="1" ht="14.25" customHeight="1">
      <c r="A117" s="3226" t="s">
        <v>303</v>
      </c>
      <c r="B117" s="3226" t="s">
        <v>2971</v>
      </c>
      <c r="C117" s="3226">
        <v>17120</v>
      </c>
      <c r="D117" s="3226">
        <v>17040</v>
      </c>
      <c r="E117" s="3226"/>
      <c r="F117" s="3226"/>
      <c r="G117" s="3239">
        <v>11260</v>
      </c>
    </row>
    <row r="118" spans="1:7" s="3215" customFormat="1" ht="14.25" customHeight="1">
      <c r="A118" s="3226" t="s">
        <v>303</v>
      </c>
      <c r="B118" s="3226" t="s">
        <v>2976</v>
      </c>
      <c r="C118" s="3226">
        <v>14860</v>
      </c>
      <c r="D118" s="3226">
        <v>14790</v>
      </c>
      <c r="E118" s="3226"/>
      <c r="F118" s="3226"/>
      <c r="G118" s="3239">
        <v>9780</v>
      </c>
    </row>
    <row r="119" spans="1:7" s="3215" customFormat="1" ht="14.25" customHeight="1">
      <c r="A119" s="3226" t="s">
        <v>303</v>
      </c>
      <c r="B119" s="3226" t="s">
        <v>2980</v>
      </c>
      <c r="C119" s="3226">
        <v>16470</v>
      </c>
      <c r="D119" s="3226">
        <v>16400</v>
      </c>
      <c r="E119" s="3226"/>
      <c r="F119" s="3226"/>
      <c r="G119" s="3239">
        <v>10840</v>
      </c>
    </row>
    <row r="120" spans="1:7" s="3215" customFormat="1" ht="14.25" customHeight="1">
      <c r="A120" s="3226" t="s">
        <v>303</v>
      </c>
      <c r="B120" s="3226" t="s">
        <v>3066</v>
      </c>
      <c r="C120" s="3226"/>
      <c r="D120" s="3226"/>
      <c r="E120" s="3226"/>
      <c r="F120" s="3226">
        <v>4160</v>
      </c>
      <c r="G120" s="3239"/>
    </row>
    <row r="121" spans="1:7" s="3215" customFormat="1" ht="14.25" customHeight="1">
      <c r="A121" s="3226" t="s">
        <v>303</v>
      </c>
      <c r="B121" s="3226" t="s">
        <v>3067</v>
      </c>
      <c r="C121" s="3226"/>
      <c r="D121" s="3226"/>
      <c r="E121" s="3226"/>
      <c r="F121" s="3226">
        <v>3880</v>
      </c>
      <c r="G121" s="3239"/>
    </row>
    <row r="122" spans="1:7" s="3215" customFormat="1" ht="14.25" customHeight="1">
      <c r="A122" s="3226" t="s">
        <v>303</v>
      </c>
      <c r="B122" s="3226" t="s">
        <v>3068</v>
      </c>
      <c r="C122" s="3226">
        <v>13750</v>
      </c>
      <c r="D122" s="3226">
        <v>13680</v>
      </c>
      <c r="E122" s="3226">
        <v>16460</v>
      </c>
      <c r="F122" s="3226">
        <v>2880</v>
      </c>
      <c r="G122" s="3239">
        <v>9040</v>
      </c>
    </row>
    <row r="123" spans="1:7" s="3215" customFormat="1" ht="14.25" customHeight="1">
      <c r="A123" s="3226" t="s">
        <v>303</v>
      </c>
      <c r="B123" s="3226" t="s">
        <v>2999</v>
      </c>
      <c r="C123" s="3226">
        <v>13590</v>
      </c>
      <c r="D123" s="3226">
        <v>13520</v>
      </c>
      <c r="E123" s="3226">
        <v>16290</v>
      </c>
      <c r="F123" s="3226">
        <v>2790</v>
      </c>
      <c r="G123" s="3239">
        <v>8930</v>
      </c>
    </row>
    <row r="124" spans="1:7" s="3215" customFormat="1" ht="14.25" customHeight="1">
      <c r="A124" s="3226" t="s">
        <v>303</v>
      </c>
      <c r="B124" s="3226" t="s">
        <v>3004</v>
      </c>
      <c r="C124" s="3226">
        <v>13400</v>
      </c>
      <c r="D124" s="3226">
        <v>13320</v>
      </c>
      <c r="E124" s="3226">
        <v>16100</v>
      </c>
      <c r="F124" s="3226">
        <v>2320</v>
      </c>
      <c r="G124" s="3239">
        <v>8800</v>
      </c>
    </row>
    <row r="125" spans="1:7" s="3215" customFormat="1" ht="14.25" customHeight="1">
      <c r="A125" s="3226" t="s">
        <v>303</v>
      </c>
      <c r="B125" s="3226" t="s">
        <v>3009</v>
      </c>
      <c r="C125" s="3226">
        <v>12860</v>
      </c>
      <c r="D125" s="3226">
        <v>12790</v>
      </c>
      <c r="E125" s="3226">
        <v>15370</v>
      </c>
      <c r="F125" s="3226">
        <v>2280</v>
      </c>
      <c r="G125" s="3239">
        <v>8450</v>
      </c>
    </row>
    <row r="126" spans="1:7" s="3215" customFormat="1" ht="14.25" customHeight="1" thickBot="1">
      <c r="A126" s="3240" t="s">
        <v>303</v>
      </c>
      <c r="B126" s="3233" t="s">
        <v>3014</v>
      </c>
      <c r="C126" s="3233">
        <v>12960</v>
      </c>
      <c r="D126" s="3233">
        <v>12890</v>
      </c>
      <c r="E126" s="3233">
        <v>15530</v>
      </c>
      <c r="F126" s="3233">
        <v>2910</v>
      </c>
      <c r="G126" s="3241">
        <v>8520</v>
      </c>
    </row>
    <row r="127" spans="1:7" s="3215" customFormat="1" ht="14.25" customHeight="1">
      <c r="A127" s="3231" t="s">
        <v>29</v>
      </c>
      <c r="B127" s="3222" t="s">
        <v>3069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3070</v>
      </c>
      <c r="C148" s="3226">
        <v>10370</v>
      </c>
      <c r="D148" s="3226">
        <v>10310</v>
      </c>
      <c r="E148" s="3226">
        <v>12970</v>
      </c>
      <c r="F148" s="3226"/>
      <c r="G148" s="3226">
        <v>6630</v>
      </c>
    </row>
    <row r="149" spans="1:7" s="3215" customFormat="1" ht="14.25" customHeight="1">
      <c r="A149" s="3226" t="s">
        <v>29</v>
      </c>
      <c r="B149" s="3226" t="s">
        <v>3071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2945</v>
      </c>
      <c r="C153" s="3226">
        <v>10880</v>
      </c>
      <c r="D153" s="3226">
        <v>10820</v>
      </c>
      <c r="E153" s="3226">
        <v>13660</v>
      </c>
      <c r="F153" s="3226">
        <v>2260</v>
      </c>
      <c r="G153" s="3226">
        <v>6970</v>
      </c>
    </row>
    <row r="154" spans="1:7" s="3215" customFormat="1" ht="14.25" customHeight="1">
      <c r="A154" s="3226" t="s">
        <v>29</v>
      </c>
      <c r="B154" s="3226" t="s">
        <v>3072</v>
      </c>
      <c r="C154" s="3226">
        <v>11220</v>
      </c>
      <c r="D154" s="3226">
        <v>11160</v>
      </c>
      <c r="E154" s="3226">
        <v>14130</v>
      </c>
      <c r="F154" s="3226">
        <v>2230</v>
      </c>
      <c r="G154" s="3226">
        <v>7180</v>
      </c>
    </row>
    <row r="155" spans="1:7" s="3215" customFormat="1" ht="14.25" customHeight="1">
      <c r="A155" s="3226" t="s">
        <v>29</v>
      </c>
      <c r="B155" s="3226" t="s">
        <v>2958</v>
      </c>
      <c r="C155" s="3226">
        <v>10430</v>
      </c>
      <c r="D155" s="3226">
        <v>10380</v>
      </c>
      <c r="E155" s="3226">
        <v>13140</v>
      </c>
      <c r="F155" s="3226">
        <v>2080</v>
      </c>
      <c r="G155" s="3226">
        <v>6650</v>
      </c>
    </row>
    <row r="156" spans="1:7" s="3215" customFormat="1" ht="14.25" customHeight="1">
      <c r="A156" s="3226" t="s">
        <v>29</v>
      </c>
      <c r="B156" s="3226" t="s">
        <v>3073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3074</v>
      </c>
      <c r="C160" s="3226">
        <v>11180</v>
      </c>
      <c r="D160" s="3226">
        <v>11140</v>
      </c>
      <c r="E160" s="3226">
        <v>14050</v>
      </c>
      <c r="F160" s="3226">
        <v>2270</v>
      </c>
      <c r="G160" s="3226">
        <v>7170</v>
      </c>
    </row>
    <row r="161" spans="1:7" s="3215" customFormat="1" ht="14.25" customHeight="1">
      <c r="A161" s="3226" t="s">
        <v>29</v>
      </c>
      <c r="B161" s="3226" t="s">
        <v>2990</v>
      </c>
      <c r="C161" s="3226">
        <v>11160</v>
      </c>
      <c r="D161" s="3226">
        <v>11120</v>
      </c>
      <c r="E161" s="3226">
        <v>14020</v>
      </c>
      <c r="F161" s="3226">
        <v>2150</v>
      </c>
      <c r="G161" s="3226">
        <v>7160</v>
      </c>
    </row>
    <row r="162" spans="1:7" s="3215" customFormat="1" ht="14.25" customHeight="1">
      <c r="A162" s="3226" t="s">
        <v>29</v>
      </c>
      <c r="B162" s="3226" t="s">
        <v>2995</v>
      </c>
      <c r="C162" s="3226">
        <v>9620</v>
      </c>
      <c r="D162" s="3226">
        <v>9570</v>
      </c>
      <c r="E162" s="3226">
        <v>12320</v>
      </c>
      <c r="F162" s="3226">
        <v>2010</v>
      </c>
      <c r="G162" s="3226">
        <v>6160</v>
      </c>
    </row>
    <row r="163" spans="1:7" s="3215" customFormat="1" ht="14.25" customHeight="1">
      <c r="A163" s="3226" t="s">
        <v>29</v>
      </c>
      <c r="B163" s="3226" t="s">
        <v>3000</v>
      </c>
      <c r="C163" s="3226">
        <v>9320</v>
      </c>
      <c r="D163" s="3226">
        <v>9270</v>
      </c>
      <c r="E163" s="3226">
        <v>11790</v>
      </c>
      <c r="F163" s="3226">
        <v>1920</v>
      </c>
      <c r="G163" s="3226">
        <v>5960</v>
      </c>
    </row>
    <row r="164" spans="1:7" s="3215" customFormat="1" ht="14.25" customHeight="1">
      <c r="A164" s="3226" t="s">
        <v>29</v>
      </c>
      <c r="B164" s="3226" t="s">
        <v>3005</v>
      </c>
      <c r="C164" s="3226"/>
      <c r="D164" s="3226"/>
      <c r="E164" s="3226"/>
      <c r="F164" s="3226">
        <v>1980</v>
      </c>
      <c r="G164" s="3226"/>
    </row>
    <row r="165" spans="1:7" s="3215" customFormat="1" ht="14.25" customHeight="1">
      <c r="A165" s="3226" t="s">
        <v>29</v>
      </c>
      <c r="B165" s="3226" t="s">
        <v>3075</v>
      </c>
      <c r="C165" s="3226">
        <v>11060</v>
      </c>
      <c r="D165" s="3226">
        <v>11030</v>
      </c>
      <c r="E165" s="3226">
        <v>13850</v>
      </c>
      <c r="F165" s="3226">
        <v>2170</v>
      </c>
      <c r="G165" s="3226">
        <v>7090</v>
      </c>
    </row>
    <row r="166" spans="1:7" s="3215" customFormat="1" ht="14.25" customHeight="1">
      <c r="A166" s="3226" t="s">
        <v>29</v>
      </c>
      <c r="B166" s="3226" t="s">
        <v>3015</v>
      </c>
      <c r="C166" s="3226">
        <v>11050</v>
      </c>
      <c r="D166" s="3226">
        <v>11010</v>
      </c>
      <c r="E166" s="3226">
        <v>13920</v>
      </c>
      <c r="F166" s="3226">
        <v>2140</v>
      </c>
      <c r="G166" s="3226">
        <v>7080</v>
      </c>
    </row>
    <row r="167" spans="1:7" s="3215" customFormat="1" ht="14.25" customHeight="1">
      <c r="A167" s="3226" t="s">
        <v>29</v>
      </c>
      <c r="B167" s="3226" t="s">
        <v>3019</v>
      </c>
      <c r="C167" s="3226">
        <v>10930</v>
      </c>
      <c r="D167" s="3226">
        <v>10890</v>
      </c>
      <c r="E167" s="3226">
        <v>13790</v>
      </c>
      <c r="F167" s="3226">
        <v>2010</v>
      </c>
      <c r="G167" s="3226">
        <v>7000</v>
      </c>
    </row>
    <row r="168" spans="1:7" s="3215" customFormat="1" ht="14.25" customHeight="1">
      <c r="A168" s="3226" t="s">
        <v>29</v>
      </c>
      <c r="B168" s="3226" t="s">
        <v>3024</v>
      </c>
      <c r="C168" s="3226">
        <v>9420</v>
      </c>
      <c r="D168" s="3226">
        <v>9380</v>
      </c>
      <c r="E168" s="3226">
        <v>11970</v>
      </c>
      <c r="F168" s="3226"/>
      <c r="G168" s="3226">
        <v>6040</v>
      </c>
    </row>
    <row r="169" spans="1:7" s="3215" customFormat="1" ht="14.25" customHeight="1">
      <c r="A169" s="3226" t="s">
        <v>29</v>
      </c>
      <c r="B169" s="3226" t="s">
        <v>3076</v>
      </c>
      <c r="C169" s="3226"/>
      <c r="D169" s="3226"/>
      <c r="E169" s="3226"/>
      <c r="F169" s="3226">
        <v>2880</v>
      </c>
      <c r="G169" s="3226"/>
    </row>
    <row r="170" spans="1:7" s="3215" customFormat="1" ht="14.25" customHeight="1">
      <c r="A170" s="3226" t="s">
        <v>29</v>
      </c>
      <c r="B170" s="3226" t="s">
        <v>3032</v>
      </c>
      <c r="C170" s="3226"/>
      <c r="D170" s="3226"/>
      <c r="E170" s="3226"/>
      <c r="F170" s="3226">
        <v>2880</v>
      </c>
      <c r="G170" s="3226"/>
    </row>
    <row r="171" spans="1:7" s="3215" customFormat="1" ht="14.25" customHeight="1">
      <c r="A171" s="3226" t="s">
        <v>29</v>
      </c>
      <c r="B171" s="3226" t="s">
        <v>3035</v>
      </c>
      <c r="C171" s="3226"/>
      <c r="D171" s="3226"/>
      <c r="E171" s="3226"/>
      <c r="F171" s="3226">
        <v>2880</v>
      </c>
      <c r="G171" s="3226"/>
    </row>
    <row r="172" spans="1:7" s="3215" customFormat="1" ht="14.25" customHeight="1">
      <c r="A172" s="3226" t="s">
        <v>29</v>
      </c>
      <c r="B172" s="3226" t="s">
        <v>3037</v>
      </c>
      <c r="C172" s="3226"/>
      <c r="D172" s="3226"/>
      <c r="E172" s="3226"/>
      <c r="F172" s="3226">
        <v>2880</v>
      </c>
      <c r="G172" s="3226"/>
    </row>
    <row r="173" spans="1:7" s="3215" customFormat="1" ht="14.25" customHeight="1">
      <c r="A173" s="3226" t="s">
        <v>29</v>
      </c>
      <c r="B173" s="3226" t="s">
        <v>3039</v>
      </c>
      <c r="C173" s="3226"/>
      <c r="D173" s="3226"/>
      <c r="E173" s="3226"/>
      <c r="F173" s="3226">
        <v>2150</v>
      </c>
      <c r="G173" s="3226"/>
    </row>
    <row r="174" spans="1:7" s="3215" customFormat="1" ht="14.25" customHeight="1">
      <c r="A174" s="3226" t="s">
        <v>29</v>
      </c>
      <c r="B174" s="3226" t="s">
        <v>3041</v>
      </c>
      <c r="C174" s="3226"/>
      <c r="D174" s="3226"/>
      <c r="E174" s="3226"/>
      <c r="F174" s="3226">
        <v>2030</v>
      </c>
      <c r="G174" s="3226"/>
    </row>
    <row r="175" spans="1:7" s="3215" customFormat="1" ht="14.25" customHeight="1">
      <c r="A175" s="3226" t="s">
        <v>29</v>
      </c>
      <c r="B175" s="3226" t="s">
        <v>3043</v>
      </c>
      <c r="C175" s="3226"/>
      <c r="D175" s="3226"/>
      <c r="E175" s="3226"/>
      <c r="F175" s="3226">
        <v>2780</v>
      </c>
      <c r="G175" s="3226"/>
    </row>
    <row r="176" spans="1:7" s="3215" customFormat="1" ht="14.25" customHeight="1">
      <c r="A176" s="3226" t="s">
        <v>29</v>
      </c>
      <c r="B176" s="3226" t="s">
        <v>3045</v>
      </c>
      <c r="C176" s="3226"/>
      <c r="D176" s="3226"/>
      <c r="E176" s="3226"/>
      <c r="F176" s="3226">
        <v>2780</v>
      </c>
      <c r="G176" s="3226"/>
    </row>
    <row r="177" spans="1:7" s="3215" customFormat="1" ht="14.25" customHeight="1">
      <c r="A177" s="3226" t="s">
        <v>29</v>
      </c>
      <c r="B177" s="3226" t="s">
        <v>3077</v>
      </c>
      <c r="C177" s="3226"/>
      <c r="D177" s="3226"/>
      <c r="E177" s="3226"/>
      <c r="F177" s="3226">
        <v>2780</v>
      </c>
      <c r="G177" s="3226"/>
    </row>
    <row r="178" spans="1:7" s="3215" customFormat="1" ht="14.25" customHeight="1">
      <c r="A178" s="3226" t="s">
        <v>29</v>
      </c>
      <c r="B178" s="3226" t="s">
        <v>3078</v>
      </c>
      <c r="C178" s="3226"/>
      <c r="D178" s="3226"/>
      <c r="E178" s="3226"/>
      <c r="F178" s="3226">
        <v>2060</v>
      </c>
      <c r="G178" s="3226"/>
    </row>
    <row r="179" spans="1:7" s="3215" customFormat="1" ht="14.25" customHeight="1">
      <c r="A179" s="3226" t="s">
        <v>29</v>
      </c>
      <c r="B179" s="3226" t="s">
        <v>3079</v>
      </c>
      <c r="C179" s="3226"/>
      <c r="D179" s="3226"/>
      <c r="E179" s="3226"/>
      <c r="F179" s="3226">
        <v>2120</v>
      </c>
      <c r="G179" s="3226"/>
    </row>
    <row r="180" spans="1:7" s="3215" customFormat="1" ht="14.25" customHeight="1">
      <c r="A180" s="3226" t="s">
        <v>29</v>
      </c>
      <c r="B180" s="3226" t="s">
        <v>3051</v>
      </c>
      <c r="C180" s="3226"/>
      <c r="D180" s="3226"/>
      <c r="E180" s="3226"/>
      <c r="F180" s="3226">
        <v>2340</v>
      </c>
      <c r="G180" s="3226"/>
    </row>
    <row r="181" spans="1:7" s="3215" customFormat="1" ht="14.25" customHeight="1">
      <c r="A181" s="3226" t="s">
        <v>29</v>
      </c>
      <c r="B181" s="3226" t="s">
        <v>3052</v>
      </c>
      <c r="C181" s="3226"/>
      <c r="D181" s="3226"/>
      <c r="E181" s="3226"/>
      <c r="F181" s="3226">
        <v>2340</v>
      </c>
      <c r="G181" s="3226"/>
    </row>
    <row r="182" spans="1:7" s="3215" customFormat="1" ht="14.25" customHeight="1">
      <c r="A182" s="3226" t="s">
        <v>29</v>
      </c>
      <c r="B182" s="3226" t="s">
        <v>3053</v>
      </c>
      <c r="C182" s="3226"/>
      <c r="D182" s="3226"/>
      <c r="E182" s="3226"/>
      <c r="F182" s="3226">
        <v>2340</v>
      </c>
      <c r="G182" s="3226"/>
    </row>
    <row r="183" spans="1:7" s="3215" customFormat="1" ht="14.25" customHeight="1">
      <c r="A183" s="3226" t="s">
        <v>29</v>
      </c>
      <c r="B183" s="3226" t="s">
        <v>3054</v>
      </c>
      <c r="C183" s="3226"/>
      <c r="D183" s="3226"/>
      <c r="E183" s="3226"/>
      <c r="F183" s="3226">
        <v>2340</v>
      </c>
      <c r="G183" s="3226"/>
    </row>
    <row r="184" spans="1:7" s="3215" customFormat="1" ht="14.25" customHeight="1">
      <c r="A184" s="3226" t="s">
        <v>29</v>
      </c>
      <c r="B184" s="3226" t="s">
        <v>3055</v>
      </c>
      <c r="C184" s="3226"/>
      <c r="D184" s="3226"/>
      <c r="E184" s="3226"/>
      <c r="F184" s="3226">
        <v>2340</v>
      </c>
      <c r="G184" s="3226"/>
    </row>
    <row r="185" spans="1:7" s="3215" customFormat="1" ht="14.25" customHeight="1">
      <c r="A185" s="3226" t="s">
        <v>29</v>
      </c>
      <c r="B185" s="3226" t="s">
        <v>3056</v>
      </c>
      <c r="C185" s="3226"/>
      <c r="D185" s="3226"/>
      <c r="E185" s="3226"/>
      <c r="F185" s="3226">
        <v>2530</v>
      </c>
      <c r="G185" s="3226"/>
    </row>
    <row r="186" spans="1:7" s="3215" customFormat="1" ht="14.25" customHeight="1">
      <c r="A186" s="3226" t="s">
        <v>29</v>
      </c>
      <c r="B186" s="3226" t="s">
        <v>3057</v>
      </c>
      <c r="C186" s="3226"/>
      <c r="D186" s="3226"/>
      <c r="E186" s="3226"/>
      <c r="F186" s="3226">
        <v>2550</v>
      </c>
      <c r="G186" s="3226"/>
    </row>
    <row r="187" spans="1:7" s="3215" customFormat="1" ht="14.25" customHeight="1">
      <c r="A187" s="3226" t="s">
        <v>29</v>
      </c>
      <c r="B187" s="3226" t="s">
        <v>3058</v>
      </c>
      <c r="C187" s="3226"/>
      <c r="D187" s="3226"/>
      <c r="E187" s="3226"/>
      <c r="F187" s="3226">
        <v>2070</v>
      </c>
      <c r="G187" s="3226"/>
    </row>
    <row r="188" spans="1:7" s="3215" customFormat="1" ht="14.25" customHeight="1">
      <c r="A188" s="3226" t="s">
        <v>29</v>
      </c>
      <c r="B188" s="3226" t="s">
        <v>3059</v>
      </c>
      <c r="C188" s="3226"/>
      <c r="D188" s="3226"/>
      <c r="E188" s="3226"/>
      <c r="F188" s="3226">
        <v>2340</v>
      </c>
      <c r="G188" s="3226"/>
    </row>
    <row r="189" spans="1:7" s="3215" customFormat="1" ht="14.25" customHeight="1" thickBot="1">
      <c r="A189" s="3234" t="s">
        <v>29</v>
      </c>
      <c r="B189" s="3237" t="s">
        <v>3060</v>
      </c>
      <c r="C189" s="3237"/>
      <c r="D189" s="3237"/>
      <c r="E189" s="3237"/>
      <c r="F189" s="3237">
        <v>2050</v>
      </c>
      <c r="G189" s="3237"/>
    </row>
    <row r="190" spans="1:7" s="3215" customFormat="1" ht="14.25" customHeight="1">
      <c r="A190" s="3231" t="s">
        <v>304</v>
      </c>
      <c r="B190" s="3222" t="s">
        <v>3080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3081</v>
      </c>
      <c r="C199" s="3226">
        <v>8690</v>
      </c>
      <c r="D199" s="3226">
        <v>8630</v>
      </c>
      <c r="E199" s="3226">
        <v>11350</v>
      </c>
      <c r="F199" s="3226">
        <v>1600</v>
      </c>
      <c r="G199" s="3239">
        <v>5450</v>
      </c>
    </row>
    <row r="200" spans="1:7" s="3215" customFormat="1" ht="14.25" customHeight="1">
      <c r="A200" s="3226" t="s">
        <v>304</v>
      </c>
      <c r="B200" s="3226" t="s">
        <v>2892</v>
      </c>
      <c r="C200" s="3226"/>
      <c r="D200" s="3226"/>
      <c r="E200" s="3226"/>
      <c r="F200" s="3226">
        <v>1510</v>
      </c>
      <c r="G200" s="3239"/>
    </row>
    <row r="201" spans="1:7" s="3215" customFormat="1" ht="14.25" customHeight="1">
      <c r="A201" s="3226" t="s">
        <v>304</v>
      </c>
      <c r="B201" s="3226" t="s">
        <v>3082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3083</v>
      </c>
      <c r="C203" s="3226">
        <v>8130</v>
      </c>
      <c r="D203" s="3226">
        <v>8070</v>
      </c>
      <c r="E203" s="3226">
        <v>10820</v>
      </c>
      <c r="F203" s="3226">
        <v>1690</v>
      </c>
      <c r="G203" s="3239">
        <v>5100</v>
      </c>
    </row>
    <row r="204" spans="1:7" s="3215" customFormat="1" ht="14.25" customHeight="1">
      <c r="A204" s="3226" t="s">
        <v>304</v>
      </c>
      <c r="B204" s="3226" t="s">
        <v>2903</v>
      </c>
      <c r="C204" s="3226">
        <v>8350</v>
      </c>
      <c r="D204" s="3226">
        <v>8290</v>
      </c>
      <c r="E204" s="3226">
        <v>11080</v>
      </c>
      <c r="F204" s="3226">
        <v>1450</v>
      </c>
      <c r="G204" s="3239">
        <v>5240</v>
      </c>
    </row>
    <row r="205" spans="1:7" s="3215" customFormat="1" ht="14.25" customHeight="1">
      <c r="A205" s="3226" t="s">
        <v>304</v>
      </c>
      <c r="B205" s="3226" t="s">
        <v>2905</v>
      </c>
      <c r="C205" s="3226">
        <v>7190</v>
      </c>
      <c r="D205" s="3226">
        <v>7130</v>
      </c>
      <c r="E205" s="3226">
        <v>9490</v>
      </c>
      <c r="F205" s="3226">
        <v>1470</v>
      </c>
      <c r="G205" s="3239">
        <v>4510</v>
      </c>
    </row>
    <row r="206" spans="1:7" s="3215" customFormat="1" ht="14.25" customHeight="1">
      <c r="A206" s="3226" t="s">
        <v>304</v>
      </c>
      <c r="B206" s="3226" t="s">
        <v>2908</v>
      </c>
      <c r="C206" s="3226">
        <v>7000</v>
      </c>
      <c r="D206" s="3226">
        <v>6950</v>
      </c>
      <c r="E206" s="3226">
        <v>9170</v>
      </c>
      <c r="F206" s="3226">
        <v>1400</v>
      </c>
      <c r="G206" s="3239">
        <v>4380</v>
      </c>
    </row>
    <row r="207" spans="1:7" s="3215" customFormat="1" ht="14.25" customHeight="1">
      <c r="A207" s="3226" t="s">
        <v>304</v>
      </c>
      <c r="B207" s="3226" t="s">
        <v>2910</v>
      </c>
      <c r="C207" s="3226">
        <v>6950</v>
      </c>
      <c r="D207" s="3226">
        <v>6900</v>
      </c>
      <c r="E207" s="3226">
        <v>9110</v>
      </c>
      <c r="F207" s="3226">
        <v>1790</v>
      </c>
      <c r="G207" s="3239">
        <v>4360</v>
      </c>
    </row>
    <row r="208" spans="1:7" s="3215" customFormat="1" ht="14.25" customHeight="1">
      <c r="A208" s="3226" t="s">
        <v>304</v>
      </c>
      <c r="B208" s="3226" t="s">
        <v>3084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2920</v>
      </c>
      <c r="C210" s="3226">
        <v>8710</v>
      </c>
      <c r="D210" s="3226">
        <v>8660</v>
      </c>
      <c r="E210" s="3226">
        <v>11440</v>
      </c>
      <c r="F210" s="3226">
        <v>1740</v>
      </c>
      <c r="G210" s="3239">
        <v>5470</v>
      </c>
    </row>
    <row r="211" spans="1:7" s="3215" customFormat="1" ht="14.25" customHeight="1">
      <c r="A211" s="3226" t="s">
        <v>304</v>
      </c>
      <c r="B211" s="3226" t="s">
        <v>3085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3086</v>
      </c>
      <c r="C214" s="3226">
        <v>8090</v>
      </c>
      <c r="D214" s="3226">
        <v>8030</v>
      </c>
      <c r="E214" s="3226">
        <v>10780</v>
      </c>
      <c r="F214" s="3226">
        <v>1570</v>
      </c>
      <c r="G214" s="3239">
        <v>5070</v>
      </c>
    </row>
    <row r="215" spans="1:7" s="3215" customFormat="1" ht="14.25" customHeight="1">
      <c r="A215" s="3226" t="s">
        <v>304</v>
      </c>
      <c r="B215" s="3226" t="s">
        <v>3087</v>
      </c>
      <c r="C215" s="3226">
        <v>7950</v>
      </c>
      <c r="D215" s="3226">
        <v>7900</v>
      </c>
      <c r="E215" s="3226">
        <v>10560</v>
      </c>
      <c r="F215" s="3226">
        <v>1630</v>
      </c>
      <c r="G215" s="3239">
        <v>4990</v>
      </c>
    </row>
    <row r="216" spans="1:7" s="3215" customFormat="1" ht="14.25" customHeight="1">
      <c r="A216" s="3226" t="s">
        <v>304</v>
      </c>
      <c r="B216" s="3226" t="s">
        <v>3088</v>
      </c>
      <c r="C216" s="3226">
        <v>8490</v>
      </c>
      <c r="D216" s="3226">
        <v>8440</v>
      </c>
      <c r="E216" s="3226">
        <v>11260</v>
      </c>
      <c r="F216" s="3226">
        <v>1690</v>
      </c>
      <c r="G216" s="3239">
        <v>5330</v>
      </c>
    </row>
    <row r="217" spans="1:7" s="3215" customFormat="1" ht="14.25" customHeight="1">
      <c r="A217" s="3226" t="s">
        <v>304</v>
      </c>
      <c r="B217" s="3226" t="s">
        <v>2953</v>
      </c>
      <c r="C217" s="3226">
        <v>8200</v>
      </c>
      <c r="D217" s="3226">
        <v>8150</v>
      </c>
      <c r="E217" s="3226">
        <v>10910</v>
      </c>
      <c r="F217" s="3226">
        <v>1670</v>
      </c>
      <c r="G217" s="3239">
        <v>5150</v>
      </c>
    </row>
    <row r="218" spans="1:7" s="3215" customFormat="1" ht="14.25" customHeight="1">
      <c r="A218" s="3226" t="s">
        <v>304</v>
      </c>
      <c r="B218" s="3226" t="s">
        <v>3089</v>
      </c>
      <c r="C218" s="3226"/>
      <c r="D218" s="3226"/>
      <c r="E218" s="3226"/>
      <c r="F218" s="3226">
        <v>2040</v>
      </c>
      <c r="G218" s="3239"/>
    </row>
    <row r="219" spans="1:7" s="3215" customFormat="1" ht="14.25" customHeight="1">
      <c r="A219" s="3226" t="s">
        <v>304</v>
      </c>
      <c r="B219" s="3226" t="s">
        <v>3090</v>
      </c>
      <c r="C219" s="3226"/>
      <c r="D219" s="3226"/>
      <c r="E219" s="3226"/>
      <c r="F219" s="3226">
        <v>2040</v>
      </c>
      <c r="G219" s="3239"/>
    </row>
    <row r="220" spans="1:7" s="3215" customFormat="1" ht="14.25" customHeight="1">
      <c r="A220" s="3226" t="s">
        <v>304</v>
      </c>
      <c r="B220" s="3226" t="s">
        <v>3091</v>
      </c>
      <c r="C220" s="3226"/>
      <c r="D220" s="3226"/>
      <c r="E220" s="3226"/>
      <c r="F220" s="3226">
        <v>2040</v>
      </c>
      <c r="G220" s="3239"/>
    </row>
    <row r="221" spans="1:7" s="3215" customFormat="1" ht="14.25" customHeight="1">
      <c r="A221" s="3226" t="s">
        <v>304</v>
      </c>
      <c r="B221" s="3226" t="s">
        <v>3092</v>
      </c>
      <c r="C221" s="3226"/>
      <c r="D221" s="3226"/>
      <c r="E221" s="3226"/>
      <c r="F221" s="3226">
        <v>2040</v>
      </c>
      <c r="G221" s="3239"/>
    </row>
    <row r="222" spans="1:7" s="3215" customFormat="1" ht="14.25" customHeight="1">
      <c r="A222" s="3226" t="s">
        <v>304</v>
      </c>
      <c r="B222" s="3226" t="s">
        <v>3093</v>
      </c>
      <c r="C222" s="3226"/>
      <c r="D222" s="3226"/>
      <c r="E222" s="3226"/>
      <c r="F222" s="3226">
        <v>2040</v>
      </c>
      <c r="G222" s="3239"/>
    </row>
    <row r="223" spans="1:7" s="3215" customFormat="1" ht="14.25" customHeight="1">
      <c r="A223" s="3226" t="s">
        <v>304</v>
      </c>
      <c r="B223" s="3226" t="s">
        <v>3094</v>
      </c>
      <c r="C223" s="3226"/>
      <c r="D223" s="3226"/>
      <c r="E223" s="3226"/>
      <c r="F223" s="3226">
        <v>1930</v>
      </c>
      <c r="G223" s="3239"/>
    </row>
    <row r="224" spans="1:7" s="3215" customFormat="1" ht="14.25" customHeight="1">
      <c r="A224" s="3226" t="s">
        <v>304</v>
      </c>
      <c r="B224" s="3226" t="s">
        <v>3095</v>
      </c>
      <c r="C224" s="3226"/>
      <c r="D224" s="3226"/>
      <c r="E224" s="3226"/>
      <c r="F224" s="3226">
        <v>1930</v>
      </c>
      <c r="G224" s="3239"/>
    </row>
    <row r="225" spans="1:7" s="3215" customFormat="1" ht="14.25" customHeight="1">
      <c r="A225" s="3226" t="s">
        <v>304</v>
      </c>
      <c r="B225" s="3226" t="s">
        <v>3096</v>
      </c>
      <c r="C225" s="3226"/>
      <c r="D225" s="3226"/>
      <c r="E225" s="3226"/>
      <c r="F225" s="3226">
        <v>1930</v>
      </c>
      <c r="G225" s="3239"/>
    </row>
    <row r="226" spans="1:7" s="3215" customFormat="1" ht="14.25" customHeight="1">
      <c r="A226" s="3226" t="s">
        <v>304</v>
      </c>
      <c r="B226" s="3226" t="s">
        <v>3097</v>
      </c>
      <c r="C226" s="3226"/>
      <c r="D226" s="3226"/>
      <c r="E226" s="3226"/>
      <c r="F226" s="3226">
        <v>1700</v>
      </c>
      <c r="G226" s="3239"/>
    </row>
    <row r="227" spans="1:7" s="3215" customFormat="1" ht="14.25" customHeight="1">
      <c r="A227" s="3226" t="s">
        <v>304</v>
      </c>
      <c r="B227" s="3226" t="s">
        <v>3098</v>
      </c>
      <c r="C227" s="3226"/>
      <c r="D227" s="3226"/>
      <c r="E227" s="3226"/>
      <c r="F227" s="3226">
        <v>1520</v>
      </c>
      <c r="G227" s="3239"/>
    </row>
    <row r="228" spans="1:7" s="3215" customFormat="1" ht="14.25" customHeight="1">
      <c r="A228" s="3226" t="s">
        <v>304</v>
      </c>
      <c r="B228" s="3226" t="s">
        <v>3099</v>
      </c>
      <c r="C228" s="3226"/>
      <c r="D228" s="3226"/>
      <c r="E228" s="3226"/>
      <c r="F228" s="3226">
        <v>1520</v>
      </c>
      <c r="G228" s="3239"/>
    </row>
    <row r="229" spans="1:7" s="3215" customFormat="1" ht="14.25" customHeight="1">
      <c r="A229" s="3226" t="s">
        <v>304</v>
      </c>
      <c r="B229" s="3226" t="s">
        <v>3016</v>
      </c>
      <c r="C229" s="3226"/>
      <c r="D229" s="3226"/>
      <c r="E229" s="3226"/>
      <c r="F229" s="3226">
        <v>1520</v>
      </c>
      <c r="G229" s="3239"/>
    </row>
    <row r="230" spans="1:7" s="3215" customFormat="1" ht="14.25" customHeight="1">
      <c r="A230" s="3226" t="s">
        <v>304</v>
      </c>
      <c r="B230" s="3226" t="s">
        <v>3100</v>
      </c>
      <c r="C230" s="3226"/>
      <c r="D230" s="3226"/>
      <c r="E230" s="3226"/>
      <c r="F230" s="3226">
        <v>1820</v>
      </c>
      <c r="G230" s="3239"/>
    </row>
    <row r="231" spans="1:7" s="3215" customFormat="1" ht="14.25" customHeight="1">
      <c r="A231" s="3226" t="s">
        <v>304</v>
      </c>
      <c r="B231" s="3226" t="s">
        <v>3101</v>
      </c>
      <c r="C231" s="3226"/>
      <c r="D231" s="3226"/>
      <c r="E231" s="3226"/>
      <c r="F231" s="3226">
        <v>1760</v>
      </c>
      <c r="G231" s="3239"/>
    </row>
    <row r="232" spans="1:7" s="3215" customFormat="1" ht="14.25" customHeight="1">
      <c r="A232" s="3226" t="s">
        <v>304</v>
      </c>
      <c r="B232" s="3226" t="s">
        <v>3102</v>
      </c>
      <c r="C232" s="3226"/>
      <c r="D232" s="3226"/>
      <c r="E232" s="3226"/>
      <c r="F232" s="3226">
        <v>1840</v>
      </c>
      <c r="G232" s="3239"/>
    </row>
    <row r="233" spans="1:7" s="3215" customFormat="1" ht="14.25" customHeight="1" thickBot="1">
      <c r="A233" s="3240" t="s">
        <v>304</v>
      </c>
      <c r="B233" s="3233" t="s">
        <v>3033</v>
      </c>
      <c r="C233" s="3233"/>
      <c r="D233" s="3233"/>
      <c r="E233" s="3233"/>
      <c r="F233" s="3233">
        <v>1770</v>
      </c>
      <c r="G233" s="3241"/>
    </row>
    <row r="234" spans="1:7" s="3215" customFormat="1" ht="14.25" customHeight="1">
      <c r="A234" s="3231" t="s">
        <v>305</v>
      </c>
      <c r="B234" s="3222" t="s">
        <v>3103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2874</v>
      </c>
      <c r="C238" s="3226">
        <v>6920</v>
      </c>
      <c r="D238" s="3226">
        <v>6890</v>
      </c>
      <c r="E238" s="3226">
        <v>8640</v>
      </c>
      <c r="F238" s="3226">
        <v>1310</v>
      </c>
      <c r="G238" s="3226">
        <v>4230</v>
      </c>
    </row>
    <row r="239" spans="1:7" s="3215" customFormat="1" ht="14.25" customHeight="1">
      <c r="A239" s="3226" t="s">
        <v>305</v>
      </c>
      <c r="B239" s="3226" t="s">
        <v>3104</v>
      </c>
      <c r="C239" s="3226">
        <v>6780</v>
      </c>
      <c r="D239" s="3226">
        <v>6750</v>
      </c>
      <c r="E239" s="3226">
        <v>8440</v>
      </c>
      <c r="F239" s="3226">
        <v>1160</v>
      </c>
      <c r="G239" s="3226">
        <v>4140</v>
      </c>
    </row>
    <row r="240" spans="1:7" s="3215" customFormat="1" ht="14.25" customHeight="1">
      <c r="A240" s="3226" t="s">
        <v>305</v>
      </c>
      <c r="B240" s="3226" t="s">
        <v>3105</v>
      </c>
      <c r="C240" s="3226">
        <v>5420</v>
      </c>
      <c r="D240" s="3226">
        <v>5380</v>
      </c>
      <c r="E240" s="3226">
        <v>6640</v>
      </c>
      <c r="F240" s="3226">
        <v>1020</v>
      </c>
      <c r="G240" s="3226">
        <v>3300</v>
      </c>
    </row>
    <row r="241" spans="1:7" s="3215" customFormat="1" ht="14.25" customHeight="1">
      <c r="A241" s="3226" t="s">
        <v>305</v>
      </c>
      <c r="B241" s="3226" t="s">
        <v>3106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2936</v>
      </c>
      <c r="C258" s="3226">
        <v>6190</v>
      </c>
      <c r="D258" s="3226">
        <v>6160</v>
      </c>
      <c r="E258" s="3226">
        <v>7680</v>
      </c>
      <c r="F258" s="3226">
        <v>1170</v>
      </c>
      <c r="G258" s="3226">
        <v>3780</v>
      </c>
    </row>
    <row r="259" spans="1:7" s="3215" customFormat="1" ht="14.25" customHeight="1">
      <c r="A259" s="3226" t="s">
        <v>305</v>
      </c>
      <c r="B259" s="3226" t="s">
        <v>3112</v>
      </c>
      <c r="C259" s="3226">
        <v>7610</v>
      </c>
      <c r="D259" s="3226">
        <v>7570</v>
      </c>
      <c r="E259" s="3226">
        <v>9350</v>
      </c>
      <c r="F259" s="3226">
        <v>1350</v>
      </c>
      <c r="G259" s="3226">
        <v>4650</v>
      </c>
    </row>
    <row r="260" spans="1:7" s="3215" customFormat="1" ht="14.25" customHeight="1">
      <c r="A260" s="3226" t="s">
        <v>305</v>
      </c>
      <c r="B260" s="3226" t="s">
        <v>3113</v>
      </c>
      <c r="C260" s="3226">
        <v>6920</v>
      </c>
      <c r="D260" s="3226">
        <v>6880</v>
      </c>
      <c r="E260" s="3226">
        <v>8380</v>
      </c>
      <c r="F260" s="3226">
        <v>1160</v>
      </c>
      <c r="G260" s="3226">
        <v>4220</v>
      </c>
    </row>
    <row r="261" spans="1:7" s="3215" customFormat="1" ht="14.25" customHeight="1">
      <c r="A261" s="3226" t="s">
        <v>305</v>
      </c>
      <c r="B261" s="3226" t="s">
        <v>3114</v>
      </c>
      <c r="C261" s="3226">
        <v>6850</v>
      </c>
      <c r="D261" s="3226">
        <v>6810</v>
      </c>
      <c r="E261" s="3226">
        <v>8290</v>
      </c>
      <c r="F261" s="3226">
        <v>1130</v>
      </c>
      <c r="G261" s="3226">
        <v>4180</v>
      </c>
    </row>
    <row r="262" spans="1:7" s="3215" customFormat="1" ht="14.25" customHeight="1">
      <c r="A262" s="3226" t="s">
        <v>305</v>
      </c>
      <c r="B262" s="3226" t="s">
        <v>3115</v>
      </c>
      <c r="C262" s="3226">
        <v>5860</v>
      </c>
      <c r="D262" s="3226">
        <v>5820</v>
      </c>
      <c r="E262" s="3226">
        <v>7640</v>
      </c>
      <c r="F262" s="3226">
        <v>1070</v>
      </c>
      <c r="G262" s="3226">
        <v>3570</v>
      </c>
    </row>
    <row r="263" spans="1:7" s="3215" customFormat="1" ht="14.25" customHeight="1">
      <c r="A263" s="3226" t="s">
        <v>305</v>
      </c>
      <c r="B263" s="3226" t="s">
        <v>3116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3117</v>
      </c>
      <c r="C265" s="3226"/>
      <c r="D265" s="3226"/>
      <c r="E265" s="3226"/>
      <c r="F265" s="3226">
        <v>1500</v>
      </c>
      <c r="G265" s="3226"/>
    </row>
    <row r="266" spans="1:7" s="3215" customFormat="1" ht="14.25" customHeight="1">
      <c r="A266" s="3226" t="s">
        <v>305</v>
      </c>
      <c r="B266" s="3226" t="s">
        <v>3118</v>
      </c>
      <c r="C266" s="3226"/>
      <c r="D266" s="3226"/>
      <c r="E266" s="3226"/>
      <c r="F266" s="3226">
        <v>1500</v>
      </c>
      <c r="G266" s="3226"/>
    </row>
    <row r="267" spans="1:7" s="3215" customFormat="1" ht="14.25" customHeight="1">
      <c r="A267" s="3226" t="s">
        <v>305</v>
      </c>
      <c r="B267" s="3226" t="s">
        <v>3119</v>
      </c>
      <c r="C267" s="3226"/>
      <c r="D267" s="3226"/>
      <c r="E267" s="3226"/>
      <c r="F267" s="3226">
        <v>1500</v>
      </c>
      <c r="G267" s="3226"/>
    </row>
    <row r="268" spans="1:7" s="3215" customFormat="1" ht="14.25" customHeight="1">
      <c r="A268" s="3226" t="s">
        <v>305</v>
      </c>
      <c r="B268" s="3226" t="s">
        <v>3120</v>
      </c>
      <c r="C268" s="3226"/>
      <c r="D268" s="3226"/>
      <c r="E268" s="3226"/>
      <c r="F268" s="3226">
        <v>1290</v>
      </c>
      <c r="G268" s="3226"/>
    </row>
    <row r="269" spans="1:7" s="3215" customFormat="1" ht="14.25" customHeight="1">
      <c r="A269" s="3226" t="s">
        <v>305</v>
      </c>
      <c r="B269" s="3226" t="s">
        <v>3121</v>
      </c>
      <c r="C269" s="3226"/>
      <c r="D269" s="3226"/>
      <c r="E269" s="3226"/>
      <c r="F269" s="3226">
        <v>1150</v>
      </c>
      <c r="G269" s="3226"/>
    </row>
    <row r="270" spans="1:7" s="3215" customFormat="1" ht="14.25" customHeight="1">
      <c r="A270" s="3226" t="s">
        <v>305</v>
      </c>
      <c r="B270" s="3226" t="s">
        <v>3122</v>
      </c>
      <c r="C270" s="3226"/>
      <c r="D270" s="3226"/>
      <c r="E270" s="3226"/>
      <c r="F270" s="3226">
        <v>1380</v>
      </c>
      <c r="G270" s="3226"/>
    </row>
    <row r="271" spans="1:7" s="3215" customFormat="1" ht="14.25" customHeight="1">
      <c r="A271" s="3226" t="s">
        <v>305</v>
      </c>
      <c r="B271" s="3226" t="s">
        <v>3123</v>
      </c>
      <c r="C271" s="3226"/>
      <c r="D271" s="3226"/>
      <c r="E271" s="3226"/>
      <c r="F271" s="3226">
        <v>1460</v>
      </c>
      <c r="G271" s="3226"/>
    </row>
    <row r="272" spans="1:7" s="3215" customFormat="1" ht="14.25" customHeight="1">
      <c r="A272" s="3226" t="s">
        <v>305</v>
      </c>
      <c r="B272" s="3226" t="s">
        <v>3124</v>
      </c>
      <c r="C272" s="3226"/>
      <c r="D272" s="3226"/>
      <c r="E272" s="3226"/>
      <c r="F272" s="3226">
        <v>1460</v>
      </c>
      <c r="G272" s="3226"/>
    </row>
    <row r="273" spans="1:7" s="3215" customFormat="1" ht="14.25" customHeight="1">
      <c r="A273" s="3226" t="s">
        <v>305</v>
      </c>
      <c r="B273" s="3226" t="s">
        <v>3017</v>
      </c>
      <c r="C273" s="3226"/>
      <c r="D273" s="3226"/>
      <c r="E273" s="3226"/>
      <c r="F273" s="3226">
        <v>1490</v>
      </c>
      <c r="G273" s="3226"/>
    </row>
    <row r="274" spans="1:7" s="3215" customFormat="1" ht="14.25" customHeight="1">
      <c r="A274" s="3226" t="s">
        <v>305</v>
      </c>
      <c r="B274" s="3226" t="s">
        <v>3125</v>
      </c>
      <c r="C274" s="3226"/>
      <c r="D274" s="3226"/>
      <c r="E274" s="3226"/>
      <c r="F274" s="3226">
        <v>1490</v>
      </c>
      <c r="G274" s="3226"/>
    </row>
    <row r="275" spans="1:7" s="3215" customFormat="1" ht="14.25" customHeight="1">
      <c r="A275" s="3226" t="s">
        <v>305</v>
      </c>
      <c r="B275" s="3226" t="s">
        <v>3126</v>
      </c>
      <c r="C275" s="3226"/>
      <c r="D275" s="3226"/>
      <c r="E275" s="3226"/>
      <c r="F275" s="3226">
        <v>1220</v>
      </c>
      <c r="G275" s="3226"/>
    </row>
    <row r="276" spans="1:7" s="3215" customFormat="1" ht="14.25" customHeight="1" thickBot="1">
      <c r="A276" s="3234" t="s">
        <v>305</v>
      </c>
      <c r="B276" s="3236" t="s">
        <v>3127</v>
      </c>
      <c r="C276" s="3237"/>
      <c r="D276" s="3237"/>
      <c r="E276" s="3237"/>
      <c r="F276" s="3237">
        <v>1380</v>
      </c>
      <c r="G276" s="3237"/>
    </row>
    <row r="277" spans="1:7" s="3215" customFormat="1" ht="14.25" customHeight="1">
      <c r="A277" s="3231" t="s">
        <v>306</v>
      </c>
      <c r="B277" s="3222" t="s">
        <v>3128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3129</v>
      </c>
      <c r="C279" s="3226">
        <v>4760</v>
      </c>
      <c r="D279" s="3226">
        <v>4720</v>
      </c>
      <c r="E279" s="3226">
        <v>5540</v>
      </c>
      <c r="F279" s="3226">
        <v>810</v>
      </c>
      <c r="G279" s="3239">
        <v>2850</v>
      </c>
    </row>
    <row r="280" spans="1:7" s="3215" customFormat="1" ht="14.25" customHeight="1">
      <c r="A280" s="3226" t="s">
        <v>306</v>
      </c>
      <c r="B280" s="3226" t="s">
        <v>3130</v>
      </c>
      <c r="C280" s="3226">
        <v>4010</v>
      </c>
      <c r="D280" s="3226">
        <v>3950</v>
      </c>
      <c r="E280" s="3226">
        <v>4710</v>
      </c>
      <c r="F280" s="3226">
        <v>800</v>
      </c>
      <c r="G280" s="3239">
        <v>2390</v>
      </c>
    </row>
    <row r="281" spans="1:7" s="3215" customFormat="1" ht="14.25" customHeight="1">
      <c r="A281" s="3226" t="s">
        <v>306</v>
      </c>
      <c r="B281" s="3226" t="s">
        <v>3131</v>
      </c>
      <c r="C281" s="3226">
        <v>4480</v>
      </c>
      <c r="D281" s="3226">
        <v>4420</v>
      </c>
      <c r="E281" s="3226">
        <v>5230</v>
      </c>
      <c r="F281" s="3226">
        <v>870</v>
      </c>
      <c r="G281" s="3239">
        <v>2660</v>
      </c>
    </row>
    <row r="282" spans="1:7" s="3215" customFormat="1" ht="14.25" customHeight="1">
      <c r="A282" s="3226" t="s">
        <v>306</v>
      </c>
      <c r="B282" s="3226" t="s">
        <v>3132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2909</v>
      </c>
      <c r="C293" s="3226">
        <v>5320</v>
      </c>
      <c r="D293" s="3226">
        <v>5270</v>
      </c>
      <c r="E293" s="3226">
        <v>6160</v>
      </c>
      <c r="F293" s="3226">
        <v>990</v>
      </c>
      <c r="G293" s="3239">
        <v>3170</v>
      </c>
    </row>
    <row r="294" spans="1:7" s="3215" customFormat="1" ht="14.25" customHeight="1">
      <c r="A294" s="3226" t="s">
        <v>306</v>
      </c>
      <c r="B294" s="3226" t="s">
        <v>3135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3136</v>
      </c>
      <c r="C302" s="3226">
        <v>5520</v>
      </c>
      <c r="D302" s="3226">
        <v>5470</v>
      </c>
      <c r="E302" s="3226">
        <v>6410</v>
      </c>
      <c r="F302" s="3226">
        <v>950</v>
      </c>
      <c r="G302" s="3239">
        <v>3300</v>
      </c>
    </row>
    <row r="303" spans="1:7" s="3215" customFormat="1" ht="14.25" customHeight="1">
      <c r="A303" s="3226" t="s">
        <v>306</v>
      </c>
      <c r="B303" s="3226" t="s">
        <v>2948</v>
      </c>
      <c r="C303" s="3226">
        <v>5630</v>
      </c>
      <c r="D303" s="3226">
        <v>5590</v>
      </c>
      <c r="E303" s="3226">
        <v>6550</v>
      </c>
      <c r="F303" s="3226">
        <v>1010</v>
      </c>
      <c r="G303" s="3239">
        <v>3370</v>
      </c>
    </row>
    <row r="304" spans="1:7" s="3215" customFormat="1" ht="14.25" customHeight="1">
      <c r="A304" s="3226" t="s">
        <v>306</v>
      </c>
      <c r="B304" s="3226" t="s">
        <v>2955</v>
      </c>
      <c r="C304" s="3226">
        <v>5680</v>
      </c>
      <c r="D304" s="3226">
        <v>5620</v>
      </c>
      <c r="E304" s="3226">
        <v>6620</v>
      </c>
      <c r="F304" s="3226">
        <v>1050</v>
      </c>
      <c r="G304" s="3239">
        <v>3390</v>
      </c>
    </row>
    <row r="305" spans="1:7" s="3215" customFormat="1" ht="14.25" customHeight="1">
      <c r="A305" s="3226" t="s">
        <v>306</v>
      </c>
      <c r="B305" s="3226" t="s">
        <v>2961</v>
      </c>
      <c r="C305" s="3226">
        <v>5590</v>
      </c>
      <c r="D305" s="3226">
        <v>5530</v>
      </c>
      <c r="E305" s="3226">
        <v>6460</v>
      </c>
      <c r="F305" s="3226">
        <v>900</v>
      </c>
      <c r="G305" s="3239">
        <v>3340</v>
      </c>
    </row>
    <row r="306" spans="1:7" s="3215" customFormat="1" ht="14.25" customHeight="1">
      <c r="A306" s="3226" t="s">
        <v>306</v>
      </c>
      <c r="B306" s="3226" t="s">
        <v>3137</v>
      </c>
      <c r="C306" s="3226">
        <v>5560</v>
      </c>
      <c r="D306" s="3226">
        <v>5510</v>
      </c>
      <c r="E306" s="3226">
        <v>6440</v>
      </c>
      <c r="F306" s="3226">
        <v>900</v>
      </c>
      <c r="G306" s="3239">
        <v>3320</v>
      </c>
    </row>
    <row r="307" spans="1:7" s="3215" customFormat="1" ht="14.25" customHeight="1">
      <c r="A307" s="3226" t="s">
        <v>306</v>
      </c>
      <c r="B307" s="3226" t="s">
        <v>2973</v>
      </c>
      <c r="C307" s="3226">
        <v>5650</v>
      </c>
      <c r="D307" s="3226">
        <v>5600</v>
      </c>
      <c r="E307" s="3226">
        <v>6590</v>
      </c>
      <c r="F307" s="3226">
        <v>930</v>
      </c>
      <c r="G307" s="3239">
        <v>3380</v>
      </c>
    </row>
    <row r="308" spans="1:7" s="3215" customFormat="1" ht="14.25" customHeight="1">
      <c r="A308" s="3226" t="s">
        <v>306</v>
      </c>
      <c r="B308" s="3226" t="s">
        <v>3138</v>
      </c>
      <c r="C308" s="3226">
        <v>5620</v>
      </c>
      <c r="D308" s="3226">
        <v>5580</v>
      </c>
      <c r="E308" s="3226">
        <v>6540</v>
      </c>
      <c r="F308" s="3226">
        <v>910</v>
      </c>
      <c r="G308" s="3239">
        <v>3370</v>
      </c>
    </row>
    <row r="309" spans="1:7" s="3215" customFormat="1" ht="14.25" customHeight="1">
      <c r="A309" s="3226" t="s">
        <v>306</v>
      </c>
      <c r="B309" s="3226" t="s">
        <v>3139</v>
      </c>
      <c r="C309" s="3226">
        <v>5060</v>
      </c>
      <c r="D309" s="3226">
        <v>5020</v>
      </c>
      <c r="E309" s="3226">
        <v>6370</v>
      </c>
      <c r="F309" s="3226">
        <v>800</v>
      </c>
      <c r="G309" s="3239">
        <v>3020</v>
      </c>
    </row>
    <row r="310" spans="1:7" s="3215" customFormat="1" ht="14.25" customHeight="1">
      <c r="A310" s="3226" t="s">
        <v>306</v>
      </c>
      <c r="B310" s="3226" t="s">
        <v>2988</v>
      </c>
      <c r="C310" s="3226">
        <v>5150</v>
      </c>
      <c r="D310" s="3226">
        <v>5110</v>
      </c>
      <c r="E310" s="3226">
        <v>6500</v>
      </c>
      <c r="F310" s="3226">
        <v>880</v>
      </c>
      <c r="G310" s="3239">
        <v>3080</v>
      </c>
    </row>
    <row r="311" spans="1:7" s="3215" customFormat="1" ht="14.25" customHeight="1">
      <c r="A311" s="3226" t="s">
        <v>306</v>
      </c>
      <c r="B311" s="3226" t="s">
        <v>3140</v>
      </c>
      <c r="C311" s="3226">
        <v>4750</v>
      </c>
      <c r="D311" s="3226">
        <v>4710</v>
      </c>
      <c r="E311" s="3226">
        <v>5510</v>
      </c>
      <c r="F311" s="3226">
        <v>880</v>
      </c>
      <c r="G311" s="3239">
        <v>2840</v>
      </c>
    </row>
    <row r="312" spans="1:7" s="3215" customFormat="1" ht="14.25" customHeight="1">
      <c r="A312" s="3226" t="s">
        <v>306</v>
      </c>
      <c r="B312" s="3226" t="s">
        <v>2998</v>
      </c>
      <c r="C312" s="3226">
        <v>4690</v>
      </c>
      <c r="D312" s="3226">
        <v>4640</v>
      </c>
      <c r="E312" s="3226">
        <v>5420</v>
      </c>
      <c r="F312" s="3226">
        <v>800</v>
      </c>
      <c r="G312" s="3239">
        <v>2800</v>
      </c>
    </row>
    <row r="313" spans="1:7" s="3215" customFormat="1" ht="14.25" customHeight="1">
      <c r="A313" s="3226" t="s">
        <v>306</v>
      </c>
      <c r="B313" s="3226" t="s">
        <v>3003</v>
      </c>
      <c r="C313" s="3226">
        <v>4810</v>
      </c>
      <c r="D313" s="3226">
        <v>4760</v>
      </c>
      <c r="E313" s="3226">
        <v>5550</v>
      </c>
      <c r="F313" s="3226">
        <v>920</v>
      </c>
      <c r="G313" s="3239">
        <v>2870</v>
      </c>
    </row>
    <row r="314" spans="1:7" s="3215" customFormat="1" ht="14.25" customHeight="1">
      <c r="A314" s="3226" t="s">
        <v>306</v>
      </c>
      <c r="B314" s="3226" t="s">
        <v>3141</v>
      </c>
      <c r="C314" s="3226"/>
      <c r="D314" s="3226"/>
      <c r="E314" s="3226"/>
      <c r="F314" s="3226">
        <v>1020</v>
      </c>
      <c r="G314" s="3239"/>
    </row>
    <row r="315" spans="1:7" s="3215" customFormat="1" ht="14.25" customHeight="1">
      <c r="A315" s="3226" t="s">
        <v>306</v>
      </c>
      <c r="B315" s="3226" t="s">
        <v>3142</v>
      </c>
      <c r="C315" s="3226"/>
      <c r="D315" s="3226"/>
      <c r="E315" s="3226"/>
      <c r="F315" s="3226">
        <v>1050</v>
      </c>
      <c r="G315" s="3239"/>
    </row>
    <row r="316" spans="1:7" s="3215" customFormat="1" ht="14.25" customHeight="1">
      <c r="A316" s="3226" t="s">
        <v>306</v>
      </c>
      <c r="B316" s="3226" t="s">
        <v>3018</v>
      </c>
      <c r="C316" s="3226"/>
      <c r="D316" s="3226"/>
      <c r="E316" s="3226"/>
      <c r="F316" s="3226">
        <v>900</v>
      </c>
      <c r="G316" s="3239"/>
    </row>
    <row r="317" spans="1:7" s="3215" customFormat="1" ht="14.25" customHeight="1">
      <c r="A317" s="3226" t="s">
        <v>306</v>
      </c>
      <c r="B317" s="3226" t="s">
        <v>3143</v>
      </c>
      <c r="C317" s="3226"/>
      <c r="D317" s="3226"/>
      <c r="E317" s="3226"/>
      <c r="F317" s="3226">
        <v>920</v>
      </c>
      <c r="G317" s="3239"/>
    </row>
    <row r="318" spans="1:7" s="3215" customFormat="1" ht="14.25" customHeight="1">
      <c r="A318" s="3226" t="s">
        <v>306</v>
      </c>
      <c r="B318" s="3226" t="s">
        <v>3144</v>
      </c>
      <c r="C318" s="3226"/>
      <c r="D318" s="3226"/>
      <c r="E318" s="3226"/>
      <c r="F318" s="3226">
        <v>1080</v>
      </c>
      <c r="G318" s="3239"/>
    </row>
    <row r="319" spans="1:7" s="3215" customFormat="1" ht="14.25" customHeight="1">
      <c r="A319" s="3226" t="s">
        <v>306</v>
      </c>
      <c r="B319" s="3226" t="s">
        <v>3031</v>
      </c>
      <c r="C319" s="3226"/>
      <c r="D319" s="3226"/>
      <c r="E319" s="3226"/>
      <c r="F319" s="3226">
        <v>1020</v>
      </c>
      <c r="G319" s="3239"/>
    </row>
    <row r="320" spans="1:7" s="3215" customFormat="1" ht="14.25" customHeight="1">
      <c r="A320" s="3226" t="s">
        <v>306</v>
      </c>
      <c r="B320" s="3226" t="s">
        <v>3034</v>
      </c>
      <c r="C320" s="3226"/>
      <c r="D320" s="3226"/>
      <c r="E320" s="3226"/>
      <c r="F320" s="3226">
        <v>1050</v>
      </c>
      <c r="G320" s="3239"/>
    </row>
    <row r="321" spans="1:7" s="3215" customFormat="1" ht="14.25" customHeight="1">
      <c r="A321" s="3226" t="s">
        <v>306</v>
      </c>
      <c r="B321" s="3226" t="s">
        <v>3036</v>
      </c>
      <c r="C321" s="3226"/>
      <c r="D321" s="3226"/>
      <c r="E321" s="3226"/>
      <c r="F321" s="3226">
        <v>960</v>
      </c>
      <c r="G321" s="3239"/>
    </row>
    <row r="322" spans="1:7" s="3215" customFormat="1" ht="14.25" customHeight="1">
      <c r="A322" s="3226" t="s">
        <v>306</v>
      </c>
      <c r="B322" s="3226" t="s">
        <v>3038</v>
      </c>
      <c r="C322" s="3226"/>
      <c r="D322" s="3226"/>
      <c r="E322" s="3226"/>
      <c r="F322" s="3226">
        <v>960</v>
      </c>
      <c r="G322" s="3239"/>
    </row>
    <row r="323" spans="1:7" s="3215" customFormat="1" ht="14.25" customHeight="1">
      <c r="A323" s="3226" t="s">
        <v>306</v>
      </c>
      <c r="B323" s="3226" t="s">
        <v>3040</v>
      </c>
      <c r="C323" s="3226"/>
      <c r="D323" s="3226"/>
      <c r="E323" s="3226"/>
      <c r="F323" s="3226">
        <v>880</v>
      </c>
      <c r="G323" s="3239"/>
    </row>
    <row r="324" spans="1:7" s="3215" customFormat="1" ht="14.25" customHeight="1">
      <c r="A324" s="3226" t="s">
        <v>306</v>
      </c>
      <c r="B324" s="3226" t="s">
        <v>3042</v>
      </c>
      <c r="C324" s="3226"/>
      <c r="D324" s="3226"/>
      <c r="E324" s="3226"/>
      <c r="F324" s="3226">
        <v>930</v>
      </c>
      <c r="G324" s="3239"/>
    </row>
    <row r="325" spans="1:7" s="3215" customFormat="1" ht="14.25" customHeight="1">
      <c r="A325" s="3226" t="s">
        <v>306</v>
      </c>
      <c r="B325" s="3227" t="s">
        <v>3044</v>
      </c>
      <c r="C325" s="3226"/>
      <c r="D325" s="3226"/>
      <c r="E325" s="3226"/>
      <c r="F325" s="3226">
        <v>900</v>
      </c>
      <c r="G325" s="3239"/>
    </row>
    <row r="326" spans="1:7" s="3215" customFormat="1" ht="14.25" customHeight="1" thickBot="1">
      <c r="A326" s="3240" t="s">
        <v>306</v>
      </c>
      <c r="B326" s="3233" t="s">
        <v>3046</v>
      </c>
      <c r="C326" s="3233"/>
      <c r="D326" s="3233"/>
      <c r="E326" s="3233"/>
      <c r="F326" s="3233">
        <v>790</v>
      </c>
      <c r="G326" s="3241"/>
    </row>
    <row r="327" spans="1:7" s="3215" customFormat="1" ht="14.25" customHeight="1">
      <c r="A327" s="3231" t="s">
        <v>307</v>
      </c>
      <c r="B327" s="3222" t="s">
        <v>3145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3146</v>
      </c>
      <c r="C329" s="3226">
        <v>2730</v>
      </c>
      <c r="D329" s="3226">
        <v>2690</v>
      </c>
      <c r="E329" s="3226">
        <v>3100</v>
      </c>
      <c r="F329" s="3226">
        <v>660</v>
      </c>
      <c r="G329" s="3226">
        <v>1610</v>
      </c>
    </row>
    <row r="330" spans="1:7" s="3215" customFormat="1" ht="14.25" customHeight="1">
      <c r="A330" s="3226" t="s">
        <v>307</v>
      </c>
      <c r="B330" s="3226" t="s">
        <v>3147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2880</v>
      </c>
      <c r="C332" s="3226">
        <v>3520</v>
      </c>
      <c r="D332" s="3226">
        <v>3480</v>
      </c>
      <c r="E332" s="3226">
        <v>3830</v>
      </c>
      <c r="F332" s="3226">
        <v>720</v>
      </c>
      <c r="G332" s="3226">
        <v>2090</v>
      </c>
    </row>
    <row r="333" spans="1:7" s="3215" customFormat="1" ht="14.25" customHeight="1">
      <c r="A333" s="3226" t="s">
        <v>307</v>
      </c>
      <c r="B333" s="3226" t="s">
        <v>3148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2890</v>
      </c>
      <c r="C336" s="3226">
        <v>3570</v>
      </c>
      <c r="D336" s="3226">
        <v>3530</v>
      </c>
      <c r="E336" s="3226">
        <v>3880</v>
      </c>
      <c r="F336" s="3226">
        <v>770</v>
      </c>
      <c r="G336" s="3226">
        <v>2110</v>
      </c>
    </row>
    <row r="337" spans="1:10" s="3215" customFormat="1" ht="14.25" customHeight="1">
      <c r="A337" s="3226" t="s">
        <v>307</v>
      </c>
      <c r="B337" s="3226" t="s">
        <v>3149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2915</v>
      </c>
      <c r="C345" s="3226">
        <v>3190</v>
      </c>
      <c r="D345" s="3226">
        <v>3140</v>
      </c>
      <c r="E345" s="3226">
        <v>3450</v>
      </c>
      <c r="F345" s="3226">
        <v>720</v>
      </c>
      <c r="G345" s="3226">
        <v>1880</v>
      </c>
      <c r="J345" s="3215"/>
    </row>
    <row r="346" spans="1:10">
      <c r="A346" s="3226" t="s">
        <v>307</v>
      </c>
      <c r="B346" s="3226" t="s">
        <v>3152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2924</v>
      </c>
      <c r="C348" s="3226">
        <v>4000</v>
      </c>
      <c r="D348" s="3226">
        <v>3950</v>
      </c>
      <c r="E348" s="3226">
        <v>4430</v>
      </c>
      <c r="F348" s="3226">
        <v>760</v>
      </c>
      <c r="G348" s="3226">
        <v>2360</v>
      </c>
      <c r="J348" s="3215"/>
    </row>
    <row r="349" spans="1:10">
      <c r="A349" s="3226" t="s">
        <v>307</v>
      </c>
      <c r="B349" s="3226" t="s">
        <v>2929</v>
      </c>
      <c r="C349" s="3226">
        <v>3820</v>
      </c>
      <c r="D349" s="3226">
        <v>3780</v>
      </c>
      <c r="E349" s="3226">
        <v>4170</v>
      </c>
      <c r="F349" s="3226">
        <v>710</v>
      </c>
      <c r="G349" s="3226">
        <v>2260</v>
      </c>
      <c r="J349" s="3215"/>
    </row>
    <row r="350" spans="1:10">
      <c r="A350" s="3226" t="s">
        <v>307</v>
      </c>
      <c r="B350" s="3226" t="s">
        <v>3153</v>
      </c>
      <c r="C350" s="3226">
        <v>3760</v>
      </c>
      <c r="D350" s="3226">
        <v>3730</v>
      </c>
      <c r="E350" s="3226">
        <v>4100</v>
      </c>
      <c r="F350" s="3226">
        <v>800</v>
      </c>
      <c r="G350" s="3226">
        <v>2230</v>
      </c>
      <c r="J350" s="3215"/>
    </row>
    <row r="351" spans="1:10">
      <c r="A351" s="3226" t="s">
        <v>307</v>
      </c>
      <c r="B351" s="3226" t="s">
        <v>2937</v>
      </c>
      <c r="C351" s="3226">
        <v>3610</v>
      </c>
      <c r="D351" s="3226">
        <v>3580</v>
      </c>
      <c r="E351" s="3226">
        <v>3930</v>
      </c>
      <c r="F351" s="3226">
        <v>700</v>
      </c>
      <c r="G351" s="3226">
        <v>2140</v>
      </c>
      <c r="J351" s="3215"/>
    </row>
    <row r="352" spans="1:10">
      <c r="A352" s="3226" t="s">
        <v>307</v>
      </c>
      <c r="B352" s="3226" t="s">
        <v>2942</v>
      </c>
      <c r="C352" s="3226">
        <v>3670</v>
      </c>
      <c r="D352" s="3226">
        <v>3630</v>
      </c>
      <c r="E352" s="3226">
        <v>4000</v>
      </c>
      <c r="F352" s="3226">
        <v>750</v>
      </c>
      <c r="G352" s="3226">
        <v>2180</v>
      </c>
    </row>
    <row r="353" spans="1:7" s="3219" customFormat="1">
      <c r="A353" s="3226" t="s">
        <v>307</v>
      </c>
      <c r="B353" s="3226" t="s">
        <v>3154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2962</v>
      </c>
      <c r="C355" s="3226">
        <v>3650</v>
      </c>
      <c r="D355" s="3226">
        <v>3610</v>
      </c>
      <c r="E355" s="3226">
        <v>4200</v>
      </c>
      <c r="F355" s="3226">
        <v>640</v>
      </c>
      <c r="G355" s="3226">
        <v>2160</v>
      </c>
    </row>
    <row r="356" spans="1:7" s="3219" customFormat="1">
      <c r="A356" s="3226" t="s">
        <v>307</v>
      </c>
      <c r="B356" s="3226" t="s">
        <v>2969</v>
      </c>
      <c r="C356" s="3226">
        <v>3260</v>
      </c>
      <c r="D356" s="3226">
        <v>3230</v>
      </c>
      <c r="E356" s="3226">
        <v>3740</v>
      </c>
      <c r="F356" s="3226">
        <v>600</v>
      </c>
      <c r="G356" s="3226">
        <v>1930</v>
      </c>
    </row>
    <row r="357" spans="1:7" s="3219" customFormat="1" ht="12" thickBot="1">
      <c r="A357" s="3234" t="s">
        <v>307</v>
      </c>
      <c r="B357" s="3237" t="s">
        <v>3155</v>
      </c>
      <c r="C357" s="3237">
        <v>3690</v>
      </c>
      <c r="D357" s="3237">
        <v>3650</v>
      </c>
      <c r="E357" s="3237">
        <v>4020</v>
      </c>
      <c r="F357" s="3237">
        <v>700</v>
      </c>
      <c r="G357" s="3237">
        <v>2190</v>
      </c>
    </row>
    <row r="358" spans="1:7" s="3219" customFormat="1">
      <c r="A358" s="3231" t="s">
        <v>3156</v>
      </c>
      <c r="B358" s="3222" t="s">
        <v>3157</v>
      </c>
      <c r="C358" s="3222">
        <v>2080</v>
      </c>
      <c r="D358" s="3222">
        <v>2040</v>
      </c>
      <c r="E358" s="3222">
        <v>2010</v>
      </c>
      <c r="F358" s="3222">
        <v>530</v>
      </c>
      <c r="G358" s="3238">
        <v>1230</v>
      </c>
    </row>
    <row r="359" spans="1:7" s="3219" customFormat="1">
      <c r="A359" s="3226" t="s">
        <v>3156</v>
      </c>
      <c r="B359" s="3226" t="s">
        <v>3158</v>
      </c>
      <c r="C359" s="3226">
        <v>1850</v>
      </c>
      <c r="D359" s="3226">
        <v>1820</v>
      </c>
      <c r="E359" s="3226">
        <v>1780</v>
      </c>
      <c r="F359" s="3226">
        <v>520</v>
      </c>
      <c r="G359" s="3239">
        <v>1100</v>
      </c>
    </row>
    <row r="360" spans="1:7" s="3219" customFormat="1">
      <c r="A360" s="3226" t="s">
        <v>3156</v>
      </c>
      <c r="B360" s="3226" t="s">
        <v>3159</v>
      </c>
      <c r="C360" s="3226">
        <v>2020</v>
      </c>
      <c r="D360" s="3226">
        <v>1990</v>
      </c>
      <c r="E360" s="3226">
        <v>1950</v>
      </c>
      <c r="F360" s="3226">
        <v>500</v>
      </c>
      <c r="G360" s="3239">
        <v>1200</v>
      </c>
    </row>
    <row r="361" spans="1:7" s="3219" customFormat="1">
      <c r="A361" s="3226" t="s">
        <v>3156</v>
      </c>
      <c r="B361" s="3226" t="s">
        <v>153</v>
      </c>
      <c r="C361" s="3226">
        <v>2260</v>
      </c>
      <c r="D361" s="3226">
        <v>2220</v>
      </c>
      <c r="E361" s="3226">
        <v>2180</v>
      </c>
      <c r="F361" s="3226">
        <v>580</v>
      </c>
      <c r="G361" s="3239">
        <v>1340</v>
      </c>
    </row>
    <row r="362" spans="1:7" s="3219" customFormat="1">
      <c r="A362" s="3226" t="s">
        <v>3156</v>
      </c>
      <c r="B362" s="3226" t="s">
        <v>3160</v>
      </c>
      <c r="C362" s="3226">
        <v>2650</v>
      </c>
      <c r="D362" s="3226">
        <v>2610</v>
      </c>
      <c r="E362" s="3226">
        <v>2570</v>
      </c>
      <c r="F362" s="3226">
        <v>630</v>
      </c>
      <c r="G362" s="3239">
        <v>1570</v>
      </c>
    </row>
    <row r="363" spans="1:7" s="3219" customFormat="1">
      <c r="A363" s="3226" t="s">
        <v>3156</v>
      </c>
      <c r="B363" s="3226" t="s">
        <v>2881</v>
      </c>
      <c r="C363" s="3226">
        <v>2390</v>
      </c>
      <c r="D363" s="3226">
        <v>2360</v>
      </c>
      <c r="E363" s="3226">
        <v>2320</v>
      </c>
      <c r="F363" s="3226">
        <v>600</v>
      </c>
      <c r="G363" s="3239">
        <v>1420</v>
      </c>
    </row>
    <row r="364" spans="1:7" s="3219" customFormat="1">
      <c r="A364" s="3226" t="s">
        <v>3156</v>
      </c>
      <c r="B364" s="3226" t="s">
        <v>3161</v>
      </c>
      <c r="C364" s="3226">
        <v>2050</v>
      </c>
      <c r="D364" s="3226">
        <v>2030</v>
      </c>
      <c r="E364" s="3226">
        <v>1990</v>
      </c>
      <c r="F364" s="3226">
        <v>550</v>
      </c>
      <c r="G364" s="3239">
        <v>1220</v>
      </c>
    </row>
    <row r="365" spans="1:7" s="3219" customFormat="1">
      <c r="A365" s="3226" t="s">
        <v>3156</v>
      </c>
      <c r="B365" s="3226" t="s">
        <v>200</v>
      </c>
      <c r="C365" s="3226">
        <v>2140</v>
      </c>
      <c r="D365" s="3226">
        <v>2100</v>
      </c>
      <c r="E365" s="3226">
        <v>2060</v>
      </c>
      <c r="F365" s="3226">
        <v>540</v>
      </c>
      <c r="G365" s="3239">
        <v>1270</v>
      </c>
    </row>
    <row r="366" spans="1:7" s="3219" customFormat="1">
      <c r="A366" s="3226" t="s">
        <v>3156</v>
      </c>
      <c r="B366" s="3226" t="s">
        <v>2888</v>
      </c>
      <c r="C366" s="3226">
        <v>2410</v>
      </c>
      <c r="D366" s="3226">
        <v>2370</v>
      </c>
      <c r="E366" s="3226">
        <v>2330</v>
      </c>
      <c r="F366" s="3226">
        <v>570</v>
      </c>
      <c r="G366" s="3239">
        <v>1440</v>
      </c>
    </row>
    <row r="367" spans="1:7" s="3219" customFormat="1">
      <c r="A367" s="3226" t="s">
        <v>3156</v>
      </c>
      <c r="B367" s="3226" t="s">
        <v>3162</v>
      </c>
      <c r="C367" s="3226">
        <v>2300</v>
      </c>
      <c r="D367" s="3226">
        <v>2260</v>
      </c>
      <c r="E367" s="3226">
        <v>2220</v>
      </c>
      <c r="F367" s="3226">
        <v>560</v>
      </c>
      <c r="G367" s="3239">
        <v>1370</v>
      </c>
    </row>
    <row r="368" spans="1:7" s="3219" customFormat="1">
      <c r="A368" s="3226" t="s">
        <v>3156</v>
      </c>
      <c r="B368" s="3226" t="s">
        <v>3163</v>
      </c>
      <c r="C368" s="3226">
        <v>2430</v>
      </c>
      <c r="D368" s="3226">
        <v>2390</v>
      </c>
      <c r="E368" s="3226">
        <v>2350</v>
      </c>
      <c r="F368" s="3226">
        <v>570</v>
      </c>
      <c r="G368" s="3239">
        <v>1450</v>
      </c>
    </row>
    <row r="369" spans="1:7" s="3219" customFormat="1">
      <c r="A369" s="3226" t="s">
        <v>3156</v>
      </c>
      <c r="B369" s="3226" t="s">
        <v>214</v>
      </c>
      <c r="C369" s="3226">
        <v>2320</v>
      </c>
      <c r="D369" s="3226">
        <v>2290</v>
      </c>
      <c r="E369" s="3226">
        <v>2250</v>
      </c>
      <c r="F369" s="3226">
        <v>550</v>
      </c>
      <c r="G369" s="3239">
        <v>1380</v>
      </c>
    </row>
    <row r="370" spans="1:7" s="3219" customFormat="1">
      <c r="A370" s="3226" t="s">
        <v>3156</v>
      </c>
      <c r="B370" s="3226" t="s">
        <v>221</v>
      </c>
      <c r="C370" s="3226">
        <v>2190</v>
      </c>
      <c r="D370" s="3226">
        <v>2170</v>
      </c>
      <c r="E370" s="3226">
        <v>2130</v>
      </c>
      <c r="F370" s="3226">
        <v>530</v>
      </c>
      <c r="G370" s="3239">
        <v>1310</v>
      </c>
    </row>
    <row r="371" spans="1:7" s="3219" customFormat="1">
      <c r="A371" s="3226" t="s">
        <v>3156</v>
      </c>
      <c r="B371" s="3226" t="s">
        <v>229</v>
      </c>
      <c r="C371" s="3226">
        <v>2460</v>
      </c>
      <c r="D371" s="3226">
        <v>2420</v>
      </c>
      <c r="E371" s="3226">
        <v>2370</v>
      </c>
      <c r="F371" s="3226">
        <v>560</v>
      </c>
      <c r="G371" s="3239">
        <v>1470</v>
      </c>
    </row>
    <row r="372" spans="1:7" s="3219" customFormat="1">
      <c r="A372" s="3226" t="s">
        <v>3156</v>
      </c>
      <c r="B372" s="3226" t="s">
        <v>3164</v>
      </c>
      <c r="C372" s="3226">
        <v>2250</v>
      </c>
      <c r="D372" s="3226">
        <v>2210</v>
      </c>
      <c r="E372" s="3226">
        <v>2180</v>
      </c>
      <c r="F372" s="3226">
        <v>550</v>
      </c>
      <c r="G372" s="3239">
        <v>1340</v>
      </c>
    </row>
    <row r="373" spans="1:7" s="3219" customFormat="1">
      <c r="A373" s="3226" t="s">
        <v>3156</v>
      </c>
      <c r="B373" s="3226" t="s">
        <v>258</v>
      </c>
      <c r="C373" s="3226">
        <v>2210</v>
      </c>
      <c r="D373" s="3226">
        <v>2190</v>
      </c>
      <c r="E373" s="3226">
        <v>2150</v>
      </c>
      <c r="F373" s="3226">
        <v>530</v>
      </c>
      <c r="G373" s="3239">
        <v>1320</v>
      </c>
    </row>
    <row r="374" spans="1:7" s="3219" customFormat="1">
      <c r="A374" s="3226" t="s">
        <v>3156</v>
      </c>
      <c r="B374" s="3226" t="s">
        <v>266</v>
      </c>
      <c r="C374" s="3226">
        <v>2320</v>
      </c>
      <c r="D374" s="3226">
        <v>2280</v>
      </c>
      <c r="E374" s="3226">
        <v>2230</v>
      </c>
      <c r="F374" s="3226">
        <v>580</v>
      </c>
      <c r="G374" s="3239">
        <v>1380</v>
      </c>
    </row>
    <row r="375" spans="1:7" s="3219" customFormat="1">
      <c r="A375" s="3226" t="s">
        <v>3156</v>
      </c>
      <c r="B375" s="3226" t="s">
        <v>3165</v>
      </c>
      <c r="C375" s="3226">
        <v>2090</v>
      </c>
      <c r="D375" s="3226">
        <v>2050</v>
      </c>
      <c r="E375" s="3226">
        <v>2020</v>
      </c>
      <c r="F375" s="3226">
        <v>520</v>
      </c>
      <c r="G375" s="3239">
        <v>1240</v>
      </c>
    </row>
    <row r="376" spans="1:7" s="3219" customFormat="1">
      <c r="A376" s="3226" t="s">
        <v>3156</v>
      </c>
      <c r="B376" s="3226" t="s">
        <v>277</v>
      </c>
      <c r="C376" s="3226">
        <v>2010</v>
      </c>
      <c r="D376" s="3226">
        <v>1980</v>
      </c>
      <c r="E376" s="3226">
        <v>1940</v>
      </c>
      <c r="F376" s="3226">
        <v>540</v>
      </c>
      <c r="G376" s="3239">
        <v>1190</v>
      </c>
    </row>
    <row r="377" spans="1:7" s="3219" customFormat="1" ht="12" thickBot="1">
      <c r="A377" s="3234" t="s">
        <v>3156</v>
      </c>
      <c r="B377" s="3237" t="s">
        <v>2918</v>
      </c>
      <c r="C377" s="3237">
        <v>1930</v>
      </c>
      <c r="D377" s="3237">
        <v>1890</v>
      </c>
      <c r="E377" s="3237">
        <v>1860</v>
      </c>
      <c r="F377" s="3237">
        <v>530</v>
      </c>
      <c r="G377" s="3242">
        <v>1150</v>
      </c>
    </row>
    <row r="378" spans="1:7" s="3219" customFormat="1">
      <c r="A378" s="3243" t="s">
        <v>3166</v>
      </c>
      <c r="B378" s="3222" t="s">
        <v>3167</v>
      </c>
      <c r="C378" s="3222">
        <v>1520</v>
      </c>
      <c r="D378" s="3222">
        <v>1490</v>
      </c>
      <c r="E378" s="3222">
        <v>1460</v>
      </c>
      <c r="F378" s="3222">
        <v>460</v>
      </c>
      <c r="G378" s="3238">
        <v>940</v>
      </c>
    </row>
    <row r="379" spans="1:7" s="3219" customFormat="1">
      <c r="A379" s="3244" t="s">
        <v>3166</v>
      </c>
      <c r="B379" s="3226" t="s">
        <v>3168</v>
      </c>
      <c r="C379" s="3226">
        <v>1500</v>
      </c>
      <c r="D379" s="3226">
        <v>1470</v>
      </c>
      <c r="E379" s="3226">
        <v>1430</v>
      </c>
      <c r="F379" s="3226">
        <v>460</v>
      </c>
      <c r="G379" s="3239">
        <v>920</v>
      </c>
    </row>
    <row r="380" spans="1:7" s="3219" customFormat="1">
      <c r="A380" s="3244" t="s">
        <v>3166</v>
      </c>
      <c r="B380" s="3226" t="s">
        <v>3169</v>
      </c>
      <c r="C380" s="3226">
        <v>1620</v>
      </c>
      <c r="D380" s="3226">
        <v>1590</v>
      </c>
      <c r="E380" s="3226">
        <v>1560</v>
      </c>
      <c r="F380" s="3226">
        <v>480</v>
      </c>
      <c r="G380" s="3239">
        <v>1000</v>
      </c>
    </row>
    <row r="381" spans="1:7" s="3219" customFormat="1">
      <c r="A381" s="3244" t="s">
        <v>3166</v>
      </c>
      <c r="B381" s="3226" t="s">
        <v>3170</v>
      </c>
      <c r="C381" s="3226">
        <v>1460</v>
      </c>
      <c r="D381" s="3226">
        <v>1430</v>
      </c>
      <c r="E381" s="3226">
        <v>1390</v>
      </c>
      <c r="F381" s="3226">
        <v>450</v>
      </c>
      <c r="G381" s="3239">
        <v>900</v>
      </c>
    </row>
    <row r="382" spans="1:7" s="3219" customFormat="1">
      <c r="A382" s="3244" t="s">
        <v>3166</v>
      </c>
      <c r="B382" s="3226" t="s">
        <v>3171</v>
      </c>
      <c r="C382" s="3226">
        <v>1310</v>
      </c>
      <c r="D382" s="3226">
        <v>1280</v>
      </c>
      <c r="E382" s="3226">
        <v>1250</v>
      </c>
      <c r="F382" s="3226">
        <v>440</v>
      </c>
      <c r="G382" s="3239">
        <v>800</v>
      </c>
    </row>
    <row r="383" spans="1:7" s="3219" customFormat="1">
      <c r="A383" s="3244" t="s">
        <v>3166</v>
      </c>
      <c r="B383" s="3226" t="s">
        <v>3172</v>
      </c>
      <c r="C383" s="3226">
        <v>1260</v>
      </c>
      <c r="D383" s="3226">
        <v>1230</v>
      </c>
      <c r="E383" s="3226">
        <v>1200</v>
      </c>
      <c r="F383" s="3226">
        <v>420</v>
      </c>
      <c r="G383" s="3239">
        <v>770</v>
      </c>
    </row>
    <row r="384" spans="1:7" s="3219" customFormat="1" ht="12" thickBot="1">
      <c r="A384" s="3245" t="s">
        <v>3166</v>
      </c>
      <c r="B384" s="3233" t="s">
        <v>3173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12" t="s">
        <v>3174</v>
      </c>
      <c r="B1" s="3812"/>
    </row>
    <row r="2" spans="1:7" ht="14.25" thickBot="1">
      <c r="A2" s="3248"/>
      <c r="B2" s="3248"/>
    </row>
    <row r="3" spans="1:7" ht="14.25" thickBot="1">
      <c r="A3" s="3248"/>
      <c r="B3" s="3248"/>
      <c r="C3" s="3249" t="s">
        <v>2804</v>
      </c>
      <c r="D3" s="3249" t="s">
        <v>2860</v>
      </c>
      <c r="E3" s="3249" t="s">
        <v>2806</v>
      </c>
      <c r="F3" s="3249" t="s">
        <v>2861</v>
      </c>
      <c r="G3" s="3249" t="s">
        <v>2624</v>
      </c>
    </row>
    <row r="4" spans="1:7" ht="14.25" thickBot="1">
      <c r="A4" s="3250" t="s">
        <v>2859</v>
      </c>
      <c r="B4" s="3251" t="s">
        <v>2865</v>
      </c>
      <c r="C4" s="3249"/>
      <c r="D4" s="3249"/>
      <c r="E4" s="3249"/>
      <c r="F4" s="3249"/>
      <c r="G4" s="3249"/>
    </row>
    <row r="5" spans="1:7">
      <c r="A5" s="3252" t="s">
        <v>2833</v>
      </c>
      <c r="B5" s="3253" t="s">
        <v>2847</v>
      </c>
      <c r="C5" s="3254">
        <v>9.8000000000000004E-2</v>
      </c>
      <c r="D5" s="3254">
        <v>8.6999999999999994E-2</v>
      </c>
      <c r="E5" s="3254">
        <v>8.6999999999999994E-2</v>
      </c>
      <c r="F5" s="3254">
        <v>9.8000000000000004E-2</v>
      </c>
      <c r="G5" s="3255">
        <v>9.5000000000000001E-2</v>
      </c>
    </row>
    <row r="6" spans="1:7">
      <c r="A6" s="3256" t="s">
        <v>144</v>
      </c>
      <c r="B6" s="3257" t="s">
        <v>2862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2916</v>
      </c>
      <c r="C29" s="3266"/>
      <c r="D29" s="3262">
        <v>5.1999999999999998E-2</v>
      </c>
      <c r="E29" s="3262">
        <v>7.0000000000000007E-2</v>
      </c>
      <c r="F29" s="3266"/>
      <c r="G29" s="3264">
        <v>7.0999999999999994E-2</v>
      </c>
    </row>
    <row r="30" spans="1:7">
      <c r="A30" s="3267" t="s">
        <v>296</v>
      </c>
      <c r="B30" s="3253" t="s">
        <v>2849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2919</v>
      </c>
      <c r="C50" s="3258">
        <v>9.8000000000000004E-2</v>
      </c>
      <c r="D50" s="3258">
        <v>7.2999999999999995E-2</v>
      </c>
      <c r="E50" s="3258">
        <v>7.0999999999999994E-2</v>
      </c>
      <c r="F50" s="3269"/>
      <c r="G50" s="3259">
        <v>7.2999999999999995E-2</v>
      </c>
    </row>
    <row r="51" spans="1:7">
      <c r="A51" s="3268" t="s">
        <v>296</v>
      </c>
      <c r="B51" s="3257" t="s">
        <v>2921</v>
      </c>
      <c r="C51" s="3258">
        <v>9.9000000000000005E-2</v>
      </c>
      <c r="D51" s="3258">
        <v>8.5000000000000006E-2</v>
      </c>
      <c r="E51" s="3258">
        <v>6.3E-2</v>
      </c>
      <c r="F51" s="3269"/>
      <c r="G51" s="3259">
        <v>9.6000000000000002E-2</v>
      </c>
    </row>
    <row r="52" spans="1:7">
      <c r="A52" s="3268" t="s">
        <v>296</v>
      </c>
      <c r="B52" s="3257" t="s">
        <v>2925</v>
      </c>
      <c r="C52" s="3258">
        <v>7.3999999999999996E-2</v>
      </c>
      <c r="D52" s="3258">
        <v>9.6000000000000002E-2</v>
      </c>
      <c r="E52" s="3258">
        <v>0.05</v>
      </c>
      <c r="F52" s="3269"/>
      <c r="G52" s="3259">
        <v>9.8000000000000004E-2</v>
      </c>
    </row>
    <row r="53" spans="1:7">
      <c r="A53" s="3268" t="s">
        <v>296</v>
      </c>
      <c r="B53" s="3257" t="s">
        <v>2930</v>
      </c>
      <c r="C53" s="3258">
        <v>8.5999999999999993E-2</v>
      </c>
      <c r="D53" s="3269"/>
      <c r="E53" s="3258">
        <v>9.1999999999999998E-2</v>
      </c>
      <c r="F53" s="3269"/>
      <c r="G53" s="3270"/>
    </row>
    <row r="54" spans="1:7" ht="14.25" thickBot="1">
      <c r="A54" s="3271" t="s">
        <v>296</v>
      </c>
      <c r="B54" s="3261" t="s">
        <v>2933</v>
      </c>
      <c r="C54" s="3262">
        <v>9.6000000000000002E-2</v>
      </c>
      <c r="D54" s="3263"/>
      <c r="E54" s="3272"/>
      <c r="F54" s="3263"/>
      <c r="G54" s="3273"/>
    </row>
    <row r="55" spans="1:7">
      <c r="A55" s="3267" t="s">
        <v>110</v>
      </c>
      <c r="B55" s="3253" t="s">
        <v>2850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2931</v>
      </c>
      <c r="C78" s="3258">
        <v>0.1</v>
      </c>
      <c r="D78" s="3258">
        <v>8.5000000000000006E-2</v>
      </c>
      <c r="E78" s="3258">
        <v>9.6000000000000002E-2</v>
      </c>
      <c r="F78" s="3269"/>
      <c r="G78" s="3259">
        <v>9.6000000000000002E-2</v>
      </c>
    </row>
    <row r="79" spans="1:7">
      <c r="A79" s="3268" t="s">
        <v>110</v>
      </c>
      <c r="B79" s="3257" t="s">
        <v>2934</v>
      </c>
      <c r="C79" s="3258">
        <v>0.05</v>
      </c>
      <c r="D79" s="3258">
        <v>9.6000000000000002E-2</v>
      </c>
      <c r="E79" s="3258">
        <v>9.5000000000000001E-2</v>
      </c>
      <c r="F79" s="3269"/>
      <c r="G79" s="3259">
        <v>9.8000000000000004E-2</v>
      </c>
    </row>
    <row r="80" spans="1:7">
      <c r="A80" s="3268" t="s">
        <v>110</v>
      </c>
      <c r="B80" s="3257" t="s">
        <v>2938</v>
      </c>
      <c r="C80" s="3258">
        <v>8.5999999999999993E-2</v>
      </c>
      <c r="D80" s="3274"/>
      <c r="E80" s="3258">
        <v>0.1</v>
      </c>
      <c r="F80" s="3269"/>
      <c r="G80" s="3270"/>
    </row>
    <row r="81" spans="1:7">
      <c r="A81" s="3268" t="s">
        <v>110</v>
      </c>
      <c r="B81" s="3257" t="s">
        <v>2943</v>
      </c>
      <c r="C81" s="3258">
        <v>9.6000000000000002E-2</v>
      </c>
      <c r="D81" s="3269"/>
      <c r="E81" s="3258">
        <v>9.8000000000000004E-2</v>
      </c>
      <c r="F81" s="3269"/>
      <c r="G81" s="3270"/>
    </row>
    <row r="82" spans="1:7">
      <c r="A82" s="3268" t="s">
        <v>110</v>
      </c>
      <c r="B82" s="3257" t="s">
        <v>2950</v>
      </c>
      <c r="C82" s="3274"/>
      <c r="D82" s="3269"/>
      <c r="E82" s="3258">
        <v>7.6999999999999999E-2</v>
      </c>
      <c r="F82" s="3269"/>
      <c r="G82" s="3270"/>
    </row>
    <row r="83" spans="1:7">
      <c r="A83" s="3268" t="s">
        <v>110</v>
      </c>
      <c r="B83" s="3257" t="s">
        <v>2956</v>
      </c>
      <c r="C83" s="3269"/>
      <c r="D83" s="3269"/>
      <c r="E83" s="3269"/>
      <c r="F83" s="3258">
        <v>0.1</v>
      </c>
      <c r="G83" s="3275"/>
    </row>
    <row r="84" spans="1:7">
      <c r="A84" s="3268" t="s">
        <v>110</v>
      </c>
      <c r="B84" s="3257" t="s">
        <v>2963</v>
      </c>
      <c r="C84" s="3269"/>
      <c r="D84" s="3269"/>
      <c r="E84" s="3269"/>
      <c r="F84" s="3258">
        <v>0.1</v>
      </c>
      <c r="G84" s="3275"/>
    </row>
    <row r="85" spans="1:7">
      <c r="A85" s="3268" t="s">
        <v>110</v>
      </c>
      <c r="B85" s="3257" t="s">
        <v>2970</v>
      </c>
      <c r="C85" s="3269"/>
      <c r="D85" s="3269"/>
      <c r="E85" s="3269"/>
      <c r="F85" s="3258">
        <v>0.1</v>
      </c>
      <c r="G85" s="3275"/>
    </row>
    <row r="86" spans="1:7" ht="14.25" thickBot="1">
      <c r="A86" s="3271" t="s">
        <v>110</v>
      </c>
      <c r="B86" s="3261" t="s">
        <v>2975</v>
      </c>
      <c r="C86" s="3262">
        <v>9.8000000000000004E-2</v>
      </c>
      <c r="D86" s="3262">
        <v>9.8000000000000004E-2</v>
      </c>
      <c r="E86" s="3262">
        <v>9.6000000000000002E-2</v>
      </c>
      <c r="F86" s="3272"/>
      <c r="G86" s="3264">
        <v>0.1</v>
      </c>
    </row>
    <row r="87" spans="1:7">
      <c r="A87" s="3267" t="s">
        <v>303</v>
      </c>
      <c r="B87" s="3253" t="s">
        <v>2851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2944</v>
      </c>
      <c r="C113" s="3258">
        <v>0.1</v>
      </c>
      <c r="D113" s="3258">
        <v>0.1</v>
      </c>
      <c r="E113" s="3269"/>
      <c r="F113" s="3269"/>
      <c r="G113" s="3259">
        <v>0.1</v>
      </c>
    </row>
    <row r="114" spans="1:7">
      <c r="A114" s="3268" t="s">
        <v>303</v>
      </c>
      <c r="B114" s="3257" t="s">
        <v>2951</v>
      </c>
      <c r="C114" s="3258">
        <v>9.7000000000000003E-2</v>
      </c>
      <c r="D114" s="3258">
        <v>9.7000000000000003E-2</v>
      </c>
      <c r="E114" s="3269"/>
      <c r="F114" s="3269"/>
      <c r="G114" s="3259">
        <v>9.9000000000000005E-2</v>
      </c>
    </row>
    <row r="115" spans="1:7">
      <c r="A115" s="3268" t="s">
        <v>303</v>
      </c>
      <c r="B115" s="3257" t="s">
        <v>2957</v>
      </c>
      <c r="C115" s="3258">
        <v>0.1</v>
      </c>
      <c r="D115" s="3258">
        <v>0.1</v>
      </c>
      <c r="E115" s="3269"/>
      <c r="F115" s="3269"/>
      <c r="G115" s="3259">
        <v>0.1</v>
      </c>
    </row>
    <row r="116" spans="1:7">
      <c r="A116" s="3268" t="s">
        <v>303</v>
      </c>
      <c r="B116" s="3257" t="s">
        <v>2964</v>
      </c>
      <c r="C116" s="3258">
        <v>0.1</v>
      </c>
      <c r="D116" s="3258">
        <v>0.1</v>
      </c>
      <c r="E116" s="3269"/>
      <c r="F116" s="3269"/>
      <c r="G116" s="3259">
        <v>0.1</v>
      </c>
    </row>
    <row r="117" spans="1:7">
      <c r="A117" s="3268" t="s">
        <v>303</v>
      </c>
      <c r="B117" s="3257" t="s">
        <v>2971</v>
      </c>
      <c r="C117" s="3258">
        <v>9.7000000000000003E-2</v>
      </c>
      <c r="D117" s="3258">
        <v>9.7000000000000003E-2</v>
      </c>
      <c r="E117" s="3269"/>
      <c r="F117" s="3269"/>
      <c r="G117" s="3259">
        <v>9.7000000000000003E-2</v>
      </c>
    </row>
    <row r="118" spans="1:7">
      <c r="A118" s="3268" t="s">
        <v>303</v>
      </c>
      <c r="B118" s="3257" t="s">
        <v>2976</v>
      </c>
      <c r="C118" s="3258">
        <v>0.1</v>
      </c>
      <c r="D118" s="3258">
        <v>0.1</v>
      </c>
      <c r="E118" s="3269"/>
      <c r="F118" s="3269"/>
      <c r="G118" s="3259">
        <v>0.1</v>
      </c>
    </row>
    <row r="119" spans="1:7">
      <c r="A119" s="3268" t="s">
        <v>303</v>
      </c>
      <c r="B119" s="3257" t="s">
        <v>2980</v>
      </c>
      <c r="C119" s="3258">
        <v>5.0999999999999997E-2</v>
      </c>
      <c r="D119" s="3258">
        <v>5.1999999999999998E-2</v>
      </c>
      <c r="E119" s="3269"/>
      <c r="F119" s="3274"/>
      <c r="G119" s="3259">
        <v>0.06</v>
      </c>
    </row>
    <row r="120" spans="1:7">
      <c r="A120" s="3268" t="s">
        <v>303</v>
      </c>
      <c r="B120" s="3257" t="s">
        <v>2984</v>
      </c>
      <c r="C120" s="3269"/>
      <c r="D120" s="3269"/>
      <c r="E120" s="3269"/>
      <c r="F120" s="3258">
        <v>0.1</v>
      </c>
      <c r="G120" s="3275"/>
    </row>
    <row r="121" spans="1:7">
      <c r="A121" s="3268" t="s">
        <v>303</v>
      </c>
      <c r="B121" s="3257" t="s">
        <v>2989</v>
      </c>
      <c r="C121" s="3269"/>
      <c r="D121" s="3269"/>
      <c r="E121" s="3269"/>
      <c r="F121" s="3258">
        <v>0.1</v>
      </c>
      <c r="G121" s="3275"/>
    </row>
    <row r="122" spans="1:7">
      <c r="A122" s="3268" t="s">
        <v>303</v>
      </c>
      <c r="B122" s="3257" t="s">
        <v>2994</v>
      </c>
      <c r="C122" s="3258">
        <v>0.1</v>
      </c>
      <c r="D122" s="3258">
        <v>0.1</v>
      </c>
      <c r="E122" s="3258">
        <v>9.8000000000000004E-2</v>
      </c>
      <c r="F122" s="3258">
        <v>0.1</v>
      </c>
      <c r="G122" s="3259">
        <v>0.1</v>
      </c>
    </row>
    <row r="123" spans="1:7">
      <c r="A123" s="3268" t="s">
        <v>303</v>
      </c>
      <c r="B123" s="3257" t="s">
        <v>2999</v>
      </c>
      <c r="C123" s="3258">
        <v>0.1</v>
      </c>
      <c r="D123" s="3258">
        <v>0.1</v>
      </c>
      <c r="E123" s="3258">
        <v>9.8000000000000004E-2</v>
      </c>
      <c r="F123" s="3258">
        <v>0.1</v>
      </c>
      <c r="G123" s="3259">
        <v>0.1</v>
      </c>
    </row>
    <row r="124" spans="1:7">
      <c r="A124" s="3268" t="s">
        <v>303</v>
      </c>
      <c r="B124" s="3257" t="s">
        <v>3004</v>
      </c>
      <c r="C124" s="3258">
        <v>0.1</v>
      </c>
      <c r="D124" s="3258">
        <v>0.1</v>
      </c>
      <c r="E124" s="3258">
        <v>9.8000000000000004E-2</v>
      </c>
      <c r="F124" s="3274"/>
      <c r="G124" s="3259">
        <v>0.1</v>
      </c>
    </row>
    <row r="125" spans="1:7">
      <c r="A125" s="3268" t="s">
        <v>303</v>
      </c>
      <c r="B125" s="3257" t="s">
        <v>3009</v>
      </c>
      <c r="C125" s="3258">
        <v>9.8000000000000004E-2</v>
      </c>
      <c r="D125" s="3258">
        <v>9.8000000000000004E-2</v>
      </c>
      <c r="E125" s="3258">
        <v>9.6000000000000002E-2</v>
      </c>
      <c r="F125" s="3274"/>
      <c r="G125" s="3259">
        <v>0.1</v>
      </c>
    </row>
    <row r="126" spans="1:7" ht="14.25" thickBot="1">
      <c r="A126" s="3271" t="s">
        <v>303</v>
      </c>
      <c r="B126" s="3261" t="s">
        <v>3175</v>
      </c>
      <c r="C126" s="3262">
        <v>0.1</v>
      </c>
      <c r="D126" s="3262">
        <v>0.1</v>
      </c>
      <c r="E126" s="3262">
        <v>9.8000000000000004E-2</v>
      </c>
      <c r="F126" s="3262">
        <v>0.1</v>
      </c>
      <c r="G126" s="3264">
        <v>0.1</v>
      </c>
    </row>
    <row r="127" spans="1:7">
      <c r="A127" s="3267" t="s">
        <v>29</v>
      </c>
      <c r="B127" s="3253" t="s">
        <v>2852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2922</v>
      </c>
      <c r="C148" s="3258">
        <v>0.13</v>
      </c>
      <c r="D148" s="3258">
        <v>0.13</v>
      </c>
      <c r="E148" s="3258">
        <v>0.13</v>
      </c>
      <c r="F148" s="3269"/>
      <c r="G148" s="3259">
        <v>0.13</v>
      </c>
    </row>
    <row r="149" spans="1:7">
      <c r="A149" s="3268" t="s">
        <v>29</v>
      </c>
      <c r="B149" s="3257" t="s">
        <v>2926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2945</v>
      </c>
      <c r="C153" s="3258">
        <v>0.13</v>
      </c>
      <c r="D153" s="3258">
        <v>0.13</v>
      </c>
      <c r="E153" s="3258">
        <v>0.13</v>
      </c>
      <c r="F153" s="3258">
        <v>0.13</v>
      </c>
      <c r="G153" s="3259">
        <v>0.13</v>
      </c>
    </row>
    <row r="154" spans="1:7">
      <c r="A154" s="3268" t="s">
        <v>29</v>
      </c>
      <c r="B154" s="3257" t="s">
        <v>2952</v>
      </c>
      <c r="C154" s="3258">
        <v>0.121</v>
      </c>
      <c r="D154" s="3258">
        <v>0.121</v>
      </c>
      <c r="E154" s="3258">
        <v>0.105</v>
      </c>
      <c r="F154" s="3258">
        <v>0.121</v>
      </c>
      <c r="G154" s="3259">
        <v>0.123</v>
      </c>
    </row>
    <row r="155" spans="1:7">
      <c r="A155" s="3268" t="s">
        <v>29</v>
      </c>
      <c r="B155" s="3257" t="s">
        <v>2958</v>
      </c>
      <c r="C155" s="3258">
        <v>0.1</v>
      </c>
      <c r="D155" s="3258">
        <v>0.1</v>
      </c>
      <c r="E155" s="3258">
        <v>0.1</v>
      </c>
      <c r="F155" s="3258">
        <v>0.1</v>
      </c>
      <c r="G155" s="3259">
        <v>0.1</v>
      </c>
    </row>
    <row r="156" spans="1:7">
      <c r="A156" s="3268" t="s">
        <v>29</v>
      </c>
      <c r="B156" s="3257" t="s">
        <v>2965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2985</v>
      </c>
      <c r="C160" s="3258">
        <v>0.13</v>
      </c>
      <c r="D160" s="3258">
        <v>0.13</v>
      </c>
      <c r="E160" s="3258">
        <v>0.124</v>
      </c>
      <c r="F160" s="3258">
        <v>0.126</v>
      </c>
      <c r="G160" s="3259">
        <v>0.13</v>
      </c>
    </row>
    <row r="161" spans="1:7">
      <c r="A161" s="3268" t="s">
        <v>29</v>
      </c>
      <c r="B161" s="3257" t="s">
        <v>2990</v>
      </c>
      <c r="C161" s="3258">
        <v>0.13</v>
      </c>
      <c r="D161" s="3258">
        <v>0.13</v>
      </c>
      <c r="E161" s="3258">
        <v>0.124</v>
      </c>
      <c r="F161" s="3258">
        <v>0.127</v>
      </c>
      <c r="G161" s="3259">
        <v>0.13</v>
      </c>
    </row>
    <row r="162" spans="1:7">
      <c r="A162" s="3268" t="s">
        <v>29</v>
      </c>
      <c r="B162" s="3257" t="s">
        <v>2995</v>
      </c>
      <c r="C162" s="3258">
        <v>0.1</v>
      </c>
      <c r="D162" s="3258">
        <v>0.1</v>
      </c>
      <c r="E162" s="3258">
        <v>0.1</v>
      </c>
      <c r="F162" s="3258">
        <v>0.121</v>
      </c>
      <c r="G162" s="3259">
        <v>0.105</v>
      </c>
    </row>
    <row r="163" spans="1:7">
      <c r="A163" s="3268" t="s">
        <v>29</v>
      </c>
      <c r="B163" s="3257" t="s">
        <v>3000</v>
      </c>
      <c r="C163" s="3258">
        <v>0.1</v>
      </c>
      <c r="D163" s="3258">
        <v>0.1</v>
      </c>
      <c r="E163" s="3258">
        <v>0.1</v>
      </c>
      <c r="F163" s="3258">
        <v>0.1</v>
      </c>
      <c r="G163" s="3259">
        <v>0.1</v>
      </c>
    </row>
    <row r="164" spans="1:7">
      <c r="A164" s="3268" t="s">
        <v>29</v>
      </c>
      <c r="B164" s="3257" t="s">
        <v>3005</v>
      </c>
      <c r="C164" s="3274"/>
      <c r="D164" s="3274"/>
      <c r="E164" s="3274"/>
      <c r="F164" s="3258">
        <v>0.1</v>
      </c>
      <c r="G164" s="3270"/>
    </row>
    <row r="165" spans="1:7">
      <c r="A165" s="3268" t="s">
        <v>29</v>
      </c>
      <c r="B165" s="3257" t="s">
        <v>3176</v>
      </c>
      <c r="C165" s="3258">
        <v>0.126</v>
      </c>
      <c r="D165" s="3258">
        <v>0.126</v>
      </c>
      <c r="E165" s="3258">
        <v>0.11899999999999999</v>
      </c>
      <c r="F165" s="3258">
        <v>0.13</v>
      </c>
      <c r="G165" s="3259">
        <v>0.128</v>
      </c>
    </row>
    <row r="166" spans="1:7">
      <c r="A166" s="3268" t="s">
        <v>29</v>
      </c>
      <c r="B166" s="3257" t="s">
        <v>3015</v>
      </c>
      <c r="C166" s="3258">
        <v>0.129</v>
      </c>
      <c r="D166" s="3258">
        <v>0.129</v>
      </c>
      <c r="E166" s="3258">
        <v>0.123</v>
      </c>
      <c r="F166" s="3258">
        <v>0.128</v>
      </c>
      <c r="G166" s="3259">
        <v>0.13</v>
      </c>
    </row>
    <row r="167" spans="1:7">
      <c r="A167" s="3268" t="s">
        <v>29</v>
      </c>
      <c r="B167" s="3257" t="s">
        <v>3019</v>
      </c>
      <c r="C167" s="3258">
        <v>0.125</v>
      </c>
      <c r="D167" s="3258">
        <v>0.125</v>
      </c>
      <c r="E167" s="3258">
        <v>0.11700000000000001</v>
      </c>
      <c r="F167" s="3258">
        <v>0.13</v>
      </c>
      <c r="G167" s="3259">
        <v>0.126</v>
      </c>
    </row>
    <row r="168" spans="1:7">
      <c r="A168" s="3268" t="s">
        <v>29</v>
      </c>
      <c r="B168" s="3257" t="s">
        <v>3024</v>
      </c>
      <c r="C168" s="3258">
        <v>0.128</v>
      </c>
      <c r="D168" s="3258">
        <v>0.128</v>
      </c>
      <c r="E168" s="3258">
        <v>0.123</v>
      </c>
      <c r="F168" s="3269"/>
      <c r="G168" s="3259">
        <v>0.13</v>
      </c>
    </row>
    <row r="169" spans="1:7">
      <c r="A169" s="3268" t="s">
        <v>29</v>
      </c>
      <c r="B169" s="3257" t="s">
        <v>3177</v>
      </c>
      <c r="C169" s="3274"/>
      <c r="D169" s="3274"/>
      <c r="E169" s="3274"/>
      <c r="F169" s="3258">
        <v>0.05</v>
      </c>
      <c r="G169" s="3270"/>
    </row>
    <row r="170" spans="1:7">
      <c r="A170" s="3268" t="s">
        <v>29</v>
      </c>
      <c r="B170" s="3257" t="s">
        <v>3178</v>
      </c>
      <c r="C170" s="3274"/>
      <c r="D170" s="3274"/>
      <c r="E170" s="3274"/>
      <c r="F170" s="3258">
        <v>0.05</v>
      </c>
      <c r="G170" s="3270"/>
    </row>
    <row r="171" spans="1:7">
      <c r="A171" s="3268" t="s">
        <v>29</v>
      </c>
      <c r="B171" s="3257" t="s">
        <v>3179</v>
      </c>
      <c r="C171" s="3274"/>
      <c r="D171" s="3274"/>
      <c r="E171" s="3274"/>
      <c r="F171" s="3258">
        <v>0.05</v>
      </c>
      <c r="G171" s="3275"/>
    </row>
    <row r="172" spans="1:7">
      <c r="A172" s="3268" t="s">
        <v>29</v>
      </c>
      <c r="B172" s="3257" t="s">
        <v>3180</v>
      </c>
      <c r="C172" s="3274"/>
      <c r="D172" s="3274"/>
      <c r="E172" s="3274"/>
      <c r="F172" s="3258">
        <v>0.05</v>
      </c>
      <c r="G172" s="3275"/>
    </row>
    <row r="173" spans="1:7">
      <c r="A173" s="3268" t="s">
        <v>29</v>
      </c>
      <c r="B173" s="3257" t="s">
        <v>3181</v>
      </c>
      <c r="C173" s="3274"/>
      <c r="D173" s="3274"/>
      <c r="E173" s="3274"/>
      <c r="F173" s="3258">
        <v>0.05</v>
      </c>
      <c r="G173" s="3270"/>
    </row>
    <row r="174" spans="1:7">
      <c r="A174" s="3268" t="s">
        <v>29</v>
      </c>
      <c r="B174" s="3257" t="s">
        <v>3182</v>
      </c>
      <c r="C174" s="3274"/>
      <c r="D174" s="3274"/>
      <c r="E174" s="3274"/>
      <c r="F174" s="3258">
        <v>0.05</v>
      </c>
      <c r="G174" s="3270"/>
    </row>
    <row r="175" spans="1:7">
      <c r="A175" s="3268" t="s">
        <v>29</v>
      </c>
      <c r="B175" s="3257" t="s">
        <v>3183</v>
      </c>
      <c r="C175" s="3274"/>
      <c r="D175" s="3274"/>
      <c r="E175" s="3274"/>
      <c r="F175" s="3258">
        <v>0.05</v>
      </c>
      <c r="G175" s="3270"/>
    </row>
    <row r="176" spans="1:7">
      <c r="A176" s="3268" t="s">
        <v>29</v>
      </c>
      <c r="B176" s="3257" t="s">
        <v>3184</v>
      </c>
      <c r="C176" s="3274"/>
      <c r="D176" s="3274"/>
      <c r="E176" s="3274"/>
      <c r="F176" s="3258">
        <v>0.05</v>
      </c>
      <c r="G176" s="3270"/>
    </row>
    <row r="177" spans="1:7">
      <c r="A177" s="3268" t="s">
        <v>29</v>
      </c>
      <c r="B177" s="3257" t="s">
        <v>3185</v>
      </c>
      <c r="C177" s="3269"/>
      <c r="D177" s="3269"/>
      <c r="E177" s="3269"/>
      <c r="F177" s="3258">
        <v>0.05</v>
      </c>
      <c r="G177" s="3275"/>
    </row>
    <row r="178" spans="1:7">
      <c r="A178" s="3268" t="s">
        <v>29</v>
      </c>
      <c r="B178" s="3257" t="s">
        <v>3186</v>
      </c>
      <c r="C178" s="3269"/>
      <c r="D178" s="3269"/>
      <c r="E178" s="3269"/>
      <c r="F178" s="3258">
        <v>0.05</v>
      </c>
      <c r="G178" s="3275"/>
    </row>
    <row r="179" spans="1:7">
      <c r="A179" s="3268" t="s">
        <v>29</v>
      </c>
      <c r="B179" s="3257" t="s">
        <v>3187</v>
      </c>
      <c r="C179" s="3269"/>
      <c r="D179" s="3269"/>
      <c r="E179" s="3269"/>
      <c r="F179" s="3258">
        <v>0.05</v>
      </c>
      <c r="G179" s="3275"/>
    </row>
    <row r="180" spans="1:7">
      <c r="A180" s="3268" t="s">
        <v>29</v>
      </c>
      <c r="B180" s="3257" t="s">
        <v>3188</v>
      </c>
      <c r="C180" s="3269"/>
      <c r="D180" s="3269"/>
      <c r="E180" s="3269"/>
      <c r="F180" s="3258">
        <v>0.05</v>
      </c>
      <c r="G180" s="3275"/>
    </row>
    <row r="181" spans="1:7">
      <c r="A181" s="3268" t="s">
        <v>29</v>
      </c>
      <c r="B181" s="3257" t="s">
        <v>3189</v>
      </c>
      <c r="C181" s="3269"/>
      <c r="D181" s="3269"/>
      <c r="E181" s="3269"/>
      <c r="F181" s="3258">
        <v>0.05</v>
      </c>
      <c r="G181" s="3275"/>
    </row>
    <row r="182" spans="1:7">
      <c r="A182" s="3268" t="s">
        <v>29</v>
      </c>
      <c r="B182" s="3257" t="s">
        <v>3190</v>
      </c>
      <c r="C182" s="3269"/>
      <c r="D182" s="3269"/>
      <c r="E182" s="3269"/>
      <c r="F182" s="3258">
        <v>0.05</v>
      </c>
      <c r="G182" s="3275"/>
    </row>
    <row r="183" spans="1:7">
      <c r="A183" s="3268" t="s">
        <v>29</v>
      </c>
      <c r="B183" s="3257" t="s">
        <v>3191</v>
      </c>
      <c r="C183" s="3269"/>
      <c r="D183" s="3269"/>
      <c r="E183" s="3269"/>
      <c r="F183" s="3258">
        <v>0.05</v>
      </c>
      <c r="G183" s="3275"/>
    </row>
    <row r="184" spans="1:7">
      <c r="A184" s="3268" t="s">
        <v>29</v>
      </c>
      <c r="B184" s="3257" t="s">
        <v>3192</v>
      </c>
      <c r="C184" s="3269"/>
      <c r="D184" s="3269"/>
      <c r="E184" s="3269"/>
      <c r="F184" s="3258">
        <v>0.05</v>
      </c>
      <c r="G184" s="3275"/>
    </row>
    <row r="185" spans="1:7">
      <c r="A185" s="3268" t="s">
        <v>29</v>
      </c>
      <c r="B185" s="3257" t="s">
        <v>3193</v>
      </c>
      <c r="C185" s="3269"/>
      <c r="D185" s="3269"/>
      <c r="E185" s="3269"/>
      <c r="F185" s="3258">
        <v>0.05</v>
      </c>
      <c r="G185" s="3275"/>
    </row>
    <row r="186" spans="1:7">
      <c r="A186" s="3268" t="s">
        <v>29</v>
      </c>
      <c r="B186" s="3257" t="s">
        <v>3194</v>
      </c>
      <c r="C186" s="3269"/>
      <c r="D186" s="3269"/>
      <c r="E186" s="3269"/>
      <c r="F186" s="3258">
        <v>0.05</v>
      </c>
      <c r="G186" s="3275"/>
    </row>
    <row r="187" spans="1:7">
      <c r="A187" s="3268" t="s">
        <v>29</v>
      </c>
      <c r="B187" s="3257" t="s">
        <v>3195</v>
      </c>
      <c r="C187" s="3269"/>
      <c r="D187" s="3269"/>
      <c r="E187" s="3269"/>
      <c r="F187" s="3258">
        <v>0.05</v>
      </c>
      <c r="G187" s="3275"/>
    </row>
    <row r="188" spans="1:7">
      <c r="A188" s="3268" t="s">
        <v>29</v>
      </c>
      <c r="B188" s="3257" t="s">
        <v>3196</v>
      </c>
      <c r="C188" s="3269"/>
      <c r="D188" s="3269"/>
      <c r="E188" s="3269"/>
      <c r="F188" s="3258">
        <v>0.05</v>
      </c>
      <c r="G188" s="3275"/>
    </row>
    <row r="189" spans="1:7" ht="14.25" thickBot="1">
      <c r="A189" s="3271" t="s">
        <v>29</v>
      </c>
      <c r="B189" s="3261" t="s">
        <v>3197</v>
      </c>
      <c r="C189" s="3263"/>
      <c r="D189" s="3263"/>
      <c r="E189" s="3263"/>
      <c r="F189" s="3262">
        <v>0.05</v>
      </c>
      <c r="G189" s="3276"/>
    </row>
    <row r="190" spans="1:7">
      <c r="A190" s="3267" t="s">
        <v>304</v>
      </c>
      <c r="B190" s="3253" t="s">
        <v>2853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2889</v>
      </c>
      <c r="C199" s="3258">
        <v>0.13</v>
      </c>
      <c r="D199" s="3258">
        <v>0.13</v>
      </c>
      <c r="E199" s="3258">
        <v>0.13</v>
      </c>
      <c r="F199" s="3258">
        <v>0.13</v>
      </c>
      <c r="G199" s="3259">
        <v>0.13</v>
      </c>
    </row>
    <row r="200" spans="1:7">
      <c r="A200" s="3268" t="s">
        <v>304</v>
      </c>
      <c r="B200" s="3257" t="s">
        <v>2892</v>
      </c>
      <c r="C200" s="3274"/>
      <c r="D200" s="3274"/>
      <c r="E200" s="3274"/>
      <c r="F200" s="3258">
        <v>0.13</v>
      </c>
      <c r="G200" s="3270"/>
    </row>
    <row r="201" spans="1:7">
      <c r="A201" s="3268" t="s">
        <v>304</v>
      </c>
      <c r="B201" s="3257" t="s">
        <v>2897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2900</v>
      </c>
      <c r="C203" s="3258">
        <v>0.129</v>
      </c>
      <c r="D203" s="3258">
        <v>0.129</v>
      </c>
      <c r="E203" s="3258">
        <v>0.13</v>
      </c>
      <c r="F203" s="3258">
        <v>0.13</v>
      </c>
      <c r="G203" s="3259">
        <v>0.13</v>
      </c>
    </row>
    <row r="204" spans="1:7">
      <c r="A204" s="3268" t="s">
        <v>304</v>
      </c>
      <c r="B204" s="3257" t="s">
        <v>2903</v>
      </c>
      <c r="C204" s="3258">
        <v>0.129</v>
      </c>
      <c r="D204" s="3258">
        <v>0.129</v>
      </c>
      <c r="E204" s="3258">
        <v>0.123</v>
      </c>
      <c r="F204" s="3258">
        <v>0.13</v>
      </c>
      <c r="G204" s="3259">
        <v>0.13</v>
      </c>
    </row>
    <row r="205" spans="1:7">
      <c r="A205" s="3268" t="s">
        <v>304</v>
      </c>
      <c r="B205" s="3257" t="s">
        <v>2905</v>
      </c>
      <c r="C205" s="3258">
        <v>0.13</v>
      </c>
      <c r="D205" s="3258">
        <v>0.13</v>
      </c>
      <c r="E205" s="3258">
        <v>0.13</v>
      </c>
      <c r="F205" s="3258">
        <v>0.13</v>
      </c>
      <c r="G205" s="3259">
        <v>0.13</v>
      </c>
    </row>
    <row r="206" spans="1:7">
      <c r="A206" s="3268" t="s">
        <v>304</v>
      </c>
      <c r="B206" s="3257" t="s">
        <v>2908</v>
      </c>
      <c r="C206" s="3258">
        <v>0.13</v>
      </c>
      <c r="D206" s="3258">
        <v>0.13</v>
      </c>
      <c r="E206" s="3258">
        <v>0.13</v>
      </c>
      <c r="F206" s="3258">
        <v>0.128</v>
      </c>
      <c r="G206" s="3259">
        <v>0.13</v>
      </c>
    </row>
    <row r="207" spans="1:7">
      <c r="A207" s="3268" t="s">
        <v>304</v>
      </c>
      <c r="B207" s="3257" t="s">
        <v>2910</v>
      </c>
      <c r="C207" s="3258">
        <v>0.13</v>
      </c>
      <c r="D207" s="3258">
        <v>0.13</v>
      </c>
      <c r="E207" s="3258">
        <v>0.13</v>
      </c>
      <c r="F207" s="3258">
        <v>0.13</v>
      </c>
      <c r="G207" s="3259">
        <v>0.13</v>
      </c>
    </row>
    <row r="208" spans="1:7">
      <c r="A208" s="3268" t="s">
        <v>304</v>
      </c>
      <c r="B208" s="3257" t="s">
        <v>2913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2920</v>
      </c>
      <c r="C210" s="3258">
        <v>0.121</v>
      </c>
      <c r="D210" s="3258">
        <v>0.121</v>
      </c>
      <c r="E210" s="3258">
        <v>0.125</v>
      </c>
      <c r="F210" s="3258">
        <v>0.13</v>
      </c>
      <c r="G210" s="3259">
        <v>0.123</v>
      </c>
    </row>
    <row r="211" spans="1:7">
      <c r="A211" s="3268" t="s">
        <v>304</v>
      </c>
      <c r="B211" s="3257" t="s">
        <v>2923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2935</v>
      </c>
      <c r="C214" s="3258">
        <v>0.128</v>
      </c>
      <c r="D214" s="3258">
        <v>0.128</v>
      </c>
      <c r="E214" s="3258">
        <v>0.13</v>
      </c>
      <c r="F214" s="3258">
        <v>0.13</v>
      </c>
      <c r="G214" s="3259">
        <v>0.13</v>
      </c>
    </row>
    <row r="215" spans="1:7">
      <c r="A215" s="3268" t="s">
        <v>304</v>
      </c>
      <c r="B215" s="3257" t="s">
        <v>2939</v>
      </c>
      <c r="C215" s="3258">
        <v>0.13</v>
      </c>
      <c r="D215" s="3258">
        <v>0.13</v>
      </c>
      <c r="E215" s="3258">
        <v>0.13</v>
      </c>
      <c r="F215" s="3258">
        <v>0.129</v>
      </c>
      <c r="G215" s="3259">
        <v>0.13</v>
      </c>
    </row>
    <row r="216" spans="1:7">
      <c r="A216" s="3268" t="s">
        <v>304</v>
      </c>
      <c r="B216" s="3257" t="s">
        <v>2946</v>
      </c>
      <c r="C216" s="3258">
        <v>0.13</v>
      </c>
      <c r="D216" s="3258">
        <v>0.13</v>
      </c>
      <c r="E216" s="3258">
        <v>0.13</v>
      </c>
      <c r="F216" s="3258">
        <v>0.13</v>
      </c>
      <c r="G216" s="3259">
        <v>0.13</v>
      </c>
    </row>
    <row r="217" spans="1:7">
      <c r="A217" s="3268" t="s">
        <v>304</v>
      </c>
      <c r="B217" s="3257" t="s">
        <v>2953</v>
      </c>
      <c r="C217" s="3258">
        <v>0.129</v>
      </c>
      <c r="D217" s="3258">
        <v>0.129</v>
      </c>
      <c r="E217" s="3258">
        <v>0.13</v>
      </c>
      <c r="F217" s="3258">
        <v>0.13</v>
      </c>
      <c r="G217" s="3259">
        <v>0.13</v>
      </c>
    </row>
    <row r="218" spans="1:7">
      <c r="A218" s="3268" t="s">
        <v>304</v>
      </c>
      <c r="B218" s="3257" t="s">
        <v>2959</v>
      </c>
      <c r="C218" s="3269"/>
      <c r="D218" s="3269"/>
      <c r="E218" s="3269"/>
      <c r="F218" s="3258">
        <v>0.05</v>
      </c>
      <c r="G218" s="3275"/>
    </row>
    <row r="219" spans="1:7">
      <c r="A219" s="3268" t="s">
        <v>304</v>
      </c>
      <c r="B219" s="3257" t="s">
        <v>2966</v>
      </c>
      <c r="C219" s="3269"/>
      <c r="D219" s="3269"/>
      <c r="E219" s="3269"/>
      <c r="F219" s="3258">
        <v>0.05</v>
      </c>
      <c r="G219" s="3275"/>
    </row>
    <row r="220" spans="1:7">
      <c r="A220" s="3268" t="s">
        <v>304</v>
      </c>
      <c r="B220" s="3257" t="s">
        <v>2972</v>
      </c>
      <c r="C220" s="3269"/>
      <c r="D220" s="3269"/>
      <c r="E220" s="3269"/>
      <c r="F220" s="3258">
        <v>0.05</v>
      </c>
      <c r="G220" s="3275"/>
    </row>
    <row r="221" spans="1:7">
      <c r="A221" s="3268" t="s">
        <v>304</v>
      </c>
      <c r="B221" s="3257" t="s">
        <v>2977</v>
      </c>
      <c r="C221" s="3269"/>
      <c r="D221" s="3269"/>
      <c r="E221" s="3269"/>
      <c r="F221" s="3258">
        <v>0.05</v>
      </c>
      <c r="G221" s="3275"/>
    </row>
    <row r="222" spans="1:7">
      <c r="A222" s="3268" t="s">
        <v>304</v>
      </c>
      <c r="B222" s="3257" t="s">
        <v>2981</v>
      </c>
      <c r="C222" s="3269"/>
      <c r="D222" s="3269"/>
      <c r="E222" s="3269"/>
      <c r="F222" s="3258">
        <v>0.05</v>
      </c>
      <c r="G222" s="3275"/>
    </row>
    <row r="223" spans="1:7">
      <c r="A223" s="3268" t="s">
        <v>304</v>
      </c>
      <c r="B223" s="3257" t="s">
        <v>2986</v>
      </c>
      <c r="C223" s="3269"/>
      <c r="D223" s="3269"/>
      <c r="E223" s="3269"/>
      <c r="F223" s="3258">
        <v>0.05</v>
      </c>
      <c r="G223" s="3275"/>
    </row>
    <row r="224" spans="1:7">
      <c r="A224" s="3268" t="s">
        <v>304</v>
      </c>
      <c r="B224" s="3257" t="s">
        <v>2991</v>
      </c>
      <c r="C224" s="3269"/>
      <c r="D224" s="3269"/>
      <c r="E224" s="3269"/>
      <c r="F224" s="3258">
        <v>0.05</v>
      </c>
      <c r="G224" s="3275"/>
    </row>
    <row r="225" spans="1:7">
      <c r="A225" s="3268" t="s">
        <v>304</v>
      </c>
      <c r="B225" s="3257" t="s">
        <v>2996</v>
      </c>
      <c r="C225" s="3269"/>
      <c r="D225" s="3269"/>
      <c r="E225" s="3269"/>
      <c r="F225" s="3258">
        <v>0.05</v>
      </c>
      <c r="G225" s="3275"/>
    </row>
    <row r="226" spans="1:7">
      <c r="A226" s="3268" t="s">
        <v>304</v>
      </c>
      <c r="B226" s="3257" t="s">
        <v>3198</v>
      </c>
      <c r="C226" s="3269"/>
      <c r="D226" s="3269"/>
      <c r="E226" s="3269"/>
      <c r="F226" s="3258">
        <v>0.05</v>
      </c>
      <c r="G226" s="3275"/>
    </row>
    <row r="227" spans="1:7">
      <c r="A227" s="3268" t="s">
        <v>304</v>
      </c>
      <c r="B227" s="3257" t="s">
        <v>3199</v>
      </c>
      <c r="C227" s="3269"/>
      <c r="D227" s="3269"/>
      <c r="E227" s="3269"/>
      <c r="F227" s="3258">
        <v>0.05</v>
      </c>
      <c r="G227" s="3275"/>
    </row>
    <row r="228" spans="1:7">
      <c r="A228" s="3268" t="s">
        <v>304</v>
      </c>
      <c r="B228" s="3257" t="s">
        <v>3200</v>
      </c>
      <c r="C228" s="3269"/>
      <c r="D228" s="3269"/>
      <c r="E228" s="3269"/>
      <c r="F228" s="3258">
        <v>0.05</v>
      </c>
      <c r="G228" s="3275"/>
    </row>
    <row r="229" spans="1:7">
      <c r="A229" s="3268" t="s">
        <v>304</v>
      </c>
      <c r="B229" s="3257" t="s">
        <v>3201</v>
      </c>
      <c r="C229" s="3269"/>
      <c r="D229" s="3269"/>
      <c r="E229" s="3269"/>
      <c r="F229" s="3258">
        <v>0.05</v>
      </c>
      <c r="G229" s="3275"/>
    </row>
    <row r="230" spans="1:7">
      <c r="A230" s="3268" t="s">
        <v>304</v>
      </c>
      <c r="B230" s="3257" t="s">
        <v>3202</v>
      </c>
      <c r="C230" s="3269"/>
      <c r="D230" s="3269"/>
      <c r="E230" s="3269"/>
      <c r="F230" s="3258">
        <v>0.05</v>
      </c>
      <c r="G230" s="3275"/>
    </row>
    <row r="231" spans="1:7">
      <c r="A231" s="3268" t="s">
        <v>304</v>
      </c>
      <c r="B231" s="3257" t="s">
        <v>3203</v>
      </c>
      <c r="C231" s="3269"/>
      <c r="D231" s="3269"/>
      <c r="E231" s="3269"/>
      <c r="F231" s="3258">
        <v>0.05</v>
      </c>
      <c r="G231" s="3275"/>
    </row>
    <row r="232" spans="1:7">
      <c r="A232" s="3268" t="s">
        <v>304</v>
      </c>
      <c r="B232" s="3257" t="s">
        <v>3204</v>
      </c>
      <c r="C232" s="3269"/>
      <c r="D232" s="3269"/>
      <c r="E232" s="3269"/>
      <c r="F232" s="3258">
        <v>0.05</v>
      </c>
      <c r="G232" s="3275"/>
    </row>
    <row r="233" spans="1:7" ht="14.25" thickBot="1">
      <c r="A233" s="3271" t="s">
        <v>304</v>
      </c>
      <c r="B233" s="3261" t="s">
        <v>3205</v>
      </c>
      <c r="C233" s="3263"/>
      <c r="D233" s="3263"/>
      <c r="E233" s="3263"/>
      <c r="F233" s="3262">
        <v>0.05</v>
      </c>
      <c r="G233" s="3276"/>
    </row>
    <row r="234" spans="1:7">
      <c r="A234" s="3267" t="s">
        <v>305</v>
      </c>
      <c r="B234" s="3253" t="s">
        <v>2854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2874</v>
      </c>
      <c r="C238" s="3258">
        <v>0.14899999999999999</v>
      </c>
      <c r="D238" s="3258">
        <v>0.14899999999999999</v>
      </c>
      <c r="E238" s="3258">
        <v>0.15</v>
      </c>
      <c r="F238" s="3258">
        <v>0.15</v>
      </c>
      <c r="G238" s="3259">
        <v>0.15</v>
      </c>
    </row>
    <row r="239" spans="1:7">
      <c r="A239" s="3268" t="s">
        <v>305</v>
      </c>
      <c r="B239" s="3257" t="s">
        <v>2878</v>
      </c>
      <c r="C239" s="3258">
        <v>0.15</v>
      </c>
      <c r="D239" s="3258">
        <v>0.15</v>
      </c>
      <c r="E239" s="3258">
        <v>0.15</v>
      </c>
      <c r="F239" s="3258">
        <v>0.15</v>
      </c>
      <c r="G239" s="3259">
        <v>0.15</v>
      </c>
    </row>
    <row r="240" spans="1:7">
      <c r="A240" s="3268" t="s">
        <v>305</v>
      </c>
      <c r="B240" s="3257" t="s">
        <v>2883</v>
      </c>
      <c r="C240" s="3258">
        <v>0.15</v>
      </c>
      <c r="D240" s="3258">
        <v>0.15</v>
      </c>
      <c r="E240" s="3258">
        <v>0.15</v>
      </c>
      <c r="F240" s="3258">
        <v>0.15</v>
      </c>
      <c r="G240" s="3259">
        <v>0.15</v>
      </c>
    </row>
    <row r="241" spans="1:7">
      <c r="A241" s="3268" t="s">
        <v>305</v>
      </c>
      <c r="B241" s="3257" t="s">
        <v>2887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2936</v>
      </c>
      <c r="C258" s="3258">
        <v>0.14299999999999999</v>
      </c>
      <c r="D258" s="3258">
        <v>0.14299999999999999</v>
      </c>
      <c r="E258" s="3258">
        <v>0.15</v>
      </c>
      <c r="F258" s="3258">
        <v>0.14799999999999999</v>
      </c>
      <c r="G258" s="3259">
        <v>0.14599999999999999</v>
      </c>
    </row>
    <row r="259" spans="1:7">
      <c r="A259" s="3268" t="s">
        <v>305</v>
      </c>
      <c r="B259" s="3257" t="s">
        <v>2940</v>
      </c>
      <c r="C259" s="3258">
        <v>0.14399999999999999</v>
      </c>
      <c r="D259" s="3258">
        <v>0.14399999999999999</v>
      </c>
      <c r="E259" s="3258">
        <v>0.14899999999999999</v>
      </c>
      <c r="F259" s="3258">
        <v>0.14699999999999999</v>
      </c>
      <c r="G259" s="3259">
        <v>0.14599999999999999</v>
      </c>
    </row>
    <row r="260" spans="1:7">
      <c r="A260" s="3268" t="s">
        <v>305</v>
      </c>
      <c r="B260" s="3257" t="s">
        <v>2947</v>
      </c>
      <c r="C260" s="3258">
        <v>0.109</v>
      </c>
      <c r="D260" s="3258">
        <v>0.111</v>
      </c>
      <c r="E260" s="3258">
        <v>0.13100000000000001</v>
      </c>
      <c r="F260" s="3258">
        <v>0.126</v>
      </c>
      <c r="G260" s="3259">
        <v>0.11899999999999999</v>
      </c>
    </row>
    <row r="261" spans="1:7">
      <c r="A261" s="3268" t="s">
        <v>305</v>
      </c>
      <c r="B261" s="3257" t="s">
        <v>2954</v>
      </c>
      <c r="C261" s="3258">
        <v>0.1</v>
      </c>
      <c r="D261" s="3258">
        <v>0.1</v>
      </c>
      <c r="E261" s="3258">
        <v>0.11799999999999999</v>
      </c>
      <c r="F261" s="3258">
        <v>0.108</v>
      </c>
      <c r="G261" s="3259">
        <v>0.107</v>
      </c>
    </row>
    <row r="262" spans="1:7">
      <c r="A262" s="3268" t="s">
        <v>305</v>
      </c>
      <c r="B262" s="3257" t="s">
        <v>2960</v>
      </c>
      <c r="C262" s="3258">
        <v>0.1</v>
      </c>
      <c r="D262" s="3258">
        <v>0.1</v>
      </c>
      <c r="E262" s="3258">
        <v>0.1</v>
      </c>
      <c r="F262" s="3258">
        <v>0.14099999999999999</v>
      </c>
      <c r="G262" s="3259">
        <v>0.1</v>
      </c>
    </row>
    <row r="263" spans="1:7">
      <c r="A263" s="3268" t="s">
        <v>305</v>
      </c>
      <c r="B263" s="3257" t="s">
        <v>2967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2978</v>
      </c>
      <c r="C265" s="3269"/>
      <c r="D265" s="3269"/>
      <c r="E265" s="3269"/>
      <c r="F265" s="3258">
        <v>0.05</v>
      </c>
      <c r="G265" s="3275"/>
    </row>
    <row r="266" spans="1:7">
      <c r="A266" s="3268" t="s">
        <v>305</v>
      </c>
      <c r="B266" s="3257" t="s">
        <v>2982</v>
      </c>
      <c r="C266" s="3269"/>
      <c r="D266" s="3269"/>
      <c r="E266" s="3269"/>
      <c r="F266" s="3258">
        <v>0.05</v>
      </c>
      <c r="G266" s="3275"/>
    </row>
    <row r="267" spans="1:7">
      <c r="A267" s="3268" t="s">
        <v>305</v>
      </c>
      <c r="B267" s="3257" t="s">
        <v>2987</v>
      </c>
      <c r="C267" s="3269"/>
      <c r="D267" s="3269"/>
      <c r="E267" s="3269"/>
      <c r="F267" s="3258">
        <v>0.05</v>
      </c>
      <c r="G267" s="3275"/>
    </row>
    <row r="268" spans="1:7">
      <c r="A268" s="3268" t="s">
        <v>305</v>
      </c>
      <c r="B268" s="3257" t="s">
        <v>2992</v>
      </c>
      <c r="C268" s="3269"/>
      <c r="D268" s="3269"/>
      <c r="E268" s="3269"/>
      <c r="F268" s="3258">
        <v>0.05</v>
      </c>
      <c r="G268" s="3275"/>
    </row>
    <row r="269" spans="1:7">
      <c r="A269" s="3268" t="s">
        <v>305</v>
      </c>
      <c r="B269" s="3257" t="s">
        <v>2997</v>
      </c>
      <c r="C269" s="3269"/>
      <c r="D269" s="3269"/>
      <c r="E269" s="3269"/>
      <c r="F269" s="3258">
        <v>0.05</v>
      </c>
      <c r="G269" s="3275"/>
    </row>
    <row r="270" spans="1:7">
      <c r="A270" s="3268" t="s">
        <v>305</v>
      </c>
      <c r="B270" s="3257" t="s">
        <v>3002</v>
      </c>
      <c r="C270" s="3269"/>
      <c r="D270" s="3269"/>
      <c r="E270" s="3269"/>
      <c r="F270" s="3258">
        <v>0.05</v>
      </c>
      <c r="G270" s="3275"/>
    </row>
    <row r="271" spans="1:7">
      <c r="A271" s="3268" t="s">
        <v>305</v>
      </c>
      <c r="B271" s="3257" t="s">
        <v>3206</v>
      </c>
      <c r="C271" s="3269"/>
      <c r="D271" s="3269"/>
      <c r="E271" s="3269"/>
      <c r="F271" s="3258">
        <v>0.05</v>
      </c>
      <c r="G271" s="3275"/>
    </row>
    <row r="272" spans="1:7">
      <c r="A272" s="3268" t="s">
        <v>305</v>
      </c>
      <c r="B272" s="3257" t="s">
        <v>3207</v>
      </c>
      <c r="C272" s="3269"/>
      <c r="D272" s="3269"/>
      <c r="E272" s="3269"/>
      <c r="F272" s="3258">
        <v>0.05</v>
      </c>
      <c r="G272" s="3275"/>
    </row>
    <row r="273" spans="1:7">
      <c r="A273" s="3268" t="s">
        <v>305</v>
      </c>
      <c r="B273" s="3257" t="s">
        <v>3208</v>
      </c>
      <c r="C273" s="3269"/>
      <c r="D273" s="3269"/>
      <c r="E273" s="3269"/>
      <c r="F273" s="3258">
        <v>0.05</v>
      </c>
      <c r="G273" s="3275"/>
    </row>
    <row r="274" spans="1:7">
      <c r="A274" s="3268" t="s">
        <v>305</v>
      </c>
      <c r="B274" s="3257" t="s">
        <v>3209</v>
      </c>
      <c r="C274" s="3269"/>
      <c r="D274" s="3269"/>
      <c r="E274" s="3269"/>
      <c r="F274" s="3258">
        <v>0.05</v>
      </c>
      <c r="G274" s="3275"/>
    </row>
    <row r="275" spans="1:7">
      <c r="A275" s="3268" t="s">
        <v>305</v>
      </c>
      <c r="B275" s="3257" t="s">
        <v>3210</v>
      </c>
      <c r="C275" s="3269"/>
      <c r="D275" s="3269"/>
      <c r="E275" s="3269"/>
      <c r="F275" s="3258">
        <v>0.05</v>
      </c>
      <c r="G275" s="3275"/>
    </row>
    <row r="276" spans="1:7" ht="14.25" thickBot="1">
      <c r="A276" s="3271" t="s">
        <v>305</v>
      </c>
      <c r="B276" s="3261" t="s">
        <v>3211</v>
      </c>
      <c r="C276" s="3263"/>
      <c r="D276" s="3263"/>
      <c r="E276" s="3263"/>
      <c r="F276" s="3262">
        <v>0.05</v>
      </c>
      <c r="G276" s="3276"/>
    </row>
    <row r="277" spans="1:7">
      <c r="A277" s="3267" t="s">
        <v>306</v>
      </c>
      <c r="B277" s="3253" t="s">
        <v>2855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2867</v>
      </c>
      <c r="C279" s="3258">
        <v>0.15</v>
      </c>
      <c r="D279" s="3258">
        <v>0.15</v>
      </c>
      <c r="E279" s="3258">
        <v>0.15</v>
      </c>
      <c r="F279" s="3258">
        <v>0.15</v>
      </c>
      <c r="G279" s="3259">
        <v>0.15</v>
      </c>
    </row>
    <row r="280" spans="1:7">
      <c r="A280" s="3268" t="s">
        <v>306</v>
      </c>
      <c r="B280" s="3257" t="s">
        <v>2871</v>
      </c>
      <c r="C280" s="3258">
        <v>0.15</v>
      </c>
      <c r="D280" s="3258">
        <v>0.15</v>
      </c>
      <c r="E280" s="3258">
        <v>0.15</v>
      </c>
      <c r="F280" s="3258">
        <v>0.15</v>
      </c>
      <c r="G280" s="3259">
        <v>0.15</v>
      </c>
    </row>
    <row r="281" spans="1:7">
      <c r="A281" s="3268" t="s">
        <v>306</v>
      </c>
      <c r="B281" s="3257" t="s">
        <v>2875</v>
      </c>
      <c r="C281" s="3258">
        <v>0.15</v>
      </c>
      <c r="D281" s="3258">
        <v>0.15</v>
      </c>
      <c r="E281" s="3258">
        <v>0.15</v>
      </c>
      <c r="F281" s="3258">
        <v>0.15</v>
      </c>
      <c r="G281" s="3259">
        <v>0.15</v>
      </c>
    </row>
    <row r="282" spans="1:7">
      <c r="A282" s="3268" t="s">
        <v>306</v>
      </c>
      <c r="B282" s="3257" t="s">
        <v>2879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2909</v>
      </c>
      <c r="C293" s="3258">
        <v>0.15</v>
      </c>
      <c r="D293" s="3258">
        <v>0.15</v>
      </c>
      <c r="E293" s="3258">
        <v>0.15</v>
      </c>
      <c r="F293" s="3258">
        <v>0.14499999999999999</v>
      </c>
      <c r="G293" s="3259">
        <v>0.15</v>
      </c>
    </row>
    <row r="294" spans="1:7">
      <c r="A294" s="3268" t="s">
        <v>306</v>
      </c>
      <c r="B294" s="3257" t="s">
        <v>2911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2941</v>
      </c>
      <c r="C302" s="3258">
        <v>0.15</v>
      </c>
      <c r="D302" s="3258">
        <v>0.15</v>
      </c>
      <c r="E302" s="3258">
        <v>0.15</v>
      </c>
      <c r="F302" s="3258">
        <v>0.14699999999999999</v>
      </c>
      <c r="G302" s="3259">
        <v>0.15</v>
      </c>
    </row>
    <row r="303" spans="1:7">
      <c r="A303" s="3268" t="s">
        <v>306</v>
      </c>
      <c r="B303" s="3257" t="s">
        <v>2948</v>
      </c>
      <c r="C303" s="3258">
        <v>0.15</v>
      </c>
      <c r="D303" s="3258">
        <v>0.15</v>
      </c>
      <c r="E303" s="3258">
        <v>0.15</v>
      </c>
      <c r="F303" s="3258">
        <v>0.14199999999999999</v>
      </c>
      <c r="G303" s="3259">
        <v>0.15</v>
      </c>
    </row>
    <row r="304" spans="1:7">
      <c r="A304" s="3268" t="s">
        <v>306</v>
      </c>
      <c r="B304" s="3257" t="s">
        <v>2955</v>
      </c>
      <c r="C304" s="3258">
        <v>0.15</v>
      </c>
      <c r="D304" s="3258">
        <v>0.15</v>
      </c>
      <c r="E304" s="3258">
        <v>0.15</v>
      </c>
      <c r="F304" s="3258">
        <v>0.14499999999999999</v>
      </c>
      <c r="G304" s="3259">
        <v>0.15</v>
      </c>
    </row>
    <row r="305" spans="1:7">
      <c r="A305" s="3268" t="s">
        <v>306</v>
      </c>
      <c r="B305" s="3257" t="s">
        <v>2961</v>
      </c>
      <c r="C305" s="3258">
        <v>0.15</v>
      </c>
      <c r="D305" s="3258">
        <v>0.15</v>
      </c>
      <c r="E305" s="3258">
        <v>0.15</v>
      </c>
      <c r="F305" s="3258">
        <v>0.111</v>
      </c>
      <c r="G305" s="3259">
        <v>0.15</v>
      </c>
    </row>
    <row r="306" spans="1:7">
      <c r="A306" s="3268" t="s">
        <v>306</v>
      </c>
      <c r="B306" s="3257" t="s">
        <v>2968</v>
      </c>
      <c r="C306" s="3258">
        <v>0.15</v>
      </c>
      <c r="D306" s="3258">
        <v>0.15</v>
      </c>
      <c r="E306" s="3258">
        <v>0.15</v>
      </c>
      <c r="F306" s="3258">
        <v>0.126</v>
      </c>
      <c r="G306" s="3259">
        <v>0.15</v>
      </c>
    </row>
    <row r="307" spans="1:7">
      <c r="A307" s="3268" t="s">
        <v>306</v>
      </c>
      <c r="B307" s="3257" t="s">
        <v>2973</v>
      </c>
      <c r="C307" s="3258">
        <v>0.15</v>
      </c>
      <c r="D307" s="3258">
        <v>0.15</v>
      </c>
      <c r="E307" s="3258">
        <v>0.15</v>
      </c>
      <c r="F307" s="3258">
        <v>0.12</v>
      </c>
      <c r="G307" s="3259">
        <v>0.15</v>
      </c>
    </row>
    <row r="308" spans="1:7">
      <c r="A308" s="3268" t="s">
        <v>306</v>
      </c>
      <c r="B308" s="3257" t="s">
        <v>2979</v>
      </c>
      <c r="C308" s="3258">
        <v>0.15</v>
      </c>
      <c r="D308" s="3258">
        <v>0.15</v>
      </c>
      <c r="E308" s="3258">
        <v>0.15</v>
      </c>
      <c r="F308" s="3258">
        <v>0.13</v>
      </c>
      <c r="G308" s="3259">
        <v>0.15</v>
      </c>
    </row>
    <row r="309" spans="1:7">
      <c r="A309" s="3268" t="s">
        <v>306</v>
      </c>
      <c r="B309" s="3257" t="s">
        <v>2983</v>
      </c>
      <c r="C309" s="3258">
        <v>0.15</v>
      </c>
      <c r="D309" s="3258">
        <v>0.15</v>
      </c>
      <c r="E309" s="3258">
        <v>0.15</v>
      </c>
      <c r="F309" s="3258">
        <v>0.14099999999999999</v>
      </c>
      <c r="G309" s="3259">
        <v>0.15</v>
      </c>
    </row>
    <row r="310" spans="1:7">
      <c r="A310" s="3268" t="s">
        <v>306</v>
      </c>
      <c r="B310" s="3257" t="s">
        <v>2988</v>
      </c>
      <c r="C310" s="3258">
        <v>0.15</v>
      </c>
      <c r="D310" s="3258">
        <v>0.15</v>
      </c>
      <c r="E310" s="3258">
        <v>0.15</v>
      </c>
      <c r="F310" s="3258">
        <v>0.15</v>
      </c>
      <c r="G310" s="3259">
        <v>0.15</v>
      </c>
    </row>
    <row r="311" spans="1:7">
      <c r="A311" s="3268" t="s">
        <v>306</v>
      </c>
      <c r="B311" s="3257" t="s">
        <v>2993</v>
      </c>
      <c r="C311" s="3258">
        <v>0.13200000000000001</v>
      </c>
      <c r="D311" s="3258">
        <v>0.13300000000000001</v>
      </c>
      <c r="E311" s="3258">
        <v>0.14499999999999999</v>
      </c>
      <c r="F311" s="3258">
        <v>0.14199999999999999</v>
      </c>
      <c r="G311" s="3259">
        <v>0.14000000000000001</v>
      </c>
    </row>
    <row r="312" spans="1:7">
      <c r="A312" s="3268" t="s">
        <v>306</v>
      </c>
      <c r="B312" s="3257" t="s">
        <v>2998</v>
      </c>
      <c r="C312" s="3258">
        <v>0.13800000000000001</v>
      </c>
      <c r="D312" s="3258">
        <v>0.14000000000000001</v>
      </c>
      <c r="E312" s="3258">
        <v>0.14599999999999999</v>
      </c>
      <c r="F312" s="3258">
        <v>0.14899999999999999</v>
      </c>
      <c r="G312" s="3259">
        <v>0.14199999999999999</v>
      </c>
    </row>
    <row r="313" spans="1:7">
      <c r="A313" s="3268" t="s">
        <v>306</v>
      </c>
      <c r="B313" s="3257" t="s">
        <v>3003</v>
      </c>
      <c r="C313" s="3258">
        <v>0.125</v>
      </c>
      <c r="D313" s="3258">
        <v>0.127</v>
      </c>
      <c r="E313" s="3258">
        <v>0.14399999999999999</v>
      </c>
      <c r="F313" s="3258">
        <v>0.115</v>
      </c>
      <c r="G313" s="3259">
        <v>0.13600000000000001</v>
      </c>
    </row>
    <row r="314" spans="1:7">
      <c r="A314" s="3268" t="s">
        <v>306</v>
      </c>
      <c r="B314" s="3257" t="s">
        <v>3212</v>
      </c>
      <c r="C314" s="3274"/>
      <c r="D314" s="3274"/>
      <c r="E314" s="3274"/>
      <c r="F314" s="3258">
        <v>0.05</v>
      </c>
      <c r="G314" s="3275"/>
    </row>
    <row r="315" spans="1:7">
      <c r="A315" s="3268" t="s">
        <v>306</v>
      </c>
      <c r="B315" s="3257" t="s">
        <v>3213</v>
      </c>
      <c r="C315" s="3274"/>
      <c r="D315" s="3274"/>
      <c r="E315" s="3274"/>
      <c r="F315" s="3258">
        <v>0.05</v>
      </c>
      <c r="G315" s="3275"/>
    </row>
    <row r="316" spans="1:7">
      <c r="A316" s="3268" t="s">
        <v>306</v>
      </c>
      <c r="B316" s="3257" t="s">
        <v>3214</v>
      </c>
      <c r="C316" s="3269"/>
      <c r="D316" s="3269"/>
      <c r="E316" s="3269"/>
      <c r="F316" s="3258">
        <v>0.05</v>
      </c>
      <c r="G316" s="3275"/>
    </row>
    <row r="317" spans="1:7">
      <c r="A317" s="3268" t="s">
        <v>306</v>
      </c>
      <c r="B317" s="3257" t="s">
        <v>3215</v>
      </c>
      <c r="C317" s="3269"/>
      <c r="D317" s="3269"/>
      <c r="E317" s="3269"/>
      <c r="F317" s="3258">
        <v>0.05</v>
      </c>
      <c r="G317" s="3275"/>
    </row>
    <row r="318" spans="1:7">
      <c r="A318" s="3268" t="s">
        <v>306</v>
      </c>
      <c r="B318" s="3257" t="s">
        <v>3216</v>
      </c>
      <c r="C318" s="3269"/>
      <c r="D318" s="3269"/>
      <c r="E318" s="3269"/>
      <c r="F318" s="3258">
        <v>0.05</v>
      </c>
      <c r="G318" s="3275"/>
    </row>
    <row r="319" spans="1:7">
      <c r="A319" s="3268" t="s">
        <v>306</v>
      </c>
      <c r="B319" s="3257" t="s">
        <v>3217</v>
      </c>
      <c r="C319" s="3269"/>
      <c r="D319" s="3269"/>
      <c r="E319" s="3269"/>
      <c r="F319" s="3258">
        <v>0.05</v>
      </c>
      <c r="G319" s="3275"/>
    </row>
    <row r="320" spans="1:7">
      <c r="A320" s="3268" t="s">
        <v>306</v>
      </c>
      <c r="B320" s="3257" t="s">
        <v>3218</v>
      </c>
      <c r="C320" s="3269"/>
      <c r="D320" s="3269"/>
      <c r="E320" s="3269"/>
      <c r="F320" s="3258">
        <v>0.05</v>
      </c>
      <c r="G320" s="3275"/>
    </row>
    <row r="321" spans="1:7">
      <c r="A321" s="3268" t="s">
        <v>306</v>
      </c>
      <c r="B321" s="3257" t="s">
        <v>3219</v>
      </c>
      <c r="C321" s="3269"/>
      <c r="D321" s="3269"/>
      <c r="E321" s="3269"/>
      <c r="F321" s="3258">
        <v>0.05</v>
      </c>
      <c r="G321" s="3275"/>
    </row>
    <row r="322" spans="1:7">
      <c r="A322" s="3268" t="s">
        <v>306</v>
      </c>
      <c r="B322" s="3257" t="s">
        <v>3220</v>
      </c>
      <c r="C322" s="3269"/>
      <c r="D322" s="3269"/>
      <c r="E322" s="3269"/>
      <c r="F322" s="3258">
        <v>0.05</v>
      </c>
      <c r="G322" s="3275"/>
    </row>
    <row r="323" spans="1:7">
      <c r="A323" s="3268" t="s">
        <v>306</v>
      </c>
      <c r="B323" s="3257" t="s">
        <v>3221</v>
      </c>
      <c r="C323" s="3269"/>
      <c r="D323" s="3269"/>
      <c r="E323" s="3269"/>
      <c r="F323" s="3258">
        <v>0.05</v>
      </c>
      <c r="G323" s="3275"/>
    </row>
    <row r="324" spans="1:7">
      <c r="A324" s="3268" t="s">
        <v>306</v>
      </c>
      <c r="B324" s="3257" t="s">
        <v>3222</v>
      </c>
      <c r="C324" s="3269"/>
      <c r="D324" s="3269"/>
      <c r="E324" s="3269"/>
      <c r="F324" s="3258">
        <v>0.05</v>
      </c>
      <c r="G324" s="3275"/>
    </row>
    <row r="325" spans="1:7">
      <c r="A325" s="3268" t="s">
        <v>306</v>
      </c>
      <c r="B325" s="3257" t="s">
        <v>3223</v>
      </c>
      <c r="C325" s="3269"/>
      <c r="D325" s="3269"/>
      <c r="E325" s="3269"/>
      <c r="F325" s="3258">
        <v>0.05</v>
      </c>
      <c r="G325" s="3275"/>
    </row>
    <row r="326" spans="1:7" ht="14.25" thickBot="1">
      <c r="A326" s="3271" t="s">
        <v>306</v>
      </c>
      <c r="B326" s="3261" t="s">
        <v>3224</v>
      </c>
      <c r="C326" s="3263"/>
      <c r="D326" s="3263"/>
      <c r="E326" s="3263"/>
      <c r="F326" s="3262">
        <v>0.05</v>
      </c>
      <c r="G326" s="3276"/>
    </row>
    <row r="327" spans="1:7">
      <c r="A327" s="3267" t="s">
        <v>307</v>
      </c>
      <c r="B327" s="3253" t="s">
        <v>2856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2868</v>
      </c>
      <c r="C329" s="3258">
        <v>0.15</v>
      </c>
      <c r="D329" s="3258">
        <v>0.15</v>
      </c>
      <c r="E329" s="3258">
        <v>0.15</v>
      </c>
      <c r="F329" s="3258">
        <v>0.15</v>
      </c>
      <c r="G329" s="3259">
        <v>0.15</v>
      </c>
    </row>
    <row r="330" spans="1:7">
      <c r="A330" s="3268" t="s">
        <v>307</v>
      </c>
      <c r="B330" s="3257" t="s">
        <v>2872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2880</v>
      </c>
      <c r="C332" s="3258">
        <v>0.15</v>
      </c>
      <c r="D332" s="3258">
        <v>0.15</v>
      </c>
      <c r="E332" s="3258">
        <v>0.15</v>
      </c>
      <c r="F332" s="3258">
        <v>0.15</v>
      </c>
      <c r="G332" s="3259">
        <v>0.15</v>
      </c>
    </row>
    <row r="333" spans="1:7">
      <c r="A333" s="3268" t="s">
        <v>307</v>
      </c>
      <c r="B333" s="3257" t="s">
        <v>2884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2890</v>
      </c>
      <c r="C336" s="3258">
        <v>0.15</v>
      </c>
      <c r="D336" s="3258">
        <v>0.15</v>
      </c>
      <c r="E336" s="3258">
        <v>0.15</v>
      </c>
      <c r="F336" s="3258">
        <v>0.14199999999999999</v>
      </c>
      <c r="G336" s="3259">
        <v>0.15</v>
      </c>
    </row>
    <row r="337" spans="1:7">
      <c r="A337" s="3268" t="s">
        <v>307</v>
      </c>
      <c r="B337" s="3257" t="s">
        <v>2895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2915</v>
      </c>
      <c r="C345" s="3258">
        <v>0.15</v>
      </c>
      <c r="D345" s="3258">
        <v>0.15</v>
      </c>
      <c r="E345" s="3258">
        <v>0.15</v>
      </c>
      <c r="F345" s="3258">
        <v>0.13800000000000001</v>
      </c>
      <c r="G345" s="3259">
        <v>0.15</v>
      </c>
    </row>
    <row r="346" spans="1:7">
      <c r="A346" s="3268" t="s">
        <v>307</v>
      </c>
      <c r="B346" s="3257" t="s">
        <v>2917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2924</v>
      </c>
      <c r="C348" s="3258">
        <v>0.15</v>
      </c>
      <c r="D348" s="3258">
        <v>0.15</v>
      </c>
      <c r="E348" s="3258">
        <v>0.15</v>
      </c>
      <c r="F348" s="3258">
        <v>0.14399999999999999</v>
      </c>
      <c r="G348" s="3259">
        <v>0.15</v>
      </c>
    </row>
    <row r="349" spans="1:7">
      <c r="A349" s="3268" t="s">
        <v>307</v>
      </c>
      <c r="B349" s="3257" t="s">
        <v>2929</v>
      </c>
      <c r="C349" s="3258">
        <v>0.15</v>
      </c>
      <c r="D349" s="3258">
        <v>0.15</v>
      </c>
      <c r="E349" s="3258">
        <v>0.15</v>
      </c>
      <c r="F349" s="3258">
        <v>0.15</v>
      </c>
      <c r="G349" s="3259">
        <v>0.15</v>
      </c>
    </row>
    <row r="350" spans="1:7">
      <c r="A350" s="3268" t="s">
        <v>307</v>
      </c>
      <c r="B350" s="3257" t="s">
        <v>2932</v>
      </c>
      <c r="C350" s="3258">
        <v>0.15</v>
      </c>
      <c r="D350" s="3258">
        <v>0.15</v>
      </c>
      <c r="E350" s="3258">
        <v>0.15</v>
      </c>
      <c r="F350" s="3258">
        <v>0.14699999999999999</v>
      </c>
      <c r="G350" s="3259">
        <v>0.15</v>
      </c>
    </row>
    <row r="351" spans="1:7">
      <c r="A351" s="3268" t="s">
        <v>307</v>
      </c>
      <c r="B351" s="3257" t="s">
        <v>2937</v>
      </c>
      <c r="C351" s="3258">
        <v>0.15</v>
      </c>
      <c r="D351" s="3258">
        <v>0.15</v>
      </c>
      <c r="E351" s="3258">
        <v>0.15</v>
      </c>
      <c r="F351" s="3258">
        <v>0.13</v>
      </c>
      <c r="G351" s="3259">
        <v>0.15</v>
      </c>
    </row>
    <row r="352" spans="1:7">
      <c r="A352" s="3268" t="s">
        <v>307</v>
      </c>
      <c r="B352" s="3257" t="s">
        <v>2942</v>
      </c>
      <c r="C352" s="3258">
        <v>0.15</v>
      </c>
      <c r="D352" s="3258">
        <v>0.15</v>
      </c>
      <c r="E352" s="3258">
        <v>0.15</v>
      </c>
      <c r="F352" s="3258">
        <v>0.14599999999999999</v>
      </c>
      <c r="G352" s="3259">
        <v>0.15</v>
      </c>
    </row>
    <row r="353" spans="1:7">
      <c r="A353" s="3268" t="s">
        <v>307</v>
      </c>
      <c r="B353" s="3257" t="s">
        <v>2949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2962</v>
      </c>
      <c r="C355" s="3258">
        <v>0.15</v>
      </c>
      <c r="D355" s="3258">
        <v>0.15</v>
      </c>
      <c r="E355" s="3258">
        <v>0.15</v>
      </c>
      <c r="F355" s="3258">
        <v>0.15</v>
      </c>
      <c r="G355" s="3259">
        <v>0.15</v>
      </c>
    </row>
    <row r="356" spans="1:7">
      <c r="A356" s="3268" t="s">
        <v>307</v>
      </c>
      <c r="B356" s="3257" t="s">
        <v>2969</v>
      </c>
      <c r="C356" s="3258">
        <v>0.15</v>
      </c>
      <c r="D356" s="3258">
        <v>0.15</v>
      </c>
      <c r="E356" s="3258">
        <v>0.15</v>
      </c>
      <c r="F356" s="3258">
        <v>0.15</v>
      </c>
      <c r="G356" s="3259">
        <v>0.15</v>
      </c>
    </row>
    <row r="357" spans="1:7" ht="14.25" thickBot="1">
      <c r="A357" s="3271" t="s">
        <v>307</v>
      </c>
      <c r="B357" s="3261" t="s">
        <v>2974</v>
      </c>
      <c r="C357" s="3262">
        <v>0.126</v>
      </c>
      <c r="D357" s="3262">
        <v>0.127</v>
      </c>
      <c r="E357" s="3262">
        <v>0.14299999999999999</v>
      </c>
      <c r="F357" s="3262">
        <v>0.125</v>
      </c>
      <c r="G357" s="3264">
        <v>0.129</v>
      </c>
    </row>
    <row r="358" spans="1:7">
      <c r="A358" s="3267" t="s">
        <v>2843</v>
      </c>
      <c r="B358" s="3253" t="s">
        <v>2857</v>
      </c>
      <c r="C358" s="3254">
        <v>0.15</v>
      </c>
      <c r="D358" s="3254">
        <v>0.15</v>
      </c>
      <c r="E358" s="3254">
        <v>0.15</v>
      </c>
      <c r="F358" s="3254">
        <v>0.15</v>
      </c>
      <c r="G358" s="3255">
        <v>0.15</v>
      </c>
    </row>
    <row r="359" spans="1:7">
      <c r="A359" s="3268" t="s">
        <v>2843</v>
      </c>
      <c r="B359" s="3257" t="s">
        <v>2863</v>
      </c>
      <c r="C359" s="3258">
        <v>0.1</v>
      </c>
      <c r="D359" s="3258">
        <v>0.1</v>
      </c>
      <c r="E359" s="3258">
        <v>0.1</v>
      </c>
      <c r="F359" s="3258">
        <v>0.1</v>
      </c>
      <c r="G359" s="3259">
        <v>0.1</v>
      </c>
    </row>
    <row r="360" spans="1:7">
      <c r="A360" s="3268" t="s">
        <v>2843</v>
      </c>
      <c r="B360" s="3257" t="s">
        <v>2869</v>
      </c>
      <c r="C360" s="3258">
        <v>0.15</v>
      </c>
      <c r="D360" s="3258">
        <v>0.15</v>
      </c>
      <c r="E360" s="3258">
        <v>0.15</v>
      </c>
      <c r="F360" s="3258">
        <v>0.14899999999999999</v>
      </c>
      <c r="G360" s="3259">
        <v>0.15</v>
      </c>
    </row>
    <row r="361" spans="1:7">
      <c r="A361" s="3268" t="s">
        <v>2843</v>
      </c>
      <c r="B361" s="3257" t="s">
        <v>153</v>
      </c>
      <c r="C361" s="3258">
        <v>0.15</v>
      </c>
      <c r="D361" s="3258">
        <v>0.15</v>
      </c>
      <c r="E361" s="3258">
        <v>0.15</v>
      </c>
      <c r="F361" s="3258">
        <v>0.115</v>
      </c>
      <c r="G361" s="3259">
        <v>0.15</v>
      </c>
    </row>
    <row r="362" spans="1:7">
      <c r="A362" s="3268" t="s">
        <v>2843</v>
      </c>
      <c r="B362" s="3257" t="s">
        <v>2876</v>
      </c>
      <c r="C362" s="3258">
        <v>0.15</v>
      </c>
      <c r="D362" s="3258">
        <v>0.15</v>
      </c>
      <c r="E362" s="3258">
        <v>0.15</v>
      </c>
      <c r="F362" s="3258">
        <v>0.106</v>
      </c>
      <c r="G362" s="3259">
        <v>0.15</v>
      </c>
    </row>
    <row r="363" spans="1:7">
      <c r="A363" s="3268" t="s">
        <v>2843</v>
      </c>
      <c r="B363" s="3257" t="s">
        <v>2881</v>
      </c>
      <c r="C363" s="3258">
        <v>0.15</v>
      </c>
      <c r="D363" s="3258">
        <v>0.15</v>
      </c>
      <c r="E363" s="3258">
        <v>0.15</v>
      </c>
      <c r="F363" s="3258">
        <v>0.14699999999999999</v>
      </c>
      <c r="G363" s="3259">
        <v>0.15</v>
      </c>
    </row>
    <row r="364" spans="1:7">
      <c r="A364" s="3268" t="s">
        <v>2843</v>
      </c>
      <c r="B364" s="3257" t="s">
        <v>2885</v>
      </c>
      <c r="C364" s="3258">
        <v>0.15</v>
      </c>
      <c r="D364" s="3258">
        <v>0.15</v>
      </c>
      <c r="E364" s="3258">
        <v>0.15</v>
      </c>
      <c r="F364" s="3258">
        <v>0.14799999999999999</v>
      </c>
      <c r="G364" s="3259">
        <v>0.15</v>
      </c>
    </row>
    <row r="365" spans="1:7">
      <c r="A365" s="3268" t="s">
        <v>2843</v>
      </c>
      <c r="B365" s="3257" t="s">
        <v>200</v>
      </c>
      <c r="C365" s="3258">
        <v>0.15</v>
      </c>
      <c r="D365" s="3258">
        <v>0.15</v>
      </c>
      <c r="E365" s="3258">
        <v>0.15</v>
      </c>
      <c r="F365" s="3258">
        <v>0.15</v>
      </c>
      <c r="G365" s="3259">
        <v>0.15</v>
      </c>
    </row>
    <row r="366" spans="1:7">
      <c r="A366" s="3268" t="s">
        <v>2843</v>
      </c>
      <c r="B366" s="3257" t="s">
        <v>2888</v>
      </c>
      <c r="C366" s="3258">
        <v>0.15</v>
      </c>
      <c r="D366" s="3258">
        <v>0.15</v>
      </c>
      <c r="E366" s="3258">
        <v>0.15</v>
      </c>
      <c r="F366" s="3258">
        <v>0.15</v>
      </c>
      <c r="G366" s="3259">
        <v>0.15</v>
      </c>
    </row>
    <row r="367" spans="1:7">
      <c r="A367" s="3268" t="s">
        <v>2843</v>
      </c>
      <c r="B367" s="3257" t="s">
        <v>2891</v>
      </c>
      <c r="C367" s="3258">
        <v>0.15</v>
      </c>
      <c r="D367" s="3258">
        <v>0.15</v>
      </c>
      <c r="E367" s="3258">
        <v>0.15</v>
      </c>
      <c r="F367" s="3258">
        <v>0.14699999999999999</v>
      </c>
      <c r="G367" s="3259">
        <v>0.15</v>
      </c>
    </row>
    <row r="368" spans="1:7">
      <c r="A368" s="3268" t="s">
        <v>2843</v>
      </c>
      <c r="B368" s="3257" t="s">
        <v>2896</v>
      </c>
      <c r="C368" s="3258">
        <v>0.15</v>
      </c>
      <c r="D368" s="3258">
        <v>0.15</v>
      </c>
      <c r="E368" s="3258">
        <v>0.15</v>
      </c>
      <c r="F368" s="3258">
        <v>0.13600000000000001</v>
      </c>
      <c r="G368" s="3259">
        <v>0.15</v>
      </c>
    </row>
    <row r="369" spans="1:7">
      <c r="A369" s="3268" t="s">
        <v>2843</v>
      </c>
      <c r="B369" s="3257" t="s">
        <v>214</v>
      </c>
      <c r="C369" s="3258">
        <v>0.15</v>
      </c>
      <c r="D369" s="3258">
        <v>0.15</v>
      </c>
      <c r="E369" s="3258">
        <v>0.15</v>
      </c>
      <c r="F369" s="3258">
        <v>0.14399999999999999</v>
      </c>
      <c r="G369" s="3259">
        <v>0.15</v>
      </c>
    </row>
    <row r="370" spans="1:7">
      <c r="A370" s="3268" t="s">
        <v>2843</v>
      </c>
      <c r="B370" s="3257" t="s">
        <v>221</v>
      </c>
      <c r="C370" s="3258">
        <v>0.15</v>
      </c>
      <c r="D370" s="3258">
        <v>0.15</v>
      </c>
      <c r="E370" s="3258">
        <v>0.15</v>
      </c>
      <c r="F370" s="3258">
        <v>0.14599999999999999</v>
      </c>
      <c r="G370" s="3259">
        <v>0.15</v>
      </c>
    </row>
    <row r="371" spans="1:7">
      <c r="A371" s="3268" t="s">
        <v>2843</v>
      </c>
      <c r="B371" s="3257" t="s">
        <v>229</v>
      </c>
      <c r="C371" s="3258">
        <v>0.15</v>
      </c>
      <c r="D371" s="3258">
        <v>0.15</v>
      </c>
      <c r="E371" s="3258">
        <v>0.15</v>
      </c>
      <c r="F371" s="3258">
        <v>0.12</v>
      </c>
      <c r="G371" s="3259">
        <v>0.15</v>
      </c>
    </row>
    <row r="372" spans="1:7">
      <c r="A372" s="3268" t="s">
        <v>2843</v>
      </c>
      <c r="B372" s="3257" t="s">
        <v>2904</v>
      </c>
      <c r="C372" s="3258">
        <v>0.15</v>
      </c>
      <c r="D372" s="3258">
        <v>0.15</v>
      </c>
      <c r="E372" s="3258">
        <v>0.15</v>
      </c>
      <c r="F372" s="3258">
        <v>0.14299999999999999</v>
      </c>
      <c r="G372" s="3259">
        <v>0.15</v>
      </c>
    </row>
    <row r="373" spans="1:7">
      <c r="A373" s="3268" t="s">
        <v>2843</v>
      </c>
      <c r="B373" s="3257" t="s">
        <v>258</v>
      </c>
      <c r="C373" s="3258">
        <v>0.15</v>
      </c>
      <c r="D373" s="3258">
        <v>0.15</v>
      </c>
      <c r="E373" s="3258">
        <v>0.15</v>
      </c>
      <c r="F373" s="3258">
        <v>0.14599999999999999</v>
      </c>
      <c r="G373" s="3259">
        <v>0.15</v>
      </c>
    </row>
    <row r="374" spans="1:7">
      <c r="A374" s="3268" t="s">
        <v>2843</v>
      </c>
      <c r="B374" s="3257" t="s">
        <v>266</v>
      </c>
      <c r="C374" s="3258">
        <v>0.15</v>
      </c>
      <c r="D374" s="3258">
        <v>0.15</v>
      </c>
      <c r="E374" s="3258">
        <v>0.15</v>
      </c>
      <c r="F374" s="3258">
        <v>0.14399999999999999</v>
      </c>
      <c r="G374" s="3259">
        <v>0.15</v>
      </c>
    </row>
    <row r="375" spans="1:7">
      <c r="A375" s="3268" t="s">
        <v>2843</v>
      </c>
      <c r="B375" s="3257" t="s">
        <v>2912</v>
      </c>
      <c r="C375" s="3258">
        <v>0.15</v>
      </c>
      <c r="D375" s="3258">
        <v>0.15</v>
      </c>
      <c r="E375" s="3258">
        <v>0.15</v>
      </c>
      <c r="F375" s="3258">
        <v>0.13</v>
      </c>
      <c r="G375" s="3259">
        <v>0.15</v>
      </c>
    </row>
    <row r="376" spans="1:7">
      <c r="A376" s="3268" t="s">
        <v>2843</v>
      </c>
      <c r="B376" s="3257" t="s">
        <v>277</v>
      </c>
      <c r="C376" s="3258">
        <v>0.15</v>
      </c>
      <c r="D376" s="3258">
        <v>0.15</v>
      </c>
      <c r="E376" s="3258">
        <v>0.15</v>
      </c>
      <c r="F376" s="3258">
        <v>0.14199999999999999</v>
      </c>
      <c r="G376" s="3259">
        <v>0.15</v>
      </c>
    </row>
    <row r="377" spans="1:7" ht="14.25" thickBot="1">
      <c r="A377" s="3271" t="s">
        <v>2843</v>
      </c>
      <c r="B377" s="3261" t="s">
        <v>2918</v>
      </c>
      <c r="C377" s="3262">
        <v>0.15</v>
      </c>
      <c r="D377" s="3262">
        <v>0.15</v>
      </c>
      <c r="E377" s="3262">
        <v>0.15</v>
      </c>
      <c r="F377" s="3262">
        <v>0.14000000000000001</v>
      </c>
      <c r="G377" s="3264">
        <v>0.15</v>
      </c>
    </row>
    <row r="378" spans="1:7">
      <c r="A378" s="3267" t="s">
        <v>2844</v>
      </c>
      <c r="B378" s="3253" t="s">
        <v>2858</v>
      </c>
      <c r="C378" s="3254">
        <v>0.15</v>
      </c>
      <c r="D378" s="3254">
        <v>0.15</v>
      </c>
      <c r="E378" s="3254">
        <v>0.15</v>
      </c>
      <c r="F378" s="3254">
        <v>0.107</v>
      </c>
      <c r="G378" s="3255">
        <v>0.15</v>
      </c>
    </row>
    <row r="379" spans="1:7">
      <c r="A379" s="3268" t="s">
        <v>2844</v>
      </c>
      <c r="B379" s="3257" t="s">
        <v>2864</v>
      </c>
      <c r="C379" s="3258">
        <v>0.15</v>
      </c>
      <c r="D379" s="3258">
        <v>0.15</v>
      </c>
      <c r="E379" s="3258">
        <v>0.15</v>
      </c>
      <c r="F379" s="3258">
        <v>0.115</v>
      </c>
      <c r="G379" s="3259">
        <v>0.14899999999999999</v>
      </c>
    </row>
    <row r="380" spans="1:7">
      <c r="A380" s="3268" t="s">
        <v>2844</v>
      </c>
      <c r="B380" s="3257" t="s">
        <v>2870</v>
      </c>
      <c r="C380" s="3258">
        <v>0.15</v>
      </c>
      <c r="D380" s="3258">
        <v>0.15</v>
      </c>
      <c r="E380" s="3258">
        <v>0.15</v>
      </c>
      <c r="F380" s="3258">
        <v>0.1</v>
      </c>
      <c r="G380" s="3259">
        <v>0.14799999999999999</v>
      </c>
    </row>
    <row r="381" spans="1:7">
      <c r="A381" s="3268" t="s">
        <v>2844</v>
      </c>
      <c r="B381" s="3257" t="s">
        <v>2873</v>
      </c>
      <c r="C381" s="3258">
        <v>0.15</v>
      </c>
      <c r="D381" s="3258">
        <v>0.15</v>
      </c>
      <c r="E381" s="3258">
        <v>0.15</v>
      </c>
      <c r="F381" s="3258">
        <v>0.126</v>
      </c>
      <c r="G381" s="3259">
        <v>0.15</v>
      </c>
    </row>
    <row r="382" spans="1:7">
      <c r="A382" s="3268" t="s">
        <v>2844</v>
      </c>
      <c r="B382" s="3257" t="s">
        <v>2877</v>
      </c>
      <c r="C382" s="3258">
        <v>0.15</v>
      </c>
      <c r="D382" s="3258">
        <v>0.15</v>
      </c>
      <c r="E382" s="3258">
        <v>0.15</v>
      </c>
      <c r="F382" s="3258">
        <v>0.15</v>
      </c>
      <c r="G382" s="3259">
        <v>0.15</v>
      </c>
    </row>
    <row r="383" spans="1:7">
      <c r="A383" s="3268" t="s">
        <v>2844</v>
      </c>
      <c r="B383" s="3257" t="s">
        <v>2882</v>
      </c>
      <c r="C383" s="3258">
        <v>0.15</v>
      </c>
      <c r="D383" s="3258">
        <v>0.15</v>
      </c>
      <c r="E383" s="3258">
        <v>0.15</v>
      </c>
      <c r="F383" s="3258">
        <v>0.14699999999999999</v>
      </c>
      <c r="G383" s="3259">
        <v>0.15</v>
      </c>
    </row>
    <row r="384" spans="1:7" ht="14.25" thickBot="1">
      <c r="A384" s="3278" t="s">
        <v>2844</v>
      </c>
      <c r="B384" s="3279" t="s">
        <v>2886</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13" t="s">
        <v>3225</v>
      </c>
      <c r="B1" s="3813"/>
      <c r="C1" s="3813"/>
      <c r="D1" s="3813"/>
      <c r="E1" s="3813"/>
      <c r="F1" s="3814"/>
    </row>
    <row r="2" spans="1:6">
      <c r="A2" s="3284" t="s">
        <v>3226</v>
      </c>
      <c r="B2" s="3285"/>
      <c r="C2" s="3285"/>
      <c r="D2" s="3285"/>
      <c r="E2" s="3285"/>
      <c r="F2" s="3285"/>
    </row>
    <row r="3" spans="1:6">
      <c r="A3" s="3284" t="s">
        <v>3227</v>
      </c>
      <c r="B3" s="3285"/>
      <c r="C3" s="3285"/>
      <c r="D3" s="3285"/>
      <c r="E3" s="3285"/>
      <c r="F3" s="3286" t="s">
        <v>3228</v>
      </c>
    </row>
    <row r="4" spans="1:6">
      <c r="A4" s="3287" t="s">
        <v>672</v>
      </c>
      <c r="B4" s="3287" t="s">
        <v>673</v>
      </c>
      <c r="C4" s="3287" t="s">
        <v>21</v>
      </c>
      <c r="D4" s="3287" t="s">
        <v>674</v>
      </c>
      <c r="E4" s="3287" t="s">
        <v>3</v>
      </c>
      <c r="F4" s="3287" t="s">
        <v>3229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45485</v>
      </c>
      <c r="B1" s="3203" t="s">
        <v>3364</v>
      </c>
      <c r="C1" s="3204"/>
      <c r="D1" s="3204"/>
      <c r="E1" s="3204"/>
      <c r="F1" s="3204"/>
      <c r="G1" s="3204"/>
      <c r="H1" s="3204"/>
      <c r="I1" s="3204"/>
      <c r="J1" s="3158"/>
      <c r="K1" s="3204" t="s">
        <v>454</v>
      </c>
      <c r="L1" s="3204"/>
      <c r="M1" s="3204"/>
      <c r="N1" s="3204"/>
      <c r="O1" s="3204"/>
      <c r="P1" s="3204"/>
      <c r="Q1" s="3158"/>
      <c r="R1" s="3815" t="s">
        <v>456</v>
      </c>
      <c r="S1" s="3816"/>
      <c r="T1" s="3816"/>
      <c r="U1" s="3816"/>
      <c r="V1" s="3816"/>
      <c r="W1" s="3816"/>
      <c r="X1" s="3158"/>
      <c r="Y1" s="3815" t="s">
        <v>457</v>
      </c>
      <c r="Z1" s="3816"/>
      <c r="AA1" s="3816"/>
      <c r="AB1" s="3816"/>
      <c r="AC1" s="3816"/>
      <c r="AD1" s="3816"/>
    </row>
    <row r="2" spans="1:30" s="3136" customFormat="1" ht="14.25" thickBot="1">
      <c r="B2" s="3137"/>
      <c r="C2" s="3138"/>
      <c r="D2" s="3139" t="s">
        <v>2803</v>
      </c>
      <c r="E2" s="3140" t="s">
        <v>2804</v>
      </c>
      <c r="F2" s="3140" t="s">
        <v>2805</v>
      </c>
      <c r="G2" s="3140" t="s">
        <v>2806</v>
      </c>
      <c r="H2" s="3140" t="s">
        <v>2807</v>
      </c>
      <c r="I2" s="3140" t="s">
        <v>2624</v>
      </c>
      <c r="J2" s="3141"/>
      <c r="K2" s="3139" t="s">
        <v>2803</v>
      </c>
      <c r="L2" s="3140" t="s">
        <v>2804</v>
      </c>
      <c r="M2" s="3140" t="s">
        <v>2805</v>
      </c>
      <c r="N2" s="3140" t="s">
        <v>2806</v>
      </c>
      <c r="O2" s="3140" t="s">
        <v>2808</v>
      </c>
      <c r="P2" s="3140" t="s">
        <v>2624</v>
      </c>
      <c r="Q2" s="3141"/>
      <c r="R2" s="3139" t="s">
        <v>2803</v>
      </c>
      <c r="S2" s="3140" t="s">
        <v>2804</v>
      </c>
      <c r="T2" s="3140" t="s">
        <v>2805</v>
      </c>
      <c r="U2" s="3140" t="s">
        <v>2809</v>
      </c>
      <c r="V2" s="3140" t="s">
        <v>2810</v>
      </c>
      <c r="W2" s="3140" t="s">
        <v>2624</v>
      </c>
      <c r="X2" s="3141"/>
      <c r="Y2" s="3139" t="s">
        <v>2803</v>
      </c>
      <c r="Z2" s="3140" t="s">
        <v>2804</v>
      </c>
      <c r="AA2" s="3140" t="s">
        <v>2805</v>
      </c>
      <c r="AB2" s="3140" t="s">
        <v>2811</v>
      </c>
      <c r="AC2" s="3140" t="s">
        <v>2810</v>
      </c>
      <c r="AD2" s="3140" t="s">
        <v>2624</v>
      </c>
    </row>
    <row r="3" spans="1:30" s="3154" customFormat="1" ht="12.75">
      <c r="A3" s="3142" t="s">
        <v>2812</v>
      </c>
      <c r="B3" s="3143"/>
      <c r="C3" s="3144"/>
      <c r="D3" s="3144">
        <f>ROUND(AVERAGEIF(D4:D19,"&lt;&gt;0"),2)</f>
        <v>0.68</v>
      </c>
      <c r="E3" s="3144">
        <f t="shared" ref="E3:H3" si="0">ROUND(AVERAGEIF(E4:E19,"&lt;&gt;0"),2)</f>
        <v>0.4</v>
      </c>
      <c r="F3" s="3144">
        <f t="shared" si="0"/>
        <v>0.17</v>
      </c>
      <c r="G3" s="3144">
        <f t="shared" si="0"/>
        <v>0.74</v>
      </c>
      <c r="H3" s="3144">
        <f t="shared" si="0"/>
        <v>0.62</v>
      </c>
      <c r="I3" s="3144">
        <f>F3</f>
        <v>0.17</v>
      </c>
      <c r="J3" s="3145"/>
      <c r="K3" s="3146">
        <f>ROUND(AVERAGEIF(K4:K19,"&lt;&gt;0"),4)</f>
        <v>6.7999999999999996E-3</v>
      </c>
      <c r="L3" s="3147">
        <f t="shared" ref="L3:O3" si="1">ROUND(AVERAGEIF(L4:L19,"&lt;&gt;0"),4)</f>
        <v>4.0000000000000001E-3</v>
      </c>
      <c r="M3" s="3147">
        <f t="shared" si="1"/>
        <v>1.6999999999999999E-3</v>
      </c>
      <c r="N3" s="3147">
        <f t="shared" si="1"/>
        <v>7.4000000000000003E-3</v>
      </c>
      <c r="O3" s="3147">
        <f t="shared" si="1"/>
        <v>6.1999999999999998E-3</v>
      </c>
      <c r="P3" s="3147">
        <f>M3</f>
        <v>1.6999999999999999E-3</v>
      </c>
      <c r="Q3" s="3145"/>
      <c r="R3" s="3148">
        <f>ROUND(SUMPRODUCT(PRODUCT(1+K4:K19)),4)</f>
        <v>1.0916999999999999</v>
      </c>
      <c r="S3" s="3149">
        <f t="shared" ref="S3:V3" si="2">ROUND(SUMPRODUCT(PRODUCT(1+L4:L19)),4)</f>
        <v>1.0537000000000001</v>
      </c>
      <c r="T3" s="3149">
        <f t="shared" si="2"/>
        <v>1.0224</v>
      </c>
      <c r="U3" s="3149">
        <f t="shared" si="2"/>
        <v>1.1008</v>
      </c>
      <c r="V3" s="3149">
        <f t="shared" si="2"/>
        <v>1.0843</v>
      </c>
      <c r="W3" s="3148">
        <f>T3</f>
        <v>1.0224</v>
      </c>
      <c r="X3" s="3145"/>
      <c r="Y3" s="3150">
        <f>ROUND(AVERAGEIF(Y6:Y19,"&lt;&gt;0"),4)</f>
        <v>8.6999999999999994E-3</v>
      </c>
      <c r="Z3" s="3151">
        <f t="shared" ref="Z3:AC3" si="3">ROUND(AVERAGEIF(Z6:Z19,"&lt;&gt;0"),4)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1" t="s">
        <v>3372</v>
      </c>
      <c r="B5" s="3170">
        <v>2024</v>
      </c>
      <c r="C5" s="3171">
        <v>3</v>
      </c>
      <c r="D5" s="3172">
        <v>0</v>
      </c>
      <c r="E5" s="3172">
        <v>0</v>
      </c>
      <c r="F5" s="3172">
        <v>0</v>
      </c>
      <c r="G5" s="3172">
        <v>0</v>
      </c>
      <c r="H5" s="3172">
        <v>0</v>
      </c>
      <c r="I5" s="3173">
        <f t="shared" ref="I5" si="4">F5</f>
        <v>0</v>
      </c>
      <c r="J5" s="3174"/>
      <c r="K5" s="3175">
        <f t="shared" ref="K5" si="5">D5/100</f>
        <v>0</v>
      </c>
      <c r="L5" s="3165">
        <f t="shared" ref="L5" si="6">E5/100</f>
        <v>0</v>
      </c>
      <c r="M5" s="3165">
        <f t="shared" ref="M5" si="7">F5/100</f>
        <v>0</v>
      </c>
      <c r="N5" s="3165">
        <f t="shared" ref="N5" si="8">G5/100</f>
        <v>0</v>
      </c>
      <c r="O5" s="3165">
        <f t="shared" ref="O5" si="9">H5/100</f>
        <v>0</v>
      </c>
      <c r="P5" s="3165">
        <f>M5</f>
        <v>0</v>
      </c>
      <c r="Q5" s="3174"/>
      <c r="R5" s="3176">
        <f>ROUND(IF(项目基本情况!$B$8="出让",SUMPRODUCT(PRODUCT(1+K5:$K$19)),SUMPRODUCT(PRODUCT(1+K5:$K$18))),4)</f>
        <v>1.0811999999999999</v>
      </c>
      <c r="S5" s="3176">
        <f>ROUND(IF(项目基本情况!$B$8="出让",SUMPRODUCT(PRODUCT(1+L5:$L$19)),SUMPRODUCT(PRODUCT(1+L5:$L$18))),4)</f>
        <v>1.052</v>
      </c>
      <c r="T5" s="3176">
        <f>ROUND(IF(项目基本情况!$B$8="出让",SUMPRODUCT(PRODUCT(1+M5:$M$19)),SUMPRODUCT(PRODUCT(1+M5:$M$18))),4)</f>
        <v>1.0249999999999999</v>
      </c>
      <c r="U5" s="3176">
        <f>ROUND(IF(项目基本情况!$B$8="出让",SUMPRODUCT(PRODUCT(1+N5:$N$19)),SUMPRODUCT(PRODUCT(1+N5:$N$18))),4)</f>
        <v>1.0888</v>
      </c>
      <c r="V5" s="3176">
        <f>ROUND(IF(项目基本情况!$B$8="出让",SUMPRODUCT(PRODUCT(1+O5:$O$19)),SUMPRODUCT(PRODUCT(1+O5:$O$18))),4)</f>
        <v>1.0804</v>
      </c>
      <c r="W5" s="3176">
        <f>T5</f>
        <v>1.0249999999999999</v>
      </c>
      <c r="X5" s="3174"/>
      <c r="Y5" s="3177">
        <f>IF(D5=0,0,ROUND(AVERAGE(D5:D18)/100,4))</f>
        <v>0</v>
      </c>
      <c r="Z5" s="3177">
        <f t="shared" ref="Z5" si="10">IF(E5=0,0,ROUND(AVERAGE(E5:E18)/100,4))</f>
        <v>0</v>
      </c>
      <c r="AA5" s="3177">
        <f t="shared" ref="AA5" si="11">IF(F5=0,0,ROUND(AVERAGE(F5:F18)/100,4))</f>
        <v>0</v>
      </c>
      <c r="AB5" s="3177">
        <f t="shared" ref="AB5" si="12">IF(G5=0,0,ROUND(AVERAGE(G5:G18)/100,4))</f>
        <v>0</v>
      </c>
      <c r="AC5" s="3177">
        <f t="shared" ref="AC5" si="13">IF(H5=0,0,ROUND(AVERAGE(H5:H18)/100,4))</f>
        <v>0</v>
      </c>
      <c r="AD5" s="3177">
        <f t="shared" ref="AD5" si="14">AA5</f>
        <v>0</v>
      </c>
    </row>
    <row r="6" spans="1:30" s="3178" customFormat="1" ht="12.75">
      <c r="A6" s="2201" t="s">
        <v>3367</v>
      </c>
      <c r="B6" s="3170">
        <v>2024</v>
      </c>
      <c r="C6" s="3171">
        <v>2</v>
      </c>
      <c r="D6" s="3172">
        <v>0</v>
      </c>
      <c r="E6" s="3172">
        <v>0</v>
      </c>
      <c r="F6" s="3172">
        <v>0</v>
      </c>
      <c r="G6" s="3172">
        <v>0</v>
      </c>
      <c r="H6" s="3172">
        <v>0</v>
      </c>
      <c r="I6" s="3173">
        <f t="shared" ref="I6:I19" si="15">F6</f>
        <v>0</v>
      </c>
      <c r="J6" s="3174"/>
      <c r="K6" s="3175">
        <f t="shared" ref="K6:O19" si="16">D6/100</f>
        <v>0</v>
      </c>
      <c r="L6" s="3165">
        <f t="shared" si="16"/>
        <v>0</v>
      </c>
      <c r="M6" s="3165">
        <f t="shared" si="16"/>
        <v>0</v>
      </c>
      <c r="N6" s="3165">
        <f t="shared" si="16"/>
        <v>0</v>
      </c>
      <c r="O6" s="3165">
        <f t="shared" si="16"/>
        <v>0</v>
      </c>
      <c r="P6" s="3165">
        <f>M6</f>
        <v>0</v>
      </c>
      <c r="Q6" s="3174"/>
      <c r="R6" s="3176">
        <f>ROUND(IF(项目基本情况!$B$8="出让",SUMPRODUCT(PRODUCT(1+K6:$K$19)),SUMPRODUCT(PRODUCT(1+K6:$K$18))),4)</f>
        <v>1.0811999999999999</v>
      </c>
      <c r="S6" s="3176">
        <f>ROUND(IF(项目基本情况!$B$8="出让",SUMPRODUCT(PRODUCT(1+L6:$L$19)),SUMPRODUCT(PRODUCT(1+L6:$L$18))),4)</f>
        <v>1.052</v>
      </c>
      <c r="T6" s="3176">
        <f>ROUND(IF(项目基本情况!$B$8="出让",SUMPRODUCT(PRODUCT(1+M6:$M$19)),SUMPRODUCT(PRODUCT(1+M6:$M$18))),4)</f>
        <v>1.0249999999999999</v>
      </c>
      <c r="U6" s="3176">
        <f>ROUND(IF(项目基本情况!$B$8="出让",SUMPRODUCT(PRODUCT(1+N6:$N$19)),SUMPRODUCT(PRODUCT(1+N6:$N$18))),4)</f>
        <v>1.0888</v>
      </c>
      <c r="V6" s="3176">
        <f>ROUND(IF(项目基本情况!$B$8="出让",SUMPRODUCT(PRODUCT(1+O6:$O$19)),SUMPRODUCT(PRODUCT(1+O6:$O$18))),4)</f>
        <v>1.0804</v>
      </c>
      <c r="W6" s="3176">
        <f>T6</f>
        <v>1.0249999999999999</v>
      </c>
      <c r="X6" s="3174"/>
      <c r="Y6" s="3177">
        <f>IF(D6=0,0,ROUND(AVERAGE(D6:D19)/100,4))</f>
        <v>0</v>
      </c>
      <c r="Z6" s="3177">
        <f t="shared" ref="Z6:AC6" si="17">IF(E6=0,0,ROUND(AVERAGE(E6:E19)/100,4))</f>
        <v>0</v>
      </c>
      <c r="AA6" s="3177">
        <f t="shared" si="17"/>
        <v>0</v>
      </c>
      <c r="AB6" s="3177">
        <f t="shared" si="17"/>
        <v>0</v>
      </c>
      <c r="AC6" s="3177">
        <f t="shared" si="17"/>
        <v>0</v>
      </c>
      <c r="AD6" s="3177">
        <f t="shared" ref="AD6:AD18" si="18">AA6</f>
        <v>0</v>
      </c>
    </row>
    <row r="7" spans="1:30" s="3188" customFormat="1" ht="12.75">
      <c r="A7" s="3179" t="s">
        <v>3369</v>
      </c>
      <c r="B7" s="3180">
        <v>2024</v>
      </c>
      <c r="C7" s="3181">
        <v>1</v>
      </c>
      <c r="D7" s="3182">
        <v>0.08</v>
      </c>
      <c r="E7" s="3182">
        <v>0.46</v>
      </c>
      <c r="F7" s="3182">
        <v>-0.16</v>
      </c>
      <c r="G7" s="3182">
        <v>0.26</v>
      </c>
      <c r="H7" s="3183">
        <v>0.59</v>
      </c>
      <c r="I7" s="3184">
        <v>0</v>
      </c>
      <c r="J7" s="3185"/>
      <c r="K7" s="3186">
        <f t="shared" ref="K7" si="19">D7/100</f>
        <v>8.0000000000000004E-4</v>
      </c>
      <c r="L7" s="3187">
        <f t="shared" ref="L7" si="20">E7/100</f>
        <v>4.5999999999999999E-3</v>
      </c>
      <c r="M7" s="3187">
        <f t="shared" ref="M7" si="21">F7/100</f>
        <v>-1.6000000000000001E-3</v>
      </c>
      <c r="N7" s="3187">
        <f t="shared" ref="N7" si="22">G7/100</f>
        <v>2.5999999999999999E-3</v>
      </c>
      <c r="O7" s="3187">
        <f t="shared" ref="O7" si="23">H7/100</f>
        <v>5.8999999999999999E-3</v>
      </c>
      <c r="P7" s="3187">
        <f t="shared" ref="P7" si="24">M7</f>
        <v>-1.6000000000000001E-3</v>
      </c>
      <c r="Q7" s="3185"/>
      <c r="R7" s="3185">
        <f>ROUND(IF(项目基本情况!$B$8="出让",SUMPRODUCT(PRODUCT(1+K7:$K$19)),SUMPRODUCT(PRODUCT(1+K7:$K$18))),4)</f>
        <v>1.0811999999999999</v>
      </c>
      <c r="S7" s="3185">
        <f>ROUND(IF(项目基本情况!$B$8="出让",SUMPRODUCT(PRODUCT(1+L7:$L$19)),SUMPRODUCT(PRODUCT(1+L7:$L$18))),4)</f>
        <v>1.052</v>
      </c>
      <c r="T7" s="3185">
        <f>ROUND(IF(项目基本情况!$B$8="出让",SUMPRODUCT(PRODUCT(1+M7:$M$19)),SUMPRODUCT(PRODUCT(1+M7:$M$18))),4)</f>
        <v>1.0249999999999999</v>
      </c>
      <c r="U7" s="3185">
        <f>ROUND(IF(项目基本情况!$B$8="出让",SUMPRODUCT(PRODUCT(1+N7:$N$19)),SUMPRODUCT(PRODUCT(1+N7:$N$18))),4)</f>
        <v>1.0888</v>
      </c>
      <c r="V7" s="3185">
        <f>ROUND(IF(项目基本情况!$B$8="出让",SUMPRODUCT(PRODUCT(1+O7:$O$19)),SUMPRODUCT(PRODUCT(1+O7:$O$18))),4)</f>
        <v>1.0804</v>
      </c>
      <c r="W7" s="3185">
        <f t="shared" ref="W7" si="25">T7</f>
        <v>1.0249999999999999</v>
      </c>
      <c r="X7" s="3185"/>
      <c r="Y7" s="3187"/>
      <c r="Z7" s="3187"/>
      <c r="AA7" s="3187"/>
      <c r="AB7" s="3187"/>
      <c r="AC7" s="3187"/>
      <c r="AD7" s="3187"/>
    </row>
    <row r="8" spans="1:30" s="3178" customFormat="1" ht="12.75">
      <c r="A8" s="3169" t="s">
        <v>3370</v>
      </c>
      <c r="B8" s="3170">
        <v>2023</v>
      </c>
      <c r="C8" s="3171">
        <v>4</v>
      </c>
      <c r="D8" s="3172">
        <v>0.19</v>
      </c>
      <c r="E8" s="3172">
        <v>0.24</v>
      </c>
      <c r="F8" s="3172">
        <v>-0.16</v>
      </c>
      <c r="G8" s="3172">
        <v>0.17</v>
      </c>
      <c r="H8" s="3189">
        <v>0.61</v>
      </c>
      <c r="I8" s="3173">
        <f>F8</f>
        <v>-0.16</v>
      </c>
      <c r="J8" s="3174"/>
      <c r="K8" s="3175">
        <f t="shared" si="16"/>
        <v>1.9E-3</v>
      </c>
      <c r="L8" s="3165">
        <f t="shared" si="16"/>
        <v>2.3999999999999998E-3</v>
      </c>
      <c r="M8" s="3165">
        <f t="shared" si="16"/>
        <v>-1.6000000000000001E-3</v>
      </c>
      <c r="N8" s="3165">
        <f t="shared" si="16"/>
        <v>1.7000000000000001E-3</v>
      </c>
      <c r="O8" s="3165">
        <f t="shared" si="16"/>
        <v>6.0999999999999995E-3</v>
      </c>
      <c r="P8" s="3165">
        <f t="shared" ref="P8" si="26">M8</f>
        <v>-1.6000000000000001E-3</v>
      </c>
      <c r="Q8" s="3174"/>
      <c r="R8" s="3176">
        <f>ROUND(IF(项目基本情况!$B$8="出让",SUMPRODUCT(PRODUCT(1+K8:$K$19)),SUMPRODUCT(PRODUCT(1+K8:$K$18))),4)</f>
        <v>1.0804</v>
      </c>
      <c r="S8" s="3176">
        <f>ROUND(IF(项目基本情况!$B$8="出让",SUMPRODUCT(PRODUCT(1+L8:$L$19)),SUMPRODUCT(PRODUCT(1+L8:$L$18))),4)</f>
        <v>1.0471999999999999</v>
      </c>
      <c r="T8" s="3176">
        <f>ROUND(IF(项目基本情况!$B$8="出让",SUMPRODUCT(PRODUCT(1+M8:$M$19)),SUMPRODUCT(PRODUCT(1+M8:$M$18))),4)</f>
        <v>1.0266</v>
      </c>
      <c r="U8" s="3176">
        <f>ROUND(IF(项目基本情况!$B$8="出让",SUMPRODUCT(PRODUCT(1+N8:$N$19)),SUMPRODUCT(PRODUCT(1+N8:$N$18))),4)</f>
        <v>1.0859000000000001</v>
      </c>
      <c r="V8" s="3176">
        <f>ROUND(IF(项目基本情况!$B$8="出让",SUMPRODUCT(PRODUCT(1+O8:$O$19)),SUMPRODUCT(PRODUCT(1+O8:$O$18))),4)</f>
        <v>1.0741000000000001</v>
      </c>
      <c r="W8" s="3176">
        <f t="shared" ref="W8" si="27">T8</f>
        <v>1.0266</v>
      </c>
      <c r="X8" s="3174"/>
      <c r="Y8" s="3177"/>
      <c r="Z8" s="3177"/>
      <c r="AA8" s="3177"/>
      <c r="AB8" s="3177"/>
      <c r="AC8" s="3177"/>
      <c r="AD8" s="3177"/>
    </row>
    <row r="9" spans="1:30" s="3178" customFormat="1" ht="12.75">
      <c r="A9" s="3169" t="s">
        <v>3368</v>
      </c>
      <c r="B9" s="3170">
        <v>2023</v>
      </c>
      <c r="C9" s="3171">
        <v>3</v>
      </c>
      <c r="D9" s="3172">
        <v>0.25</v>
      </c>
      <c r="E9" s="3172">
        <v>0.5</v>
      </c>
      <c r="F9" s="3172">
        <v>0.31</v>
      </c>
      <c r="G9" s="3172">
        <v>0.21</v>
      </c>
      <c r="H9" s="3189">
        <v>0.43</v>
      </c>
      <c r="I9" s="3173">
        <f t="shared" si="15"/>
        <v>0.31</v>
      </c>
      <c r="J9" s="3174"/>
      <c r="K9" s="3175">
        <f t="shared" ref="K9:K11" si="28">D9/100</f>
        <v>2.5000000000000001E-3</v>
      </c>
      <c r="L9" s="3165">
        <f t="shared" ref="L9:L11" si="29">E9/100</f>
        <v>5.0000000000000001E-3</v>
      </c>
      <c r="M9" s="3165">
        <f t="shared" ref="M9:M11" si="30">F9/100</f>
        <v>3.0999999999999999E-3</v>
      </c>
      <c r="N9" s="3165">
        <f t="shared" ref="N9:N11" si="31">G9/100</f>
        <v>2.0999999999999999E-3</v>
      </c>
      <c r="O9" s="3165">
        <f t="shared" ref="O9:O11" si="32">H9/100</f>
        <v>4.3E-3</v>
      </c>
      <c r="P9" s="3165">
        <f t="shared" ref="P9:P11" si="33">M9</f>
        <v>3.0999999999999999E-3</v>
      </c>
      <c r="Q9" s="3174"/>
      <c r="R9" s="3176">
        <f>ROUND(IF(项目基本情况!$B$8="出让",SUMPRODUCT(PRODUCT(1+K9:$K$19)),SUMPRODUCT(PRODUCT(1+K9:$K$18))),4)</f>
        <v>1.0783</v>
      </c>
      <c r="S9" s="3176">
        <f>ROUND(IF(项目基本情况!$B$8="出让",SUMPRODUCT(PRODUCT(1+L9:$L$19)),SUMPRODUCT(PRODUCT(1+L9:$L$18))),4)</f>
        <v>1.0447</v>
      </c>
      <c r="T9" s="3176">
        <f>ROUND(IF(项目基本情况!$B$8="出让",SUMPRODUCT(PRODUCT(1+M9:$M$19)),SUMPRODUCT(PRODUCT(1+M9:$M$18))),4)</f>
        <v>1.0282</v>
      </c>
      <c r="U9" s="3176">
        <f>ROUND(IF(项目基本情况!$B$8="出让",SUMPRODUCT(PRODUCT(1+N9:$N$19)),SUMPRODUCT(PRODUCT(1+N9:$N$18))),4)</f>
        <v>1.0841000000000001</v>
      </c>
      <c r="V9" s="3176">
        <f>ROUND(IF(项目基本情况!$B$8="出让",SUMPRODUCT(PRODUCT(1+O9:$O$19)),SUMPRODUCT(PRODUCT(1+O9:$O$18))),4)</f>
        <v>1.0674999999999999</v>
      </c>
      <c r="W9" s="3176">
        <f t="shared" ref="W9:W10" si="34">T9</f>
        <v>1.0282</v>
      </c>
      <c r="X9" s="3174"/>
      <c r="Y9" s="3177"/>
      <c r="Z9" s="3177"/>
      <c r="AA9" s="3177"/>
      <c r="AB9" s="3177"/>
      <c r="AC9" s="3177"/>
      <c r="AD9" s="3177"/>
    </row>
    <row r="10" spans="1:30" s="3178" customFormat="1" ht="12.75">
      <c r="A10" s="3169" t="s">
        <v>3363</v>
      </c>
      <c r="B10" s="3170">
        <v>2023</v>
      </c>
      <c r="C10" s="3171">
        <v>2</v>
      </c>
      <c r="D10" s="3172">
        <v>0.91</v>
      </c>
      <c r="E10" s="3172">
        <v>0.66</v>
      </c>
      <c r="F10" s="3172">
        <v>0.47</v>
      </c>
      <c r="G10" s="3172">
        <v>0.96</v>
      </c>
      <c r="H10" s="3189">
        <v>0.71</v>
      </c>
      <c r="I10" s="3173">
        <f t="shared" si="15"/>
        <v>0.47</v>
      </c>
      <c r="J10" s="3174"/>
      <c r="K10" s="3175">
        <f t="shared" si="28"/>
        <v>9.1000000000000004E-3</v>
      </c>
      <c r="L10" s="3165">
        <f t="shared" si="29"/>
        <v>6.6E-3</v>
      </c>
      <c r="M10" s="3165">
        <f t="shared" si="30"/>
        <v>4.6999999999999993E-3</v>
      </c>
      <c r="N10" s="3165">
        <f t="shared" si="31"/>
        <v>9.5999999999999992E-3</v>
      </c>
      <c r="O10" s="3165">
        <f t="shared" si="32"/>
        <v>7.0999999999999995E-3</v>
      </c>
      <c r="P10" s="3165">
        <f t="shared" si="33"/>
        <v>4.6999999999999993E-3</v>
      </c>
      <c r="Q10" s="3174"/>
      <c r="R10" s="3176">
        <f>ROUND(IF(项目基本情况!$B$8="出让",SUMPRODUCT(PRODUCT(1+K10:$K$19)),SUMPRODUCT(PRODUCT(1+K10:$K$18))),4)</f>
        <v>1.0755999999999999</v>
      </c>
      <c r="S10" s="3176">
        <f>ROUND(IF(项目基本情况!$B$8="出让",SUMPRODUCT(PRODUCT(1+L10:$L$19)),SUMPRODUCT(PRODUCT(1+L10:$L$18))),4)</f>
        <v>1.0395000000000001</v>
      </c>
      <c r="T10" s="3176">
        <f>ROUND(IF(项目基本情况!$B$8="出让",SUMPRODUCT(PRODUCT(1+M10:$M$19)),SUMPRODUCT(PRODUCT(1+M10:$M$18))),4)</f>
        <v>1.0250999999999999</v>
      </c>
      <c r="U10" s="3176">
        <f>ROUND(IF(项目基本情况!$B$8="出让",SUMPRODUCT(PRODUCT(1+N10:$N$19)),SUMPRODUCT(PRODUCT(1+N10:$N$18))),4)</f>
        <v>1.0818000000000001</v>
      </c>
      <c r="V10" s="3176">
        <f>ROUND(IF(项目基本情况!$B$8="出让",SUMPRODUCT(PRODUCT(1+O10:$O$19)),SUMPRODUCT(PRODUCT(1+O10:$O$18))),4)</f>
        <v>1.0629999999999999</v>
      </c>
      <c r="W10" s="3176">
        <f t="shared" si="34"/>
        <v>1.0250999999999999</v>
      </c>
      <c r="X10" s="3174"/>
      <c r="Y10" s="3177"/>
      <c r="Z10" s="3177"/>
      <c r="AA10" s="3177"/>
      <c r="AB10" s="3177"/>
      <c r="AC10" s="3177"/>
      <c r="AD10" s="3177"/>
    </row>
    <row r="11" spans="1:30" s="3178" customFormat="1" ht="12.75">
      <c r="A11" s="3169" t="s">
        <v>3362</v>
      </c>
      <c r="B11" s="3170">
        <v>2023</v>
      </c>
      <c r="C11" s="3171">
        <v>1</v>
      </c>
      <c r="D11" s="3172">
        <v>0.89</v>
      </c>
      <c r="E11" s="3172">
        <v>0.74</v>
      </c>
      <c r="F11" s="3172">
        <v>0.56999999999999995</v>
      </c>
      <c r="G11" s="3172">
        <v>0.92</v>
      </c>
      <c r="H11" s="3189">
        <v>0.5</v>
      </c>
      <c r="I11" s="3173">
        <f t="shared" si="15"/>
        <v>0.56999999999999995</v>
      </c>
      <c r="J11" s="3174"/>
      <c r="K11" s="3175">
        <f t="shared" si="28"/>
        <v>8.8999999999999999E-3</v>
      </c>
      <c r="L11" s="3165">
        <f t="shared" si="29"/>
        <v>7.4000000000000003E-3</v>
      </c>
      <c r="M11" s="3165">
        <f t="shared" si="30"/>
        <v>5.6999999999999993E-3</v>
      </c>
      <c r="N11" s="3165">
        <f t="shared" si="31"/>
        <v>9.1999999999999998E-3</v>
      </c>
      <c r="O11" s="3165">
        <f t="shared" si="32"/>
        <v>5.0000000000000001E-3</v>
      </c>
      <c r="P11" s="3165">
        <f t="shared" si="33"/>
        <v>5.6999999999999993E-3</v>
      </c>
      <c r="Q11" s="3174"/>
      <c r="R11" s="3176">
        <f>ROUND(IF(项目基本情况!$B$8="出让",SUMPRODUCT(PRODUCT(1+K11:$K$19)),SUMPRODUCT(PRODUCT(1+K11:$K$18))),4)</f>
        <v>1.0659000000000001</v>
      </c>
      <c r="S11" s="3176">
        <f>ROUND(IF(项目基本情况!$B$8="出让",SUMPRODUCT(PRODUCT(1+L11:$L$19)),SUMPRODUCT(PRODUCT(1+L11:$L$18))),4)</f>
        <v>1.0326</v>
      </c>
      <c r="T11" s="3176">
        <f>ROUND(IF(项目基本情况!$B$8="出让",SUMPRODUCT(PRODUCT(1+M11:$M$19)),SUMPRODUCT(PRODUCT(1+M11:$M$18))),4)</f>
        <v>1.0203</v>
      </c>
      <c r="U11" s="3176">
        <f>ROUND(IF(项目基本情况!$B$8="出让",SUMPRODUCT(PRODUCT(1+N11:$N$19)),SUMPRODUCT(PRODUCT(1+N11:$N$18))),4)</f>
        <v>1.0714999999999999</v>
      </c>
      <c r="V11" s="3176">
        <f>ROUND(IF(项目基本情况!$B$8="出让",SUMPRODUCT(PRODUCT(1+O11:$O$19)),SUMPRODUCT(PRODUCT(1+O11:$O$18))),4)</f>
        <v>1.0555000000000001</v>
      </c>
      <c r="W11" s="3176">
        <f t="shared" ref="W11:W18" si="35">T11</f>
        <v>1.0203</v>
      </c>
      <c r="X11" s="3174"/>
      <c r="Y11" s="3177"/>
      <c r="Z11" s="3177"/>
      <c r="AA11" s="3177"/>
      <c r="AB11" s="3177"/>
      <c r="AC11" s="3177"/>
      <c r="AD11" s="3177"/>
    </row>
    <row r="12" spans="1:30" s="3178" customFormat="1" ht="12.75">
      <c r="A12" s="3169" t="s">
        <v>3361</v>
      </c>
      <c r="B12" s="3170">
        <v>2022</v>
      </c>
      <c r="C12" s="3171">
        <v>4</v>
      </c>
      <c r="D12" s="3172">
        <v>0.62</v>
      </c>
      <c r="E12" s="3172">
        <v>0.2</v>
      </c>
      <c r="F12" s="3172">
        <v>0.11</v>
      </c>
      <c r="G12" s="3172">
        <v>0.69</v>
      </c>
      <c r="H12" s="3189">
        <v>0.53</v>
      </c>
      <c r="I12" s="3173">
        <f t="shared" si="15"/>
        <v>0.11</v>
      </c>
      <c r="J12" s="3174"/>
      <c r="K12" s="3175">
        <f t="shared" si="16"/>
        <v>6.1999999999999998E-3</v>
      </c>
      <c r="L12" s="3165">
        <f t="shared" si="16"/>
        <v>2E-3</v>
      </c>
      <c r="M12" s="3165">
        <f t="shared" si="16"/>
        <v>1.1000000000000001E-3</v>
      </c>
      <c r="N12" s="3165">
        <f t="shared" si="16"/>
        <v>6.8999999999999999E-3</v>
      </c>
      <c r="O12" s="3165">
        <f t="shared" si="16"/>
        <v>5.3E-3</v>
      </c>
      <c r="P12" s="3165">
        <f t="shared" ref="P12:P19" si="36">M12</f>
        <v>1.1000000000000001E-3</v>
      </c>
      <c r="Q12" s="3174"/>
      <c r="R12" s="3176">
        <f>ROUND(IF(项目基本情况!$B$8="出让",SUMPRODUCT(PRODUCT(1+K12:$K$19)),SUMPRODUCT(PRODUCT(1+K12:$K$18))),4)</f>
        <v>1.0565</v>
      </c>
      <c r="S12" s="3176">
        <f>ROUND(IF(项目基本情况!$B$8="出让",SUMPRODUCT(PRODUCT(1+L12:$L$19)),SUMPRODUCT(PRODUCT(1+L12:$L$18))),4)</f>
        <v>1.0250999999999999</v>
      </c>
      <c r="T12" s="3176">
        <f>ROUND(IF(项目基本情况!$B$8="出让",SUMPRODUCT(PRODUCT(1+M12:$M$19)),SUMPRODUCT(PRODUCT(1+M12:$M$18))),4)</f>
        <v>1.0145</v>
      </c>
      <c r="U12" s="3176">
        <f>ROUND(IF(项目基本情况!$B$8="出让",SUMPRODUCT(PRODUCT(1+N12:$N$19)),SUMPRODUCT(PRODUCT(1+N12:$N$18))),4)</f>
        <v>1.0618000000000001</v>
      </c>
      <c r="V12" s="3176">
        <f>ROUND(IF(项目基本情况!$B$8="出让",SUMPRODUCT(PRODUCT(1+O12:$O$19)),SUMPRODUCT(PRODUCT(1+O12:$O$18))),4)</f>
        <v>1.0502</v>
      </c>
      <c r="W12" s="3176">
        <f t="shared" si="35"/>
        <v>1.0145</v>
      </c>
      <c r="X12" s="3174"/>
      <c r="Y12" s="3177">
        <f>IF(D12=0,0,ROUND(AVERAGE(D12:D20)/100,4))</f>
        <v>8.0999999999999996E-3</v>
      </c>
      <c r="Z12" s="3177">
        <f t="shared" ref="Z12:AC12" si="37">IF(E12=0,0,ROUND(AVERAGE(E12:E19)/100,4))</f>
        <v>3.3E-3</v>
      </c>
      <c r="AA12" s="3177">
        <f t="shared" si="37"/>
        <v>1.5E-3</v>
      </c>
      <c r="AB12" s="3177">
        <f t="shared" si="37"/>
        <v>8.8999999999999999E-3</v>
      </c>
      <c r="AC12" s="3177">
        <f t="shared" si="37"/>
        <v>6.6E-3</v>
      </c>
      <c r="AD12" s="3177">
        <f t="shared" si="18"/>
        <v>1.5E-3</v>
      </c>
    </row>
    <row r="13" spans="1:30" s="3178" customFormat="1" ht="12.75">
      <c r="A13" s="3169" t="s">
        <v>3357</v>
      </c>
      <c r="B13" s="3170">
        <v>2022</v>
      </c>
      <c r="C13" s="3171">
        <v>3</v>
      </c>
      <c r="D13" s="3172">
        <v>0.66</v>
      </c>
      <c r="E13" s="3172">
        <v>0.32</v>
      </c>
      <c r="F13" s="3172">
        <v>0.23</v>
      </c>
      <c r="G13" s="3172">
        <v>0.72</v>
      </c>
      <c r="H13" s="3189">
        <v>0.63</v>
      </c>
      <c r="I13" s="3173">
        <f t="shared" si="15"/>
        <v>0.23</v>
      </c>
      <c r="J13" s="3174"/>
      <c r="K13" s="3175">
        <f t="shared" si="16"/>
        <v>6.6E-3</v>
      </c>
      <c r="L13" s="3165">
        <f t="shared" si="16"/>
        <v>3.2000000000000002E-3</v>
      </c>
      <c r="M13" s="3165">
        <f t="shared" si="16"/>
        <v>2.3E-3</v>
      </c>
      <c r="N13" s="3165">
        <f t="shared" si="16"/>
        <v>7.1999999999999998E-3</v>
      </c>
      <c r="O13" s="3165">
        <f t="shared" si="16"/>
        <v>6.3E-3</v>
      </c>
      <c r="P13" s="3165">
        <f t="shared" si="36"/>
        <v>2.3E-3</v>
      </c>
      <c r="Q13" s="3174"/>
      <c r="R13" s="3176">
        <f>ROUND(IF(项目基本情况!$B$8="出让",SUMPRODUCT(PRODUCT(1+K13:$K$19)),SUMPRODUCT(PRODUCT(1+K13:$K$18))),4)</f>
        <v>1.05</v>
      </c>
      <c r="S13" s="3176">
        <f>ROUND(IF(项目基本情况!$B$8="出让",SUMPRODUCT(PRODUCT(1+L13:$L$19)),SUMPRODUCT(PRODUCT(1+L13:$L$18))),4)</f>
        <v>1.0229999999999999</v>
      </c>
      <c r="T13" s="3176">
        <f>ROUND(IF(项目基本情况!$B$8="出让",SUMPRODUCT(PRODUCT(1+M13:$M$19)),SUMPRODUCT(PRODUCT(1+M13:$M$18))),4)</f>
        <v>1.0134000000000001</v>
      </c>
      <c r="U13" s="3176">
        <f>ROUND(IF(项目基本情况!$B$8="出让",SUMPRODUCT(PRODUCT(1+N13:$N$19)),SUMPRODUCT(PRODUCT(1+N13:$N$18))),4)</f>
        <v>1.0545</v>
      </c>
      <c r="V13" s="3176">
        <f>ROUND(IF(项目基本情况!$B$8="出让",SUMPRODUCT(PRODUCT(1+O13:$O$19)),SUMPRODUCT(PRODUCT(1+O13:$O$18))),4)</f>
        <v>1.0447</v>
      </c>
      <c r="W13" s="3176">
        <f t="shared" si="35"/>
        <v>1.0134000000000001</v>
      </c>
      <c r="X13" s="3174"/>
      <c r="Y13" s="3177">
        <f>IF(D13=0,0,ROUND(AVERAGE(D13:D19)/100,4))</f>
        <v>8.3999999999999995E-3</v>
      </c>
      <c r="Z13" s="3177">
        <f t="shared" ref="Z13:AC13" si="38">IF(E13=0,0,ROUND(AVERAGE(E13:E19)/100,4))</f>
        <v>3.5000000000000001E-3</v>
      </c>
      <c r="AA13" s="3177">
        <f t="shared" si="38"/>
        <v>1.5E-3</v>
      </c>
      <c r="AB13" s="3177">
        <f t="shared" si="38"/>
        <v>9.1999999999999998E-3</v>
      </c>
      <c r="AC13" s="3177">
        <f t="shared" si="38"/>
        <v>6.7999999999999996E-3</v>
      </c>
      <c r="AD13" s="3177">
        <f t="shared" si="18"/>
        <v>1.5E-3</v>
      </c>
    </row>
    <row r="14" spans="1:30" s="3178" customFormat="1" ht="12.75">
      <c r="A14" s="3169" t="s">
        <v>3348</v>
      </c>
      <c r="B14" s="3170">
        <v>2022</v>
      </c>
      <c r="C14" s="3171">
        <v>2</v>
      </c>
      <c r="D14" s="3172">
        <v>0.93</v>
      </c>
      <c r="E14" s="3172">
        <v>0.15</v>
      </c>
      <c r="F14" s="3172">
        <v>0.01</v>
      </c>
      <c r="G14" s="3172">
        <v>1.05</v>
      </c>
      <c r="H14" s="3189">
        <v>1.08</v>
      </c>
      <c r="I14" s="3173">
        <f t="shared" si="15"/>
        <v>0.01</v>
      </c>
      <c r="J14" s="3174"/>
      <c r="K14" s="3175">
        <f t="shared" si="16"/>
        <v>9.300000000000001E-3</v>
      </c>
      <c r="L14" s="3165">
        <f t="shared" si="16"/>
        <v>1.5E-3</v>
      </c>
      <c r="M14" s="3165">
        <f t="shared" si="16"/>
        <v>1E-4</v>
      </c>
      <c r="N14" s="3165">
        <f t="shared" si="16"/>
        <v>1.0500000000000001E-2</v>
      </c>
      <c r="O14" s="3165">
        <f t="shared" si="16"/>
        <v>1.0800000000000001E-2</v>
      </c>
      <c r="P14" s="3165">
        <f t="shared" si="36"/>
        <v>1E-4</v>
      </c>
      <c r="Q14" s="3174"/>
      <c r="R14" s="3176">
        <f>ROUND(IF(项目基本情况!$B$8="出让",SUMPRODUCT(PRODUCT(1+K14:$K$19)),SUMPRODUCT(PRODUCT(1+K14:$K$18))),4)</f>
        <v>1.0430999999999999</v>
      </c>
      <c r="S14" s="3176">
        <f>ROUND(IF(项目基本情况!$B$8="出让",SUMPRODUCT(PRODUCT(1+L14:$L$19)),SUMPRODUCT(PRODUCT(1+L14:$L$18))),4)</f>
        <v>1.0197000000000001</v>
      </c>
      <c r="T14" s="3176">
        <f>ROUND(IF(项目基本情况!$B$8="出让",SUMPRODUCT(PRODUCT(1+M14:$M$19)),SUMPRODUCT(PRODUCT(1+M14:$M$18))),4)</f>
        <v>1.0109999999999999</v>
      </c>
      <c r="U14" s="3176">
        <f>ROUND(IF(项目基本情况!$B$8="出让",SUMPRODUCT(PRODUCT(1+N14:$N$19)),SUMPRODUCT(PRODUCT(1+N14:$N$18))),4)</f>
        <v>1.0468999999999999</v>
      </c>
      <c r="V14" s="3176">
        <f>ROUND(IF(项目基本情况!$B$8="出让",SUMPRODUCT(PRODUCT(1+O14:$O$19)),SUMPRODUCT(PRODUCT(1+O14:$O$18))),4)</f>
        <v>1.0382</v>
      </c>
      <c r="W14" s="3176">
        <f t="shared" si="35"/>
        <v>1.0109999999999999</v>
      </c>
      <c r="X14" s="3174"/>
      <c r="Y14" s="3177">
        <f>IF(D14=0,0,ROUND(AVERAGE(D14:D19)/100,4))</f>
        <v>8.6999999999999994E-3</v>
      </c>
      <c r="Z14" s="3177">
        <f t="shared" ref="Z14:AC14" si="39">IF(E14=0,0,ROUND(AVERAGE(E14:E19)/100,4))</f>
        <v>3.5000000000000001E-3</v>
      </c>
      <c r="AA14" s="3177">
        <f t="shared" si="39"/>
        <v>1.4E-3</v>
      </c>
      <c r="AB14" s="3177">
        <f t="shared" si="39"/>
        <v>9.4999999999999998E-3</v>
      </c>
      <c r="AC14" s="3177">
        <f t="shared" si="39"/>
        <v>6.8999999999999999E-3</v>
      </c>
      <c r="AD14" s="3177">
        <f t="shared" si="18"/>
        <v>1.4E-3</v>
      </c>
    </row>
    <row r="15" spans="1:30" s="3178" customFormat="1" ht="12.75">
      <c r="A15" s="3169" t="s">
        <v>2813</v>
      </c>
      <c r="B15" s="3170">
        <v>2022</v>
      </c>
      <c r="C15" s="3171">
        <v>1</v>
      </c>
      <c r="D15" s="3172">
        <v>0.89</v>
      </c>
      <c r="E15" s="3172">
        <v>0.44</v>
      </c>
      <c r="F15" s="3172">
        <v>0.37</v>
      </c>
      <c r="G15" s="3172">
        <v>0.96</v>
      </c>
      <c r="H15" s="3189">
        <v>0.64</v>
      </c>
      <c r="I15" s="3173">
        <f t="shared" si="15"/>
        <v>0.37</v>
      </c>
      <c r="J15" s="3174"/>
      <c r="K15" s="3175">
        <f t="shared" si="16"/>
        <v>8.8999999999999999E-3</v>
      </c>
      <c r="L15" s="3165">
        <f t="shared" si="16"/>
        <v>4.4000000000000003E-3</v>
      </c>
      <c r="M15" s="3165">
        <f t="shared" si="16"/>
        <v>3.7000000000000002E-3</v>
      </c>
      <c r="N15" s="3165">
        <f t="shared" si="16"/>
        <v>9.5999999999999992E-3</v>
      </c>
      <c r="O15" s="3165">
        <f t="shared" si="16"/>
        <v>6.4000000000000003E-3</v>
      </c>
      <c r="P15" s="3165">
        <f t="shared" si="36"/>
        <v>3.7000000000000002E-3</v>
      </c>
      <c r="Q15" s="3174"/>
      <c r="R15" s="3176">
        <f>ROUND(IF(项目基本情况!$B$8="出让",SUMPRODUCT(PRODUCT(1+K15:$K$19)),SUMPRODUCT(PRODUCT(1+K15:$K$18))),4)</f>
        <v>1.0335000000000001</v>
      </c>
      <c r="S15" s="3176">
        <f>ROUND(IF(项目基本情况!$B$8="出让",SUMPRODUCT(PRODUCT(1+L15:$L$19)),SUMPRODUCT(PRODUCT(1+L15:$L$18))),4)</f>
        <v>1.0182</v>
      </c>
      <c r="T15" s="3176">
        <f>ROUND(IF(项目基本情况!$B$8="出让",SUMPRODUCT(PRODUCT(1+M15:$M$19)),SUMPRODUCT(PRODUCT(1+M15:$M$18))),4)</f>
        <v>1.0108999999999999</v>
      </c>
      <c r="U15" s="3176">
        <f>ROUND(IF(项目基本情况!$B$8="出让",SUMPRODUCT(PRODUCT(1+N15:$N$19)),SUMPRODUCT(PRODUCT(1+N15:$N$18))),4)</f>
        <v>1.0361</v>
      </c>
      <c r="V15" s="3176">
        <f>ROUND(IF(项目基本情况!$B$8="出让",SUMPRODUCT(PRODUCT(1+O15:$O$19)),SUMPRODUCT(PRODUCT(1+O15:$O$18))),4)</f>
        <v>1.0270999999999999</v>
      </c>
      <c r="W15" s="3176">
        <f t="shared" si="35"/>
        <v>1.0108999999999999</v>
      </c>
      <c r="X15" s="3174"/>
      <c r="Y15" s="3177">
        <f>IF(D15=0,0,ROUND(AVERAGE(D15:D19)/100,4))</f>
        <v>8.6E-3</v>
      </c>
      <c r="Z15" s="3177">
        <f t="shared" ref="Z15:AC15" si="40">IF(E15=0,0,ROUND(AVERAGE(E15:E19)/100,4))</f>
        <v>3.8999999999999998E-3</v>
      </c>
      <c r="AA15" s="3177">
        <f t="shared" si="40"/>
        <v>1.6999999999999999E-3</v>
      </c>
      <c r="AB15" s="3177">
        <f t="shared" si="40"/>
        <v>9.2999999999999992E-3</v>
      </c>
      <c r="AC15" s="3177">
        <f t="shared" si="40"/>
        <v>6.1000000000000004E-3</v>
      </c>
      <c r="AD15" s="3177">
        <f t="shared" si="18"/>
        <v>1.6999999999999999E-3</v>
      </c>
    </row>
    <row r="16" spans="1:30" s="3178" customFormat="1" ht="12.75">
      <c r="A16" s="3169" t="s">
        <v>2814</v>
      </c>
      <c r="B16" s="3170">
        <v>2021</v>
      </c>
      <c r="C16" s="3171">
        <v>4</v>
      </c>
      <c r="D16" s="3172">
        <v>1.03</v>
      </c>
      <c r="E16" s="3172">
        <v>0.24</v>
      </c>
      <c r="F16" s="3172">
        <v>7.0000000000000007E-2</v>
      </c>
      <c r="G16" s="3172">
        <v>1.17</v>
      </c>
      <c r="H16" s="3189">
        <v>0.55000000000000004</v>
      </c>
      <c r="I16" s="3173">
        <f t="shared" si="15"/>
        <v>7.0000000000000007E-2</v>
      </c>
      <c r="J16" s="3174"/>
      <c r="K16" s="3175">
        <f t="shared" si="16"/>
        <v>1.03E-2</v>
      </c>
      <c r="L16" s="3165">
        <f t="shared" si="16"/>
        <v>2.3999999999999998E-3</v>
      </c>
      <c r="M16" s="3165">
        <f t="shared" si="16"/>
        <v>7.000000000000001E-4</v>
      </c>
      <c r="N16" s="3165">
        <f t="shared" si="16"/>
        <v>1.1699999999999999E-2</v>
      </c>
      <c r="O16" s="3165">
        <f t="shared" si="16"/>
        <v>5.5000000000000005E-3</v>
      </c>
      <c r="P16" s="3165">
        <f t="shared" si="36"/>
        <v>7.000000000000001E-4</v>
      </c>
      <c r="Q16" s="3174"/>
      <c r="R16" s="3176">
        <f>ROUND(IF(项目基本情况!$B$8="出让",SUMPRODUCT(PRODUCT(1+K16:$K$19)),SUMPRODUCT(PRODUCT(1+K16:$K$18))),4)</f>
        <v>1.0244</v>
      </c>
      <c r="S16" s="3176">
        <f>ROUND(IF(项目基本情况!$B$8="出让",SUMPRODUCT(PRODUCT(1+L16:$L$19)),SUMPRODUCT(PRODUCT(1+L16:$L$18))),4)</f>
        <v>1.0138</v>
      </c>
      <c r="T16" s="3176">
        <f>ROUND(IF(项目基本情况!$B$8="出让",SUMPRODUCT(PRODUCT(1+M16:$M$19)),SUMPRODUCT(PRODUCT(1+M16:$M$18))),4)</f>
        <v>1.0072000000000001</v>
      </c>
      <c r="U16" s="3176">
        <f>ROUND(IF(项目基本情况!$B$8="出让",SUMPRODUCT(PRODUCT(1+N16:$N$19)),SUMPRODUCT(PRODUCT(1+N16:$N$18))),4)</f>
        <v>1.0262</v>
      </c>
      <c r="V16" s="3176">
        <f>ROUND(IF(项目基本情况!$B$8="出让",SUMPRODUCT(PRODUCT(1+O16:$O$19)),SUMPRODUCT(PRODUCT(1+O16:$O$18))),4)</f>
        <v>1.0205</v>
      </c>
      <c r="W16" s="3176">
        <f t="shared" si="35"/>
        <v>1.0072000000000001</v>
      </c>
      <c r="X16" s="3174"/>
      <c r="Y16" s="3177">
        <f>IF(D16=0,0,ROUND(AVERAGE(D16:D19)/100,4))</f>
        <v>8.5000000000000006E-3</v>
      </c>
      <c r="Z16" s="3177">
        <f t="shared" ref="Z16:AC16" si="41">IF(E16=0,0,ROUND(AVERAGE(E16:E19)/100,4))</f>
        <v>3.8E-3</v>
      </c>
      <c r="AA16" s="3177">
        <f t="shared" si="41"/>
        <v>1.1999999999999999E-3</v>
      </c>
      <c r="AB16" s="3177">
        <f t="shared" si="41"/>
        <v>9.2999999999999992E-3</v>
      </c>
      <c r="AC16" s="3177">
        <f t="shared" si="41"/>
        <v>6.0000000000000001E-3</v>
      </c>
      <c r="AD16" s="3177">
        <f t="shared" si="18"/>
        <v>1.1999999999999999E-3</v>
      </c>
    </row>
    <row r="17" spans="1:30" s="3178" customFormat="1" ht="12.75">
      <c r="A17" s="3169" t="s">
        <v>2815</v>
      </c>
      <c r="B17" s="3170">
        <v>2021</v>
      </c>
      <c r="C17" s="3171">
        <v>3</v>
      </c>
      <c r="D17" s="3172">
        <v>0.47</v>
      </c>
      <c r="E17" s="3172">
        <v>0.41</v>
      </c>
      <c r="F17" s="3172">
        <v>0.24</v>
      </c>
      <c r="G17" s="3172">
        <v>0.48</v>
      </c>
      <c r="H17" s="3189">
        <v>0.48</v>
      </c>
      <c r="I17" s="3173">
        <f t="shared" si="15"/>
        <v>0.24</v>
      </c>
      <c r="J17" s="3174"/>
      <c r="K17" s="3175">
        <f t="shared" si="16"/>
        <v>4.6999999999999993E-3</v>
      </c>
      <c r="L17" s="3165">
        <f t="shared" si="16"/>
        <v>4.0999999999999995E-3</v>
      </c>
      <c r="M17" s="3165">
        <f t="shared" si="16"/>
        <v>2.3999999999999998E-3</v>
      </c>
      <c r="N17" s="3165">
        <f t="shared" si="16"/>
        <v>4.7999999999999996E-3</v>
      </c>
      <c r="O17" s="3165">
        <f t="shared" si="16"/>
        <v>4.7999999999999996E-3</v>
      </c>
      <c r="P17" s="3165">
        <f t="shared" si="36"/>
        <v>2.3999999999999998E-3</v>
      </c>
      <c r="Q17" s="3174"/>
      <c r="R17" s="3176">
        <f>ROUND(IF(项目基本情况!$B$8="出让",SUMPRODUCT(PRODUCT(1+K17:$K$19)),SUMPRODUCT(PRODUCT(1+K17:$K$18))),4)</f>
        <v>1.0139</v>
      </c>
      <c r="S17" s="3176">
        <f>ROUND(IF(项目基本情况!$B$8="出让",SUMPRODUCT(PRODUCT(1+L17:$L$19)),SUMPRODUCT(PRODUCT(1+L17:$L$18))),4)</f>
        <v>1.0113000000000001</v>
      </c>
      <c r="T17" s="3176">
        <f>ROUND(IF(项目基本情况!$B$8="出让",SUMPRODUCT(PRODUCT(1+M17:$M$19)),SUMPRODUCT(PRODUCT(1+M17:$M$18))),4)</f>
        <v>1.0065</v>
      </c>
      <c r="U17" s="3176">
        <f>ROUND(IF(项目基本情况!$B$8="出让",SUMPRODUCT(PRODUCT(1+N17:$N$19)),SUMPRODUCT(PRODUCT(1+N17:$N$18))),4)</f>
        <v>1.0143</v>
      </c>
      <c r="V17" s="3176">
        <f>ROUND(IF(项目基本情况!$B$8="出让",SUMPRODUCT(PRODUCT(1+O17:$O$19)),SUMPRODUCT(PRODUCT(1+O17:$O$18))),4)</f>
        <v>1.0148999999999999</v>
      </c>
      <c r="W17" s="3176">
        <f t="shared" si="35"/>
        <v>1.0065</v>
      </c>
      <c r="X17" s="3174"/>
      <c r="Y17" s="3177">
        <f>IF(D17=0,0,ROUND(AVERAGE(D17:D19)/100,4))</f>
        <v>7.9000000000000008E-3</v>
      </c>
      <c r="Z17" s="3177">
        <f>IF(E17=0,0,ROUND(AVERAGE(E17:E19)/100,4))</f>
        <v>4.3E-3</v>
      </c>
      <c r="AA17" s="3177">
        <f>IF(F17=0,0,ROUND(AVERAGE(F17:F19)/100,4))</f>
        <v>1.2999999999999999E-3</v>
      </c>
      <c r="AB17" s="3177">
        <f>IF(G17=0,0,ROUND(AVERAGE(G17:G19)/100,4))</f>
        <v>8.5000000000000006E-3</v>
      </c>
      <c r="AC17" s="3177">
        <f>IF(H17=0,0,ROUND(AVERAGE(H17:H19)/100,4))</f>
        <v>6.1999999999999998E-3</v>
      </c>
      <c r="AD17" s="3177">
        <f t="shared" si="18"/>
        <v>1.2999999999999999E-3</v>
      </c>
    </row>
    <row r="18" spans="1:30" s="3178" customFormat="1" ht="12.75">
      <c r="A18" s="3169" t="s">
        <v>2816</v>
      </c>
      <c r="B18" s="3170">
        <v>2021</v>
      </c>
      <c r="C18" s="3171">
        <v>2</v>
      </c>
      <c r="D18" s="3172">
        <v>0.92</v>
      </c>
      <c r="E18" s="3172">
        <v>0.72</v>
      </c>
      <c r="F18" s="3172">
        <v>0.41</v>
      </c>
      <c r="G18" s="3172">
        <v>0.95</v>
      </c>
      <c r="H18" s="3189">
        <v>1.01</v>
      </c>
      <c r="I18" s="3173">
        <f t="shared" si="15"/>
        <v>0.41</v>
      </c>
      <c r="J18" s="3174"/>
      <c r="K18" s="3175">
        <f t="shared" si="16"/>
        <v>9.1999999999999998E-3</v>
      </c>
      <c r="L18" s="3165">
        <f t="shared" si="16"/>
        <v>7.1999999999999998E-3</v>
      </c>
      <c r="M18" s="3165">
        <f t="shared" si="16"/>
        <v>4.0999999999999995E-3</v>
      </c>
      <c r="N18" s="3165">
        <f t="shared" si="16"/>
        <v>9.4999999999999998E-3</v>
      </c>
      <c r="O18" s="3165">
        <f t="shared" si="16"/>
        <v>1.01E-2</v>
      </c>
      <c r="P18" s="3165">
        <f t="shared" si="36"/>
        <v>4.0999999999999995E-3</v>
      </c>
      <c r="Q18" s="3174"/>
      <c r="R18" s="3176">
        <f>ROUND(IF(项目基本情况!$B$8="出让",SUMPRODUCT(PRODUCT(1+K18:$K$19)),SUMPRODUCT(PRODUCT(1+K18:$K$18))),4)</f>
        <v>1.0092000000000001</v>
      </c>
      <c r="S18" s="3176">
        <f>ROUND(IF(项目基本情况!$B$8="出让",SUMPRODUCT(PRODUCT(1+L18:$L$19)),SUMPRODUCT(PRODUCT(1+L18:$L$18))),4)</f>
        <v>1.0072000000000001</v>
      </c>
      <c r="T18" s="3176">
        <f>ROUND(IF(项目基本情况!$B$8="出让",SUMPRODUCT(PRODUCT(1+M18:$M$19)),SUMPRODUCT(PRODUCT(1+M18:$M$18))),4)</f>
        <v>1.0041</v>
      </c>
      <c r="U18" s="3176">
        <f>ROUND(IF(项目基本情况!$B$8="出让",SUMPRODUCT(PRODUCT(1+N18:$N$19)),SUMPRODUCT(PRODUCT(1+N18:$N$18))),4)</f>
        <v>1.0095000000000001</v>
      </c>
      <c r="V18" s="3176">
        <f>ROUND(IF(项目基本情况!$B$8="出让",SUMPRODUCT(PRODUCT(1+O18:$O$19)),SUMPRODUCT(PRODUCT(1+O18:$O$18))),4)</f>
        <v>1.0101</v>
      </c>
      <c r="W18" s="3176">
        <f t="shared" si="35"/>
        <v>1.0041</v>
      </c>
      <c r="X18" s="3174"/>
      <c r="Y18" s="3177">
        <f>IF(D18=0,0,ROUND(AVERAGE(D18:D19)/100,4))</f>
        <v>9.4999999999999998E-3</v>
      </c>
      <c r="Z18" s="3177">
        <f>IF(E18=0,0,ROUND(AVERAGE(E18:E19)/100,4))</f>
        <v>4.4000000000000003E-3</v>
      </c>
      <c r="AA18" s="3177">
        <f>IF(F18=0,0,ROUND(AVERAGE(F18:F19)/100,4))</f>
        <v>8.0000000000000004E-4</v>
      </c>
      <c r="AB18" s="3177">
        <f>IF(G18=0,0,ROUND(AVERAGE(G18:G19)/100,4))</f>
        <v>1.03E-2</v>
      </c>
      <c r="AC18" s="3177">
        <f>IF(H18=0,0,ROUND(AVERAGE(H18:H19)/100,4))</f>
        <v>6.8999999999999999E-3</v>
      </c>
      <c r="AD18" s="3177">
        <f t="shared" si="18"/>
        <v>8.0000000000000004E-4</v>
      </c>
    </row>
    <row r="19" spans="1:30" s="3200" customFormat="1" thickBot="1">
      <c r="A19" s="3190" t="s">
        <v>2817</v>
      </c>
      <c r="B19" s="3191">
        <v>2021</v>
      </c>
      <c r="C19" s="3192">
        <v>1</v>
      </c>
      <c r="D19" s="3193">
        <v>0.97</v>
      </c>
      <c r="E19" s="3193">
        <v>0.16</v>
      </c>
      <c r="F19" s="3193">
        <v>-0.25</v>
      </c>
      <c r="G19" s="3193">
        <v>1.1100000000000001</v>
      </c>
      <c r="H19" s="3194">
        <v>0.36</v>
      </c>
      <c r="I19" s="3195">
        <f t="shared" si="15"/>
        <v>-0.25</v>
      </c>
      <c r="J19" s="3196"/>
      <c r="K19" s="3197">
        <f t="shared" si="16"/>
        <v>9.7000000000000003E-3</v>
      </c>
      <c r="L19" s="3198">
        <f t="shared" si="16"/>
        <v>1.6000000000000001E-3</v>
      </c>
      <c r="M19" s="3198">
        <f>F19/100</f>
        <v>-2.5000000000000001E-3</v>
      </c>
      <c r="N19" s="3198">
        <f t="shared" si="16"/>
        <v>1.11E-2</v>
      </c>
      <c r="O19" s="3198">
        <f t="shared" si="16"/>
        <v>3.5999999999999999E-3</v>
      </c>
      <c r="P19" s="3198">
        <f t="shared" si="36"/>
        <v>-2.5000000000000001E-3</v>
      </c>
      <c r="Q19" s="3196"/>
      <c r="R19" s="3199">
        <v>1</v>
      </c>
      <c r="S19" s="3199">
        <v>1</v>
      </c>
      <c r="T19" s="3199">
        <v>1</v>
      </c>
      <c r="U19" s="3199">
        <v>1</v>
      </c>
      <c r="V19" s="3199">
        <v>1</v>
      </c>
      <c r="W19" s="3199">
        <f t="shared" ref="W19" si="42">T19</f>
        <v>1</v>
      </c>
      <c r="X19" s="3196"/>
      <c r="Y19" s="3198">
        <f>IF(D19=0,0,ROUND(AVERAGE(D19:D19)/100,4))</f>
        <v>9.7000000000000003E-3</v>
      </c>
      <c r="Z19" s="3198">
        <f>IF(E19=0,0,ROUND(AVERAGE(E19:E19)/100,4))</f>
        <v>1.6000000000000001E-3</v>
      </c>
      <c r="AA19" s="3198">
        <f>IF(F19=0,0,ROUND(AVERAGE(F19:F19)/100,4))</f>
        <v>-2.5000000000000001E-3</v>
      </c>
      <c r="AB19" s="3198">
        <f>IF(G19=0,0,ROUND(AVERAGE(G19:G19)/100,4))</f>
        <v>1.11E-2</v>
      </c>
      <c r="AC19" s="3198">
        <f>IF(H19=0,0,ROUND(AVERAGE(H19:H19)/100,4))</f>
        <v>3.5999999999999999E-3</v>
      </c>
      <c r="AD19" s="3198">
        <f>AA19</f>
        <v>-2.5000000000000001E-3</v>
      </c>
    </row>
    <row r="20" spans="1:30" s="3002" customFormat="1" ht="14.25" thickTop="1"/>
    <row r="21" spans="1:30" s="3002" customFormat="1">
      <c r="A21" s="3441" t="s">
        <v>3359</v>
      </c>
    </row>
    <row r="22" spans="1:30" s="3002" customFormat="1">
      <c r="I22" s="3201" t="s">
        <v>2818</v>
      </c>
    </row>
    <row r="23" spans="1:30" s="3002" customFormat="1"/>
    <row r="24" spans="1:30" s="3202" customFormat="1" ht="12.75">
      <c r="B24" s="3203" t="s">
        <v>3365</v>
      </c>
      <c r="C24" s="3204"/>
      <c r="D24" s="3204"/>
      <c r="E24" s="3204"/>
      <c r="F24" s="3204"/>
      <c r="G24" s="3204"/>
      <c r="H24" s="3204"/>
      <c r="I24" s="3204"/>
      <c r="J24" s="3158"/>
      <c r="K24" s="3204" t="s">
        <v>2819</v>
      </c>
      <c r="L24" s="3204"/>
      <c r="M24" s="3204"/>
      <c r="N24" s="3204"/>
      <c r="O24" s="3204"/>
      <c r="P24" s="3204"/>
      <c r="Q24" s="3158"/>
      <c r="R24" s="3815" t="s">
        <v>2820</v>
      </c>
      <c r="S24" s="3816"/>
      <c r="T24" s="3816"/>
      <c r="U24" s="3816"/>
      <c r="V24" s="3816"/>
      <c r="W24" s="3816"/>
      <c r="X24" s="3158"/>
      <c r="Y24" s="3815" t="s">
        <v>2821</v>
      </c>
      <c r="Z24" s="3816"/>
      <c r="AA24" s="3816"/>
      <c r="AB24" s="3816"/>
      <c r="AC24" s="3816"/>
      <c r="AD24" s="3816"/>
    </row>
    <row r="25" spans="1:30" s="3136" customFormat="1" ht="14.25" thickBot="1">
      <c r="B25" s="3137"/>
      <c r="C25" s="3138"/>
      <c r="D25" s="3139" t="s">
        <v>2822</v>
      </c>
      <c r="E25" s="3140" t="s">
        <v>2823</v>
      </c>
      <c r="F25" s="3140" t="s">
        <v>2824</v>
      </c>
      <c r="G25" s="3140" t="s">
        <v>2825</v>
      </c>
      <c r="H25" s="3140"/>
      <c r="I25" s="3140" t="s">
        <v>2826</v>
      </c>
      <c r="J25" s="3141"/>
      <c r="K25" s="3139" t="s">
        <v>2822</v>
      </c>
      <c r="L25" s="3140" t="s">
        <v>2823</v>
      </c>
      <c r="M25" s="3140" t="s">
        <v>2824</v>
      </c>
      <c r="N25" s="3140" t="s">
        <v>2825</v>
      </c>
      <c r="O25" s="3140"/>
      <c r="P25" s="3140" t="s">
        <v>2826</v>
      </c>
      <c r="Q25" s="3141"/>
      <c r="R25" s="3139" t="s">
        <v>2822</v>
      </c>
      <c r="S25" s="3140" t="s">
        <v>2823</v>
      </c>
      <c r="T25" s="3140" t="s">
        <v>2824</v>
      </c>
      <c r="U25" s="3140" t="s">
        <v>2825</v>
      </c>
      <c r="V25" s="3140"/>
      <c r="W25" s="3140" t="s">
        <v>2826</v>
      </c>
      <c r="X25" s="3141"/>
      <c r="Y25" s="3139" t="s">
        <v>2822</v>
      </c>
      <c r="Z25" s="3140" t="s">
        <v>2823</v>
      </c>
      <c r="AA25" s="3140" t="s">
        <v>2824</v>
      </c>
      <c r="AB25" s="3140" t="s">
        <v>2825</v>
      </c>
      <c r="AC25" s="3140"/>
      <c r="AD25" s="3140" t="s">
        <v>2826</v>
      </c>
    </row>
    <row r="26" spans="1:30" s="3154" customFormat="1" ht="12.75">
      <c r="A26" s="3142" t="s">
        <v>2827</v>
      </c>
      <c r="B26" s="3143"/>
      <c r="C26" s="3144"/>
      <c r="D26" s="3144"/>
      <c r="E26" s="3144">
        <f t="shared" ref="E26:G26" si="43">ROUND(AVERAGEIF(E27:E42,"&lt;&gt;0"),2)</f>
        <v>0.38</v>
      </c>
      <c r="F26" s="3144">
        <f t="shared" si="43"/>
        <v>0.28999999999999998</v>
      </c>
      <c r="G26" s="3144">
        <f t="shared" si="43"/>
        <v>0.56999999999999995</v>
      </c>
      <c r="H26" s="3144"/>
      <c r="I26" s="3144">
        <f>F26</f>
        <v>0.28999999999999998</v>
      </c>
      <c r="J26" s="3145"/>
      <c r="K26" s="3146"/>
      <c r="L26" s="3147">
        <f t="shared" ref="L26:N26" si="44">ROUND(AVERAGEIF(L27:L42,"&lt;&gt;0"),4)</f>
        <v>3.8E-3</v>
      </c>
      <c r="M26" s="3147">
        <f t="shared" si="44"/>
        <v>2.8999999999999998E-3</v>
      </c>
      <c r="N26" s="3147">
        <f t="shared" si="44"/>
        <v>5.7000000000000002E-3</v>
      </c>
      <c r="O26" s="3147"/>
      <c r="P26" s="3147">
        <f>M26</f>
        <v>2.8999999999999998E-3</v>
      </c>
      <c r="Q26" s="3145"/>
      <c r="R26" s="3148"/>
      <c r="S26" s="3149">
        <f>ROUND(SUMPRODUCT(PRODUCT(1+L27:L42)),4)</f>
        <v>1.0502</v>
      </c>
      <c r="T26" s="3149">
        <f t="shared" ref="T26:U26" si="45">ROUND(SUMPRODUCT(PRODUCT(1+M27:M42)),4)</f>
        <v>1.0387999999999999</v>
      </c>
      <c r="U26" s="3149">
        <f t="shared" si="45"/>
        <v>1.0763</v>
      </c>
      <c r="V26" s="3149"/>
      <c r="W26" s="3148">
        <f>T26</f>
        <v>1.0387999999999999</v>
      </c>
      <c r="X26" s="3145"/>
      <c r="Y26" s="3150"/>
      <c r="Z26" s="3151">
        <f t="shared" ref="Z26:AB26" si="46">ROUND(AVERAGEIF(Z27:Z42,"&lt;&gt;0"),4)</f>
        <v>4.3E-3</v>
      </c>
      <c r="AA26" s="3152">
        <f t="shared" si="46"/>
        <v>3.5999999999999999E-3</v>
      </c>
      <c r="AB26" s="3150">
        <f t="shared" si="46"/>
        <v>8.8999999999999999E-3</v>
      </c>
      <c r="AC26" s="3153"/>
      <c r="AD26" s="3150">
        <f>AA26</f>
        <v>3.5999999999999999E-3</v>
      </c>
    </row>
    <row r="27" spans="1:30" s="3155" customFormat="1" ht="12.75">
      <c r="B27" s="3156"/>
      <c r="C27" s="3157"/>
      <c r="D27" s="3157"/>
      <c r="E27" s="3157"/>
      <c r="F27" s="3157"/>
      <c r="G27" s="3157"/>
      <c r="H27" s="3157"/>
      <c r="I27" s="3157"/>
      <c r="J27" s="3158"/>
      <c r="K27" s="3159"/>
      <c r="L27" s="3160"/>
      <c r="M27" s="3160"/>
      <c r="N27" s="3160"/>
      <c r="O27" s="3160"/>
      <c r="P27" s="3160"/>
      <c r="Q27" s="3158"/>
      <c r="R27" s="3161"/>
      <c r="S27" s="3162"/>
      <c r="T27" s="3163"/>
      <c r="U27" s="3161"/>
      <c r="V27" s="3164"/>
      <c r="W27" s="3161"/>
      <c r="X27" s="3158"/>
      <c r="Y27" s="3165"/>
      <c r="Z27" s="3166"/>
      <c r="AA27" s="3167"/>
      <c r="AB27" s="3165"/>
      <c r="AC27" s="3168"/>
      <c r="AD27" s="3165"/>
    </row>
    <row r="28" spans="1:30" s="3178" customFormat="1" ht="12.75">
      <c r="A28" s="2201" t="s">
        <v>3372</v>
      </c>
      <c r="B28" s="3170">
        <v>2024</v>
      </c>
      <c r="C28" s="3171">
        <v>3</v>
      </c>
      <c r="D28" s="3172"/>
      <c r="E28" s="3172">
        <v>0</v>
      </c>
      <c r="F28" s="3172">
        <v>0</v>
      </c>
      <c r="G28" s="3172">
        <v>0</v>
      </c>
      <c r="H28" s="3172"/>
      <c r="I28" s="3173">
        <f t="shared" ref="I28" si="47">F28</f>
        <v>0</v>
      </c>
      <c r="J28" s="3174"/>
      <c r="K28" s="3175"/>
      <c r="L28" s="3165">
        <f t="shared" ref="L28" si="48">E28/100</f>
        <v>0</v>
      </c>
      <c r="M28" s="3165">
        <f t="shared" ref="M28" si="49">F28/100</f>
        <v>0</v>
      </c>
      <c r="N28" s="3165">
        <f t="shared" ref="N28" si="50">G28/100</f>
        <v>0</v>
      </c>
      <c r="O28" s="3165"/>
      <c r="P28" s="3165">
        <f>M28</f>
        <v>0</v>
      </c>
      <c r="Q28" s="3174"/>
      <c r="R28" s="3176"/>
      <c r="S28" s="3176">
        <f>ROUND(IF(项目基本情况!$B$8="出让",SUMPRODUCT(PRODUCT(1+L28:L$42)),SUMPRODUCT(PRODUCT(1+L28:L$41))),4)</f>
        <v>1.0465</v>
      </c>
      <c r="T28" s="3176">
        <f>ROUND(IF(项目基本情况!$B$8="出让",SUMPRODUCT(PRODUCT(1+M28:M$42)),SUMPRODUCT(PRODUCT(1+M28:M$41))),4)</f>
        <v>1.0338000000000001</v>
      </c>
      <c r="U28" s="3176">
        <f>ROUND(IF(项目基本情况!$B$8="出让",SUMPRODUCT(PRODUCT(1+N28:N$42)),SUMPRODUCT(PRODUCT(1+N28:N$41))),4)</f>
        <v>1.0659000000000001</v>
      </c>
      <c r="V28" s="3176"/>
      <c r="W28" s="3176">
        <f>T28</f>
        <v>1.0338000000000001</v>
      </c>
      <c r="X28" s="3174"/>
      <c r="Y28" s="3177"/>
      <c r="Z28" s="3205">
        <f t="shared" ref="Z28:AB29" si="51">IF(E28=0,0,ROUND(AVERAGE(E28:E41)/100,4))</f>
        <v>0</v>
      </c>
      <c r="AA28" s="3205">
        <f t="shared" si="51"/>
        <v>0</v>
      </c>
      <c r="AB28" s="3205">
        <f t="shared" si="51"/>
        <v>0</v>
      </c>
      <c r="AC28" s="3206"/>
      <c r="AD28" s="3177">
        <f>IF(I28=0,0,ROUND(AVERAGE(I28:I41)/100,4))</f>
        <v>0</v>
      </c>
    </row>
    <row r="29" spans="1:30" s="3178" customFormat="1" ht="12.75">
      <c r="A29" s="2201" t="s">
        <v>3367</v>
      </c>
      <c r="B29" s="3170">
        <v>2024</v>
      </c>
      <c r="C29" s="3171">
        <v>2</v>
      </c>
      <c r="D29" s="3172"/>
      <c r="E29" s="3172">
        <v>0</v>
      </c>
      <c r="F29" s="3172">
        <v>0</v>
      </c>
      <c r="G29" s="3172">
        <v>0</v>
      </c>
      <c r="H29" s="3172"/>
      <c r="I29" s="3173">
        <f t="shared" ref="I29:I42" si="52">F29</f>
        <v>0</v>
      </c>
      <c r="J29" s="3174"/>
      <c r="K29" s="3175"/>
      <c r="L29" s="3165">
        <f t="shared" ref="L29:N42" si="53">E29/100</f>
        <v>0</v>
      </c>
      <c r="M29" s="3165">
        <f t="shared" si="53"/>
        <v>0</v>
      </c>
      <c r="N29" s="3165">
        <f t="shared" si="53"/>
        <v>0</v>
      </c>
      <c r="O29" s="3165"/>
      <c r="P29" s="3165">
        <f>M29</f>
        <v>0</v>
      </c>
      <c r="Q29" s="3174"/>
      <c r="R29" s="3176"/>
      <c r="S29" s="3176">
        <f>ROUND(IF(项目基本情况!$B$8="出让",SUMPRODUCT(PRODUCT(1+L29:L$42)),SUMPRODUCT(PRODUCT(1+L29:L$41))),4)</f>
        <v>1.0465</v>
      </c>
      <c r="T29" s="3176">
        <f>ROUND(IF(项目基本情况!$B$8="出让",SUMPRODUCT(PRODUCT(1+M29:M$42)),SUMPRODUCT(PRODUCT(1+M29:M$41))),4)</f>
        <v>1.0338000000000001</v>
      </c>
      <c r="U29" s="3176">
        <f>ROUND(IF(项目基本情况!$B$8="出让",SUMPRODUCT(PRODUCT(1+N29:N$42)),SUMPRODUCT(PRODUCT(1+N29:N$41))),4)</f>
        <v>1.0659000000000001</v>
      </c>
      <c r="V29" s="3176"/>
      <c r="W29" s="3176">
        <f>T29</f>
        <v>1.0338000000000001</v>
      </c>
      <c r="X29" s="3174"/>
      <c r="Y29" s="3177"/>
      <c r="Z29" s="3205">
        <f t="shared" si="51"/>
        <v>0</v>
      </c>
      <c r="AA29" s="3205">
        <f t="shared" si="51"/>
        <v>0</v>
      </c>
      <c r="AB29" s="3205">
        <f t="shared" si="51"/>
        <v>0</v>
      </c>
      <c r="AC29" s="3206"/>
      <c r="AD29" s="3177">
        <f>IF(I29=0,0,ROUND(AVERAGE(I29:I42)/100,4))</f>
        <v>0</v>
      </c>
    </row>
    <row r="30" spans="1:30" s="3188" customFormat="1" ht="12.75">
      <c r="A30" s="3179" t="s">
        <v>3369</v>
      </c>
      <c r="B30" s="3180">
        <v>2024</v>
      </c>
      <c r="C30" s="3181">
        <v>1</v>
      </c>
      <c r="D30" s="3182"/>
      <c r="E30" s="3182">
        <v>0.25</v>
      </c>
      <c r="F30" s="3182">
        <v>0.4</v>
      </c>
      <c r="G30" s="3182">
        <v>-0.63</v>
      </c>
      <c r="H30" s="3183"/>
      <c r="I30" s="3184">
        <f t="shared" ref="I30:I31" si="54">F30</f>
        <v>0.4</v>
      </c>
      <c r="J30" s="3185"/>
      <c r="K30" s="3186"/>
      <c r="L30" s="3187">
        <f t="shared" ref="L30" si="55">E30/100</f>
        <v>2.5000000000000001E-3</v>
      </c>
      <c r="M30" s="3187">
        <f t="shared" ref="M30" si="56">F30/100</f>
        <v>4.0000000000000001E-3</v>
      </c>
      <c r="N30" s="3187">
        <f t="shared" ref="N30" si="57">G30/100</f>
        <v>-6.3E-3</v>
      </c>
      <c r="O30" s="3187"/>
      <c r="P30" s="3187">
        <f t="shared" ref="P30" si="58">M30</f>
        <v>4.0000000000000001E-3</v>
      </c>
      <c r="Q30" s="3185"/>
      <c r="R30" s="3185"/>
      <c r="S30" s="3185">
        <f>ROUND(IF(项目基本情况!$B$8="出让",SUMPRODUCT(PRODUCT(1+L30:L$42)),SUMPRODUCT(PRODUCT(1+L30:L$41))),4)</f>
        <v>1.0465</v>
      </c>
      <c r="T30" s="3185">
        <f>ROUND(IF(项目基本情况!$B$8="出让",SUMPRODUCT(PRODUCT(1+M30:M$42)),SUMPRODUCT(PRODUCT(1+M30:M$41))),4)</f>
        <v>1.0338000000000001</v>
      </c>
      <c r="U30" s="3185">
        <f>ROUND(IF(项目基本情况!$B$8="出让",SUMPRODUCT(PRODUCT(1+N30:N$42)),SUMPRODUCT(PRODUCT(1+N30:N$41))),4)</f>
        <v>1.0659000000000001</v>
      </c>
      <c r="V30" s="3185"/>
      <c r="W30" s="3185">
        <f t="shared" ref="W30" si="59">T30</f>
        <v>1.0338000000000001</v>
      </c>
      <c r="X30" s="3185"/>
      <c r="Y30" s="3187"/>
      <c r="Z30" s="3208"/>
      <c r="AA30" s="3209"/>
      <c r="AB30" s="3187"/>
      <c r="AC30" s="3210"/>
      <c r="AD30" s="3187"/>
    </row>
    <row r="31" spans="1:30" s="3178" customFormat="1" ht="12.75">
      <c r="A31" s="3169" t="s">
        <v>3371</v>
      </c>
      <c r="B31" s="3170">
        <v>2023</v>
      </c>
      <c r="C31" s="3171">
        <v>4</v>
      </c>
      <c r="D31" s="3172"/>
      <c r="E31" s="3172">
        <v>7.0000000000000007E-2</v>
      </c>
      <c r="F31" s="3172">
        <v>0.09</v>
      </c>
      <c r="G31" s="3172">
        <v>0.03</v>
      </c>
      <c r="H31" s="3189"/>
      <c r="I31" s="3173">
        <f t="shared" si="54"/>
        <v>0.09</v>
      </c>
      <c r="J31" s="3174"/>
      <c r="K31" s="3175"/>
      <c r="L31" s="3165">
        <f t="shared" si="53"/>
        <v>7.000000000000001E-4</v>
      </c>
      <c r="M31" s="3165">
        <f t="shared" si="53"/>
        <v>8.9999999999999998E-4</v>
      </c>
      <c r="N31" s="3165">
        <f t="shared" si="53"/>
        <v>2.9999999999999997E-4</v>
      </c>
      <c r="O31" s="3165"/>
      <c r="P31" s="3165">
        <f t="shared" ref="P31" si="60">M31</f>
        <v>8.9999999999999998E-4</v>
      </c>
      <c r="Q31" s="3174"/>
      <c r="R31" s="3176"/>
      <c r="S31" s="3176">
        <f>ROUND(IF(项目基本情况!$B$8="出让",SUMPRODUCT(PRODUCT(1+L31:L$42)),SUMPRODUCT(PRODUCT(1+L31:L$41))),4)</f>
        <v>1.0439000000000001</v>
      </c>
      <c r="T31" s="3176">
        <f>ROUND(IF(项目基本情况!$B$8="出让",SUMPRODUCT(PRODUCT(1+M31:M$42)),SUMPRODUCT(PRODUCT(1+M31:M$41))),4)</f>
        <v>1.0297000000000001</v>
      </c>
      <c r="U31" s="3176">
        <f>ROUND(IF(项目基本情况!$B$8="出让",SUMPRODUCT(PRODUCT(1+N31:N$42)),SUMPRODUCT(PRODUCT(1+N31:N$41))),4)</f>
        <v>1.0727</v>
      </c>
      <c r="V31" s="3176"/>
      <c r="W31" s="3176">
        <f t="shared" ref="W31" si="61">T31</f>
        <v>1.0297000000000001</v>
      </c>
      <c r="X31" s="3174"/>
      <c r="Y31" s="3177"/>
      <c r="Z31" s="3205"/>
      <c r="AA31" s="3207"/>
      <c r="AB31" s="3177"/>
      <c r="AC31" s="3206"/>
      <c r="AD31" s="3177"/>
    </row>
    <row r="32" spans="1:30" s="3178" customFormat="1" ht="12.75">
      <c r="A32" s="3169" t="s">
        <v>3368</v>
      </c>
      <c r="B32" s="3170">
        <v>2023</v>
      </c>
      <c r="C32" s="3171">
        <v>3</v>
      </c>
      <c r="D32" s="3172"/>
      <c r="E32" s="3172">
        <v>0.35</v>
      </c>
      <c r="F32" s="3172">
        <v>0.17</v>
      </c>
      <c r="G32" s="3172">
        <v>0.52</v>
      </c>
      <c r="H32" s="3189"/>
      <c r="I32" s="3173">
        <f t="shared" si="52"/>
        <v>0.17</v>
      </c>
      <c r="J32" s="3174"/>
      <c r="K32" s="3175"/>
      <c r="L32" s="3165">
        <f t="shared" ref="L32:L34" si="62">E32/100</f>
        <v>3.4999999999999996E-3</v>
      </c>
      <c r="M32" s="3165">
        <f t="shared" ref="M32:M34" si="63">F32/100</f>
        <v>1.7000000000000001E-3</v>
      </c>
      <c r="N32" s="3165">
        <f t="shared" ref="N32:N34" si="64">G32/100</f>
        <v>5.1999999999999998E-3</v>
      </c>
      <c r="O32" s="3165"/>
      <c r="P32" s="3165">
        <f t="shared" ref="P32:P34" si="65">M32</f>
        <v>1.7000000000000001E-3</v>
      </c>
      <c r="Q32" s="3174"/>
      <c r="R32" s="3176"/>
      <c r="S32" s="3176">
        <f>ROUND(IF(项目基本情况!$B$8="出让",SUMPRODUCT(PRODUCT(1+L32:L$42)),SUMPRODUCT(PRODUCT(1+L32:L$41))),4)</f>
        <v>1.0431999999999999</v>
      </c>
      <c r="T32" s="3176">
        <f>ROUND(IF(项目基本情况!$B$8="出让",SUMPRODUCT(PRODUCT(1+M32:M$42)),SUMPRODUCT(PRODUCT(1+M32:M$41))),4)</f>
        <v>1.0286999999999999</v>
      </c>
      <c r="U32" s="3176">
        <f>ROUND(IF(项目基本情况!$B$8="出让",SUMPRODUCT(PRODUCT(1+N32:N$42)),SUMPRODUCT(PRODUCT(1+N32:N$41))),4)</f>
        <v>1.0723</v>
      </c>
      <c r="V32" s="3176"/>
      <c r="W32" s="3176">
        <f t="shared" ref="W32:W34" si="66">T32</f>
        <v>1.0286999999999999</v>
      </c>
      <c r="X32" s="3174"/>
      <c r="Y32" s="3177"/>
      <c r="Z32" s="3205"/>
      <c r="AA32" s="3207"/>
      <c r="AB32" s="3177"/>
      <c r="AC32" s="3206"/>
      <c r="AD32" s="3177"/>
    </row>
    <row r="33" spans="1:30" s="3178" customFormat="1" ht="12.75">
      <c r="A33" s="3169" t="s">
        <v>3366</v>
      </c>
      <c r="B33" s="3170">
        <v>2023</v>
      </c>
      <c r="C33" s="3171">
        <v>2</v>
      </c>
      <c r="D33" s="3172"/>
      <c r="E33" s="3172">
        <v>0.5</v>
      </c>
      <c r="F33" s="3172">
        <v>0.45</v>
      </c>
      <c r="G33" s="3172">
        <v>0.89</v>
      </c>
      <c r="H33" s="3189"/>
      <c r="I33" s="3173">
        <f t="shared" si="52"/>
        <v>0.45</v>
      </c>
      <c r="J33" s="3174"/>
      <c r="K33" s="3175"/>
      <c r="L33" s="3165">
        <f t="shared" si="62"/>
        <v>5.0000000000000001E-3</v>
      </c>
      <c r="M33" s="3165">
        <f t="shared" si="63"/>
        <v>4.5000000000000005E-3</v>
      </c>
      <c r="N33" s="3165">
        <f t="shared" si="64"/>
        <v>8.8999999999999999E-3</v>
      </c>
      <c r="O33" s="3165"/>
      <c r="P33" s="3165">
        <f t="shared" si="65"/>
        <v>4.5000000000000005E-3</v>
      </c>
      <c r="Q33" s="3174"/>
      <c r="R33" s="3176"/>
      <c r="S33" s="3176">
        <f>ROUND(IF(项目基本情况!$B$8="出让",SUMPRODUCT(PRODUCT(1+L33:L$42)),SUMPRODUCT(PRODUCT(1+L33:L$41))),4)</f>
        <v>1.0396000000000001</v>
      </c>
      <c r="T33" s="3176">
        <f>ROUND(IF(项目基本情况!$B$8="出让",SUMPRODUCT(PRODUCT(1+M33:M$42)),SUMPRODUCT(PRODUCT(1+M33:M$41))),4)</f>
        <v>1.0269999999999999</v>
      </c>
      <c r="U33" s="3176">
        <f>ROUND(IF(项目基本情况!$B$8="出让",SUMPRODUCT(PRODUCT(1+N33:N$42)),SUMPRODUCT(PRODUCT(1+N33:N$41))),4)</f>
        <v>1.0668</v>
      </c>
      <c r="V33" s="3176"/>
      <c r="W33" s="3176">
        <f t="shared" si="66"/>
        <v>1.0269999999999999</v>
      </c>
      <c r="X33" s="3174"/>
      <c r="Y33" s="3177"/>
      <c r="Z33" s="3205"/>
      <c r="AA33" s="3207"/>
      <c r="AB33" s="3177"/>
      <c r="AC33" s="3206"/>
      <c r="AD33" s="3177"/>
    </row>
    <row r="34" spans="1:30" s="3178" customFormat="1" ht="12.75">
      <c r="A34" s="3169" t="s">
        <v>3362</v>
      </c>
      <c r="B34" s="3170">
        <v>2023</v>
      </c>
      <c r="C34" s="3171">
        <v>1</v>
      </c>
      <c r="D34" s="3172"/>
      <c r="E34" s="3172">
        <v>0.55000000000000004</v>
      </c>
      <c r="F34" s="3172">
        <v>0.59</v>
      </c>
      <c r="G34" s="3172">
        <v>0.64</v>
      </c>
      <c r="H34" s="3189"/>
      <c r="I34" s="3173">
        <f t="shared" si="52"/>
        <v>0.59</v>
      </c>
      <c r="J34" s="3174"/>
      <c r="K34" s="3175"/>
      <c r="L34" s="3165">
        <f t="shared" si="62"/>
        <v>5.5000000000000005E-3</v>
      </c>
      <c r="M34" s="3165">
        <f t="shared" si="63"/>
        <v>5.8999999999999999E-3</v>
      </c>
      <c r="N34" s="3165">
        <f t="shared" si="64"/>
        <v>6.4000000000000003E-3</v>
      </c>
      <c r="O34" s="3165"/>
      <c r="P34" s="3165">
        <f t="shared" si="65"/>
        <v>5.8999999999999999E-3</v>
      </c>
      <c r="Q34" s="3174"/>
      <c r="R34" s="3176"/>
      <c r="S34" s="3176">
        <f>ROUND(IF(项目基本情况!$B$8="出让",SUMPRODUCT(PRODUCT(1+L34:L$42)),SUMPRODUCT(PRODUCT(1+L34:L$41))),4)</f>
        <v>1.0344</v>
      </c>
      <c r="T34" s="3176">
        <f>ROUND(IF(项目基本情况!$B$8="出让",SUMPRODUCT(PRODUCT(1+M34:M$42)),SUMPRODUCT(PRODUCT(1+M34:M$41))),4)</f>
        <v>1.0224</v>
      </c>
      <c r="U34" s="3176">
        <f>ROUND(IF(项目基本情况!$B$8="出让",SUMPRODUCT(PRODUCT(1+N34:N$42)),SUMPRODUCT(PRODUCT(1+N34:N$41))),4)</f>
        <v>1.0573999999999999</v>
      </c>
      <c r="V34" s="3176"/>
      <c r="W34" s="3176">
        <f t="shared" si="66"/>
        <v>1.0224</v>
      </c>
      <c r="X34" s="3174"/>
      <c r="Y34" s="3177"/>
      <c r="Z34" s="3205"/>
      <c r="AA34" s="3207"/>
      <c r="AB34" s="3177"/>
      <c r="AC34" s="3206"/>
      <c r="AD34" s="3177"/>
    </row>
    <row r="35" spans="1:30" s="3178" customFormat="1" ht="12.75">
      <c r="A35" s="3169" t="s">
        <v>3361</v>
      </c>
      <c r="B35" s="3170">
        <v>2022</v>
      </c>
      <c r="C35" s="3171">
        <v>4</v>
      </c>
      <c r="D35" s="3172"/>
      <c r="E35" s="3172">
        <v>0.45</v>
      </c>
      <c r="F35" s="3172">
        <v>0.2</v>
      </c>
      <c r="G35" s="3172">
        <v>0.38</v>
      </c>
      <c r="H35" s="3189"/>
      <c r="I35" s="3173">
        <f t="shared" si="52"/>
        <v>0.2</v>
      </c>
      <c r="J35" s="3174"/>
      <c r="K35" s="3175"/>
      <c r="L35" s="3165">
        <f t="shared" si="53"/>
        <v>4.5000000000000005E-3</v>
      </c>
      <c r="M35" s="3165">
        <f t="shared" si="53"/>
        <v>2E-3</v>
      </c>
      <c r="N35" s="3165">
        <f t="shared" si="53"/>
        <v>3.8E-3</v>
      </c>
      <c r="O35" s="3165"/>
      <c r="P35" s="3165">
        <f t="shared" ref="P35:P42" si="67">M35</f>
        <v>2E-3</v>
      </c>
      <c r="Q35" s="3174"/>
      <c r="R35" s="3176"/>
      <c r="S35" s="3176">
        <f>ROUND(IF(项目基本情况!$B$8="出让",SUMPRODUCT(PRODUCT(1+L35:L$42)),SUMPRODUCT(PRODUCT(1+L35:L$41))),4)</f>
        <v>1.0286999999999999</v>
      </c>
      <c r="T35" s="3176">
        <f>ROUND(IF(项目基本情况!$B$8="出让",SUMPRODUCT(PRODUCT(1+M35:M$42)),SUMPRODUCT(PRODUCT(1+M35:M$41))),4)</f>
        <v>1.0164</v>
      </c>
      <c r="U35" s="3176">
        <f>ROUND(IF(项目基本情况!$B$8="出让",SUMPRODUCT(PRODUCT(1+N35:N$42)),SUMPRODUCT(PRODUCT(1+N35:N$41))),4)</f>
        <v>1.0506</v>
      </c>
      <c r="V35" s="3176"/>
      <c r="W35" s="3176">
        <f t="shared" ref="W35:W42" si="68">T35</f>
        <v>1.0164</v>
      </c>
      <c r="X35" s="3174"/>
      <c r="Y35" s="3177"/>
      <c r="Z35" s="3205">
        <f t="shared" ref="Z35:AD42" si="69">IF(E35=0,0,ROUND(AVERAGE(E35:E43)/100,4))</f>
        <v>4.0000000000000001E-3</v>
      </c>
      <c r="AA35" s="3207">
        <f t="shared" si="69"/>
        <v>2.5999999999999999E-3</v>
      </c>
      <c r="AB35" s="3177">
        <f t="shared" si="69"/>
        <v>7.4000000000000003E-3</v>
      </c>
      <c r="AC35" s="3206"/>
      <c r="AD35" s="3177">
        <f t="shared" si="69"/>
        <v>2.5999999999999999E-3</v>
      </c>
    </row>
    <row r="36" spans="1:30" s="3178" customFormat="1" ht="12.75">
      <c r="A36" s="3169" t="s">
        <v>3358</v>
      </c>
      <c r="B36" s="3170">
        <v>2022</v>
      </c>
      <c r="C36" s="3171">
        <v>3</v>
      </c>
      <c r="D36" s="3172"/>
      <c r="E36" s="3172">
        <v>0.3</v>
      </c>
      <c r="F36" s="3172">
        <v>0.28999999999999998</v>
      </c>
      <c r="G36" s="3172">
        <v>0.83</v>
      </c>
      <c r="H36" s="3189"/>
      <c r="I36" s="3173">
        <f t="shared" si="52"/>
        <v>0.28999999999999998</v>
      </c>
      <c r="J36" s="3174"/>
      <c r="K36" s="3175"/>
      <c r="L36" s="3165">
        <f t="shared" si="53"/>
        <v>3.0000000000000001E-3</v>
      </c>
      <c r="M36" s="3165">
        <f t="shared" si="53"/>
        <v>2.8999999999999998E-3</v>
      </c>
      <c r="N36" s="3165">
        <f t="shared" si="53"/>
        <v>8.3000000000000001E-3</v>
      </c>
      <c r="O36" s="3165"/>
      <c r="P36" s="3165">
        <f t="shared" si="67"/>
        <v>2.8999999999999998E-3</v>
      </c>
      <c r="Q36" s="3174"/>
      <c r="R36" s="3176"/>
      <c r="S36" s="3176">
        <f>ROUND(IF(项目基本情况!$B$8="出让",SUMPRODUCT(PRODUCT(1+L36:L$42)),SUMPRODUCT(PRODUCT(1+L36:L$41))),4)</f>
        <v>1.0241</v>
      </c>
      <c r="T36" s="3176">
        <f>ROUND(IF(项目基本情况!$B$8="出让",SUMPRODUCT(PRODUCT(1+M36:M$42)),SUMPRODUCT(PRODUCT(1+M36:M$41))),4)</f>
        <v>1.0144</v>
      </c>
      <c r="U36" s="3176">
        <f>ROUND(IF(项目基本情况!$B$8="出让",SUMPRODUCT(PRODUCT(1+N36:N$42)),SUMPRODUCT(PRODUCT(1+N36:N$41))),4)</f>
        <v>1.0467</v>
      </c>
      <c r="V36" s="3176"/>
      <c r="W36" s="3176">
        <f t="shared" si="68"/>
        <v>1.0144</v>
      </c>
      <c r="X36" s="3174"/>
      <c r="Y36" s="3177"/>
      <c r="Z36" s="3205">
        <f t="shared" si="69"/>
        <v>3.8999999999999998E-3</v>
      </c>
      <c r="AA36" s="3207">
        <f t="shared" si="69"/>
        <v>2.7000000000000001E-3</v>
      </c>
      <c r="AB36" s="3177">
        <f t="shared" si="69"/>
        <v>7.9000000000000008E-3</v>
      </c>
      <c r="AC36" s="3206"/>
      <c r="AD36" s="3177">
        <f t="shared" si="69"/>
        <v>2.7000000000000001E-3</v>
      </c>
    </row>
    <row r="37" spans="1:30" s="3178" customFormat="1" ht="12.75">
      <c r="A37" s="3169" t="s">
        <v>3348</v>
      </c>
      <c r="B37" s="3170">
        <v>2022</v>
      </c>
      <c r="C37" s="3171">
        <v>2</v>
      </c>
      <c r="D37" s="3172"/>
      <c r="E37" s="3172">
        <v>-0.11</v>
      </c>
      <c r="F37" s="3172">
        <v>-0.13</v>
      </c>
      <c r="G37" s="3172">
        <v>0.53</v>
      </c>
      <c r="H37" s="3189"/>
      <c r="I37" s="3173">
        <f t="shared" si="52"/>
        <v>-0.13</v>
      </c>
      <c r="J37" s="3174"/>
      <c r="K37" s="3175"/>
      <c r="L37" s="3165">
        <f t="shared" si="53"/>
        <v>-1.1000000000000001E-3</v>
      </c>
      <c r="M37" s="3165">
        <f t="shared" si="53"/>
        <v>-1.2999999999999999E-3</v>
      </c>
      <c r="N37" s="3165">
        <f t="shared" si="53"/>
        <v>5.3E-3</v>
      </c>
      <c r="O37" s="3165"/>
      <c r="P37" s="3165">
        <f t="shared" si="67"/>
        <v>-1.2999999999999999E-3</v>
      </c>
      <c r="Q37" s="3174"/>
      <c r="R37" s="3176"/>
      <c r="S37" s="3176">
        <f>ROUND(IF(项目基本情况!$B$8="出让",SUMPRODUCT(PRODUCT(1+L37:L$42)),SUMPRODUCT(PRODUCT(1+L37:L$41))),4)</f>
        <v>1.0210999999999999</v>
      </c>
      <c r="T37" s="3176">
        <f>ROUND(IF(项目基本情况!$B$8="出让",SUMPRODUCT(PRODUCT(1+M37:M$42)),SUMPRODUCT(PRODUCT(1+M37:M$41))),4)</f>
        <v>1.0114000000000001</v>
      </c>
      <c r="U37" s="3176">
        <f>ROUND(IF(项目基本情况!$B$8="出让",SUMPRODUCT(PRODUCT(1+N37:N$42)),SUMPRODUCT(PRODUCT(1+N37:N$41))),4)</f>
        <v>1.0381</v>
      </c>
      <c r="V37" s="3176"/>
      <c r="W37" s="3176">
        <f t="shared" si="68"/>
        <v>1.0114000000000001</v>
      </c>
      <c r="X37" s="3174"/>
      <c r="Y37" s="3177"/>
      <c r="Z37" s="3205">
        <f t="shared" si="69"/>
        <v>4.1000000000000003E-3</v>
      </c>
      <c r="AA37" s="3207">
        <f t="shared" si="69"/>
        <v>2.7000000000000001E-3</v>
      </c>
      <c r="AB37" s="3177">
        <f t="shared" si="69"/>
        <v>7.9000000000000008E-3</v>
      </c>
      <c r="AC37" s="3206"/>
      <c r="AD37" s="3177">
        <f t="shared" si="69"/>
        <v>2.7000000000000001E-3</v>
      </c>
    </row>
    <row r="38" spans="1:30" s="3178" customFormat="1" ht="12.75">
      <c r="A38" s="3169" t="s">
        <v>2828</v>
      </c>
      <c r="B38" s="3170">
        <v>2022</v>
      </c>
      <c r="C38" s="3171">
        <v>1</v>
      </c>
      <c r="D38" s="3172"/>
      <c r="E38" s="3172">
        <v>0.6</v>
      </c>
      <c r="F38" s="3172">
        <v>0.45</v>
      </c>
      <c r="G38" s="3172">
        <v>0.53</v>
      </c>
      <c r="H38" s="3189"/>
      <c r="I38" s="3173">
        <f t="shared" si="52"/>
        <v>0.45</v>
      </c>
      <c r="J38" s="3174"/>
      <c r="K38" s="3175"/>
      <c r="L38" s="3165">
        <f t="shared" si="53"/>
        <v>6.0000000000000001E-3</v>
      </c>
      <c r="M38" s="3165">
        <f t="shared" si="53"/>
        <v>4.5000000000000005E-3</v>
      </c>
      <c r="N38" s="3165">
        <f t="shared" si="53"/>
        <v>5.3E-3</v>
      </c>
      <c r="O38" s="3165"/>
      <c r="P38" s="3165">
        <f t="shared" si="67"/>
        <v>4.5000000000000005E-3</v>
      </c>
      <c r="Q38" s="3174"/>
      <c r="R38" s="3176"/>
      <c r="S38" s="3176">
        <f>ROUND(IF(项目基本情况!$B$8="出让",SUMPRODUCT(PRODUCT(1+L38:L$42)),SUMPRODUCT(PRODUCT(1+L38:L$41))),4)</f>
        <v>1.0222</v>
      </c>
      <c r="T38" s="3176">
        <f>ROUND(IF(项目基本情况!$B$8="出让",SUMPRODUCT(PRODUCT(1+M38:M$42)),SUMPRODUCT(PRODUCT(1+M38:M$41))),4)</f>
        <v>1.0127999999999999</v>
      </c>
      <c r="U38" s="3176">
        <f>ROUND(IF(项目基本情况!$B$8="出让",SUMPRODUCT(PRODUCT(1+N38:N$42)),SUMPRODUCT(PRODUCT(1+N38:N$41))),4)</f>
        <v>1.0326</v>
      </c>
      <c r="V38" s="3176"/>
      <c r="W38" s="3176">
        <f t="shared" si="68"/>
        <v>1.0127999999999999</v>
      </c>
      <c r="X38" s="3174"/>
      <c r="Y38" s="3177"/>
      <c r="Z38" s="3205">
        <f t="shared" si="69"/>
        <v>5.1000000000000004E-3</v>
      </c>
      <c r="AA38" s="3207">
        <f t="shared" si="69"/>
        <v>3.5000000000000001E-3</v>
      </c>
      <c r="AB38" s="3177">
        <f t="shared" si="69"/>
        <v>8.3999999999999995E-3</v>
      </c>
      <c r="AC38" s="3206"/>
      <c r="AD38" s="3177">
        <f t="shared" si="69"/>
        <v>3.5000000000000001E-3</v>
      </c>
    </row>
    <row r="39" spans="1:30" s="3178" customFormat="1" ht="12.75">
      <c r="A39" s="3169" t="s">
        <v>2829</v>
      </c>
      <c r="B39" s="3170">
        <v>2021</v>
      </c>
      <c r="C39" s="3171">
        <v>4</v>
      </c>
      <c r="D39" s="3172"/>
      <c r="E39" s="3172">
        <v>0.57999999999999996</v>
      </c>
      <c r="F39" s="3172">
        <v>0.08</v>
      </c>
      <c r="G39" s="3172">
        <v>0.68</v>
      </c>
      <c r="H39" s="3189"/>
      <c r="I39" s="3173">
        <f t="shared" si="52"/>
        <v>0.08</v>
      </c>
      <c r="J39" s="3174"/>
      <c r="K39" s="3175"/>
      <c r="L39" s="3165">
        <f t="shared" si="53"/>
        <v>5.7999999999999996E-3</v>
      </c>
      <c r="M39" s="3165">
        <f t="shared" si="53"/>
        <v>8.0000000000000004E-4</v>
      </c>
      <c r="N39" s="3165">
        <f t="shared" si="53"/>
        <v>6.8000000000000005E-3</v>
      </c>
      <c r="O39" s="3165"/>
      <c r="P39" s="3165">
        <f t="shared" si="67"/>
        <v>8.0000000000000004E-4</v>
      </c>
      <c r="Q39" s="3174"/>
      <c r="R39" s="3176"/>
      <c r="S39" s="3176">
        <f>ROUND(IF(项目基本情况!$B$8="出让",SUMPRODUCT(PRODUCT(1+L39:L$42)),SUMPRODUCT(PRODUCT(1+L39:L$41))),4)</f>
        <v>1.0161</v>
      </c>
      <c r="T39" s="3176">
        <f>ROUND(IF(项目基本情况!$B$8="出让",SUMPRODUCT(PRODUCT(1+M39:M$42)),SUMPRODUCT(PRODUCT(1+M39:M$41))),4)</f>
        <v>1.0082</v>
      </c>
      <c r="U39" s="3176">
        <f>ROUND(IF(项目基本情况!$B$8="出让",SUMPRODUCT(PRODUCT(1+N39:N$42)),SUMPRODUCT(PRODUCT(1+N39:N$41))),4)</f>
        <v>1.0270999999999999</v>
      </c>
      <c r="V39" s="3176"/>
      <c r="W39" s="3176">
        <f t="shared" si="68"/>
        <v>1.0082</v>
      </c>
      <c r="X39" s="3174"/>
      <c r="Y39" s="3177"/>
      <c r="Z39" s="3205">
        <f t="shared" si="69"/>
        <v>4.8999999999999998E-3</v>
      </c>
      <c r="AA39" s="3207">
        <f t="shared" si="69"/>
        <v>3.3E-3</v>
      </c>
      <c r="AB39" s="3177">
        <f t="shared" si="69"/>
        <v>9.1999999999999998E-3</v>
      </c>
      <c r="AC39" s="3206"/>
      <c r="AD39" s="3177">
        <f t="shared" si="69"/>
        <v>3.3E-3</v>
      </c>
    </row>
    <row r="40" spans="1:30" s="3178" customFormat="1" ht="12.75">
      <c r="A40" s="3169" t="s">
        <v>2830</v>
      </c>
      <c r="B40" s="3170">
        <v>2021</v>
      </c>
      <c r="C40" s="3171">
        <v>3</v>
      </c>
      <c r="D40" s="3172"/>
      <c r="E40" s="3172">
        <v>0.47</v>
      </c>
      <c r="F40" s="3172">
        <v>0.28000000000000003</v>
      </c>
      <c r="G40" s="3172">
        <v>0.91</v>
      </c>
      <c r="H40" s="3189"/>
      <c r="I40" s="3173">
        <f t="shared" si="52"/>
        <v>0.28000000000000003</v>
      </c>
      <c r="J40" s="3174"/>
      <c r="K40" s="3175"/>
      <c r="L40" s="3165">
        <f t="shared" si="53"/>
        <v>4.6999999999999993E-3</v>
      </c>
      <c r="M40" s="3165">
        <f t="shared" si="53"/>
        <v>2.8000000000000004E-3</v>
      </c>
      <c r="N40" s="3165">
        <f t="shared" si="53"/>
        <v>9.1000000000000004E-3</v>
      </c>
      <c r="O40" s="3165"/>
      <c r="P40" s="3165">
        <f t="shared" si="67"/>
        <v>2.8000000000000004E-3</v>
      </c>
      <c r="Q40" s="3174"/>
      <c r="R40" s="3176"/>
      <c r="S40" s="3176">
        <f>ROUND(IF(项目基本情况!$B$8="出让",SUMPRODUCT(PRODUCT(1+L40:L$42)),SUMPRODUCT(PRODUCT(1+L40:L$41))),4)</f>
        <v>1.0102</v>
      </c>
      <c r="T40" s="3176">
        <f>ROUND(IF(项目基本情况!$B$8="出让",SUMPRODUCT(PRODUCT(1+M40:M$42)),SUMPRODUCT(PRODUCT(1+M40:M$41))),4)</f>
        <v>1.0074000000000001</v>
      </c>
      <c r="U40" s="3176">
        <f>ROUND(IF(项目基本情况!$B$8="出让",SUMPRODUCT(PRODUCT(1+N40:N$42)),SUMPRODUCT(PRODUCT(1+N40:N$41))),4)</f>
        <v>1.0202</v>
      </c>
      <c r="V40" s="3176"/>
      <c r="W40" s="3176">
        <f t="shared" si="68"/>
        <v>1.0074000000000001</v>
      </c>
      <c r="X40" s="3174"/>
      <c r="Y40" s="3177"/>
      <c r="Z40" s="3205">
        <f t="shared" si="69"/>
        <v>4.5999999999999999E-3</v>
      </c>
      <c r="AA40" s="3207">
        <f t="shared" si="69"/>
        <v>4.1000000000000003E-3</v>
      </c>
      <c r="AB40" s="3177">
        <f t="shared" si="69"/>
        <v>0.01</v>
      </c>
      <c r="AC40" s="3206"/>
      <c r="AD40" s="3177">
        <f t="shared" si="69"/>
        <v>4.1000000000000003E-3</v>
      </c>
    </row>
    <row r="41" spans="1:30" s="3178" customFormat="1" ht="12.75">
      <c r="A41" s="3169" t="s">
        <v>2831</v>
      </c>
      <c r="B41" s="3170">
        <v>2021</v>
      </c>
      <c r="C41" s="3171">
        <v>2</v>
      </c>
      <c r="D41" s="3172"/>
      <c r="E41" s="3172">
        <v>0.55000000000000004</v>
      </c>
      <c r="F41" s="3172">
        <v>0.46</v>
      </c>
      <c r="G41" s="3172">
        <v>1.1000000000000001</v>
      </c>
      <c r="H41" s="3189"/>
      <c r="I41" s="3173">
        <f t="shared" si="52"/>
        <v>0.46</v>
      </c>
      <c r="J41" s="3174"/>
      <c r="K41" s="3175"/>
      <c r="L41" s="3165">
        <f t="shared" si="53"/>
        <v>5.5000000000000005E-3</v>
      </c>
      <c r="M41" s="3165">
        <f t="shared" si="53"/>
        <v>4.5999999999999999E-3</v>
      </c>
      <c r="N41" s="3165">
        <f t="shared" si="53"/>
        <v>1.1000000000000001E-2</v>
      </c>
      <c r="O41" s="3165"/>
      <c r="P41" s="3165">
        <f t="shared" si="67"/>
        <v>4.5999999999999999E-3</v>
      </c>
      <c r="Q41" s="3174"/>
      <c r="R41" s="3176"/>
      <c r="S41" s="3176">
        <f>ROUND(IF(项目基本情况!$B$8="出让",SUMPRODUCT(PRODUCT(1+L41:L$42)),SUMPRODUCT(PRODUCT(1+L41:L$41))),4)</f>
        <v>1.0055000000000001</v>
      </c>
      <c r="T41" s="3176">
        <f>ROUND(IF(项目基本情况!$B$8="出让",SUMPRODUCT(PRODUCT(1+M41:M$42)),SUMPRODUCT(PRODUCT(1+M41:M$41))),4)</f>
        <v>1.0045999999999999</v>
      </c>
      <c r="U41" s="3176">
        <f>ROUND(IF(项目基本情况!$B$8="出让",SUMPRODUCT(PRODUCT(1+N41:N$42)),SUMPRODUCT(PRODUCT(1+N41:N$41))),4)</f>
        <v>1.0109999999999999</v>
      </c>
      <c r="V41" s="3176"/>
      <c r="W41" s="3176">
        <f t="shared" si="68"/>
        <v>1.0045999999999999</v>
      </c>
      <c r="X41" s="3174"/>
      <c r="Y41" s="3177"/>
      <c r="Z41" s="3205">
        <f t="shared" si="69"/>
        <v>4.4999999999999997E-3</v>
      </c>
      <c r="AA41" s="3207">
        <f t="shared" si="69"/>
        <v>4.7000000000000002E-3</v>
      </c>
      <c r="AB41" s="3177">
        <f t="shared" si="69"/>
        <v>1.04E-2</v>
      </c>
      <c r="AC41" s="3206"/>
      <c r="AD41" s="3177">
        <f t="shared" si="69"/>
        <v>4.7000000000000002E-3</v>
      </c>
    </row>
    <row r="42" spans="1:30" s="3200" customFormat="1" thickBot="1">
      <c r="A42" s="3190" t="s">
        <v>2817</v>
      </c>
      <c r="B42" s="3191">
        <v>2021</v>
      </c>
      <c r="C42" s="3192">
        <v>1</v>
      </c>
      <c r="D42" s="3193"/>
      <c r="E42" s="3193">
        <v>0.35</v>
      </c>
      <c r="F42" s="3193">
        <v>0.48</v>
      </c>
      <c r="G42" s="3193">
        <v>0.98</v>
      </c>
      <c r="H42" s="3194"/>
      <c r="I42" s="3195">
        <f t="shared" si="52"/>
        <v>0.48</v>
      </c>
      <c r="J42" s="3196"/>
      <c r="K42" s="3197"/>
      <c r="L42" s="3198">
        <f t="shared" si="53"/>
        <v>3.4999999999999996E-3</v>
      </c>
      <c r="M42" s="3198">
        <f>F42/100</f>
        <v>4.7999999999999996E-3</v>
      </c>
      <c r="N42" s="3198">
        <f t="shared" si="53"/>
        <v>9.7999999999999997E-3</v>
      </c>
      <c r="O42" s="3198"/>
      <c r="P42" s="3198">
        <f t="shared" si="67"/>
        <v>4.7999999999999996E-3</v>
      </c>
      <c r="Q42" s="3196"/>
      <c r="R42" s="3199"/>
      <c r="S42" s="3199">
        <v>1</v>
      </c>
      <c r="T42" s="3199">
        <v>1</v>
      </c>
      <c r="U42" s="3199">
        <v>1</v>
      </c>
      <c r="V42" s="3199"/>
      <c r="W42" s="3199">
        <f t="shared" si="68"/>
        <v>1</v>
      </c>
      <c r="X42" s="3196"/>
      <c r="Y42" s="3198"/>
      <c r="Z42" s="3211">
        <f t="shared" si="69"/>
        <v>3.5000000000000001E-3</v>
      </c>
      <c r="AA42" s="3212">
        <f t="shared" si="69"/>
        <v>4.7999999999999996E-3</v>
      </c>
      <c r="AB42" s="3198">
        <f t="shared" si="69"/>
        <v>9.7999999999999997E-3</v>
      </c>
      <c r="AC42" s="3213"/>
      <c r="AD42" s="3198">
        <f t="shared" si="69"/>
        <v>4.7999999999999996E-3</v>
      </c>
    </row>
    <row r="43" spans="1:30" ht="14.25" thickTop="1"/>
    <row r="44" spans="1:30">
      <c r="A44" s="3441" t="s">
        <v>3360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2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45485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45159</v>
      </c>
      <c r="D13" s="2815">
        <v>3.45</v>
      </c>
      <c r="E13" s="2815">
        <f>D13</f>
        <v>3.45</v>
      </c>
      <c r="F13" s="2815">
        <f>D13</f>
        <v>3.45</v>
      </c>
      <c r="G13" s="2815">
        <f>D13</f>
        <v>3.45</v>
      </c>
      <c r="H13" s="2815">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45097</v>
      </c>
      <c r="D14" s="2810">
        <v>3.55</v>
      </c>
      <c r="E14" s="2810">
        <f>D14</f>
        <v>3.55</v>
      </c>
      <c r="F14" s="2810">
        <f>D14</f>
        <v>3.55</v>
      </c>
      <c r="G14" s="2810">
        <f>D14</f>
        <v>3.55</v>
      </c>
      <c r="H14" s="2810">
        <v>4.2</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44795</v>
      </c>
      <c r="D15" s="2810">
        <v>3.65</v>
      </c>
      <c r="E15" s="2810">
        <v>3.65</v>
      </c>
      <c r="F15" s="2810">
        <v>3.65</v>
      </c>
      <c r="G15" s="2810">
        <v>3.65</v>
      </c>
      <c r="H15" s="2810">
        <v>4.3</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44701</v>
      </c>
      <c r="D16" s="2810">
        <v>3.7</v>
      </c>
      <c r="E16" s="2810">
        <f>D16</f>
        <v>3.7</v>
      </c>
      <c r="F16" s="2810">
        <f>D16</f>
        <v>3.7</v>
      </c>
      <c r="G16" s="2810">
        <f>D16</f>
        <v>3.7</v>
      </c>
      <c r="H16" s="2810">
        <v>4.45</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9"/>
      <c r="C17" s="2811">
        <v>44581</v>
      </c>
      <c r="D17" s="2810">
        <v>3.7</v>
      </c>
      <c r="E17" s="2810">
        <f>D17</f>
        <v>3.7</v>
      </c>
      <c r="F17" s="2810">
        <f>D17</f>
        <v>3.7</v>
      </c>
      <c r="G17" s="2810">
        <f>D17</f>
        <v>3.7</v>
      </c>
      <c r="H17" s="2810">
        <v>4.5999999999999996</v>
      </c>
      <c r="I17" s="2815"/>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10"/>
      <c r="C19" s="2811">
        <v>43941</v>
      </c>
      <c r="D19" s="2810">
        <v>3.85</v>
      </c>
      <c r="E19" s="2810">
        <v>3.85</v>
      </c>
      <c r="F19" s="2810">
        <v>3.85</v>
      </c>
      <c r="G19" s="2810">
        <v>3.85</v>
      </c>
      <c r="H19" s="2810">
        <v>4.6500000000000004</v>
      </c>
      <c r="I19" s="2810"/>
      <c r="J19" s="2810"/>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0"/>
      <c r="C20" s="2811">
        <v>43881</v>
      </c>
      <c r="D20" s="2810">
        <v>4.05</v>
      </c>
      <c r="E20" s="2810">
        <v>4.05</v>
      </c>
      <c r="F20" s="2810">
        <v>4.05</v>
      </c>
      <c r="G20" s="2810">
        <v>4.05</v>
      </c>
      <c r="H20" s="2810">
        <v>4.75</v>
      </c>
      <c r="I20" s="2810"/>
      <c r="J20" s="2810"/>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43789</v>
      </c>
      <c r="D21" s="2810">
        <v>4.1500000000000004</v>
      </c>
      <c r="E21" s="2810">
        <v>4.1500000000000004</v>
      </c>
      <c r="F21" s="2810">
        <v>4.1500000000000004</v>
      </c>
      <c r="G21" s="2810">
        <v>4.1500000000000004</v>
      </c>
      <c r="H21" s="2810">
        <v>4.8</v>
      </c>
      <c r="I21" s="2810"/>
      <c r="J21" s="2810"/>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0"/>
      <c r="C22" s="2811">
        <v>43728</v>
      </c>
      <c r="D22" s="2810">
        <v>4.2</v>
      </c>
      <c r="E22" s="2810">
        <v>4.2</v>
      </c>
      <c r="F22" s="2810">
        <v>4.2</v>
      </c>
      <c r="G22" s="2810">
        <v>4.2</v>
      </c>
      <c r="H22" s="2810">
        <v>4.8499999999999996</v>
      </c>
      <c r="I22" s="2810"/>
      <c r="J22" s="2810"/>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09" t="s">
        <v>2303</v>
      </c>
      <c r="C23" s="2812">
        <v>43697</v>
      </c>
      <c r="D23" s="2813">
        <v>4.25</v>
      </c>
      <c r="E23" s="2813">
        <v>4.25</v>
      </c>
      <c r="F23" s="2813">
        <v>4.25</v>
      </c>
      <c r="G23" s="2813">
        <v>4.25</v>
      </c>
      <c r="H23" s="2813">
        <v>4.8499999999999996</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7"/>
      <c r="C24" s="2818">
        <v>42301</v>
      </c>
      <c r="D24" s="2819">
        <v>4.3499999999999996</v>
      </c>
      <c r="E24" s="2819">
        <v>4.3499999999999996</v>
      </c>
      <c r="F24" s="2819">
        <v>4.75</v>
      </c>
      <c r="G24" s="2819">
        <v>4.75</v>
      </c>
      <c r="H24" s="2819">
        <v>4.9000000000000004</v>
      </c>
      <c r="I24" s="2819"/>
      <c r="J24" s="2819"/>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9" t="s">
        <v>949</v>
      </c>
      <c r="B1" s="3509"/>
      <c r="C1" s="3509"/>
      <c r="D1" s="3509"/>
    </row>
    <row r="2" spans="1:4" ht="18">
      <c r="A2" s="3510" t="s">
        <v>933</v>
      </c>
      <c r="B2" s="3510"/>
      <c r="C2" s="3510"/>
      <c r="D2" s="3510"/>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10" t="s">
        <v>939</v>
      </c>
      <c r="B6" s="3510"/>
      <c r="C6" s="3510"/>
      <c r="D6" s="3510"/>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11" t="s">
        <v>942</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12" t="str">
        <f>IF(项目基本情况!B8="抵押","4.本次评估估价师所知悉的法定优先受偿款情况说明如下：","——")</f>
        <v>4.本次评估估价师所知悉的法定优先受偿款情况说明如下：</v>
      </c>
      <c r="B14" s="3513"/>
      <c r="C14" s="3513"/>
      <c r="D14" s="3513"/>
    </row>
    <row r="15" spans="1:4" ht="42" customHeight="1">
      <c r="A15" s="351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5" t="s">
        <v>943</v>
      </c>
      <c r="B16" s="3515"/>
      <c r="C16" s="3515"/>
      <c r="D16" s="3515"/>
    </row>
    <row r="17" spans="1:4" ht="144" customHeight="1">
      <c r="A17" s="3515" t="s">
        <v>944</v>
      </c>
      <c r="B17" s="3515"/>
      <c r="C17" s="3515"/>
      <c r="D17" s="3515"/>
    </row>
    <row r="18" spans="1:4" ht="15.75" customHeight="1">
      <c r="A18" s="3512" t="str">
        <f>IF(项目基本情况!B8="抵押",'结果表-307'!K120,"——")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-307'!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2"/>
      <c r="C20" s="3512"/>
      <c r="D20" s="3512"/>
    </row>
    <row r="21" spans="1:4" ht="57.75" customHeight="1">
      <c r="A21" s="3516" t="str">
        <f>IF('结果表-307'!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6"/>
      <c r="C21" s="3516"/>
      <c r="D21" s="3516"/>
    </row>
    <row r="22" spans="1:4" ht="18.75" customHeight="1">
      <c r="A22" s="3517" t="s">
        <v>945</v>
      </c>
      <c r="B22" s="3517"/>
      <c r="C22" s="3517"/>
      <c r="D22" s="3517"/>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4">
        <v>42551</v>
      </c>
      <c r="D31" s="35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3" t="s">
        <v>956</v>
      </c>
      <c r="B15" s="3518" t="s">
        <v>109</v>
      </c>
      <c r="C15" s="3519"/>
    </row>
    <row r="16" spans="1:7" ht="13.5">
      <c r="A16" s="3524"/>
      <c r="B16" s="3518" t="s">
        <v>42</v>
      </c>
      <c r="C16" s="3519"/>
    </row>
    <row r="17" spans="1:3" ht="13.5">
      <c r="A17" s="3524"/>
      <c r="B17" s="3521" t="s">
        <v>957</v>
      </c>
      <c r="C17" s="1528" t="s">
        <v>956</v>
      </c>
    </row>
    <row r="18" spans="1:3" ht="13.5">
      <c r="A18" s="3524"/>
      <c r="B18" s="3521"/>
      <c r="C18" s="1528" t="s">
        <v>958</v>
      </c>
    </row>
    <row r="19" spans="1:3" ht="13.5">
      <c r="A19" s="3524"/>
      <c r="B19" s="3521"/>
      <c r="C19" s="1528" t="s">
        <v>959</v>
      </c>
    </row>
    <row r="20" spans="1:3" ht="13.5">
      <c r="A20" s="3525"/>
      <c r="B20" s="3520" t="s">
        <v>960</v>
      </c>
      <c r="C20" s="3519"/>
    </row>
    <row r="21" spans="1:3" ht="13.5">
      <c r="A21" s="1529" t="s">
        <v>961</v>
      </c>
      <c r="B21" s="1530"/>
      <c r="C21" s="1531"/>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28" t="s">
        <v>967</v>
      </c>
    </row>
    <row r="26" spans="1:3" ht="13.5">
      <c r="A26" s="3522"/>
      <c r="B26" s="3521"/>
      <c r="C26" s="1528" t="s">
        <v>968</v>
      </c>
    </row>
    <row r="27" spans="1:3" ht="13.5">
      <c r="A27" s="3522"/>
      <c r="B27" s="3521"/>
      <c r="C27" s="1528" t="s">
        <v>969</v>
      </c>
    </row>
    <row r="28" spans="1:3" ht="13.5">
      <c r="A28" s="3522"/>
      <c r="B28" s="3521"/>
      <c r="C28" s="1528" t="s">
        <v>970</v>
      </c>
    </row>
    <row r="29" spans="1:3" ht="13.5">
      <c r="A29" s="3522"/>
      <c r="B29" s="3521"/>
      <c r="C29" s="1528" t="s">
        <v>971</v>
      </c>
    </row>
    <row r="30" spans="1:3" ht="13.5">
      <c r="A30" s="3522"/>
      <c r="B30" s="3521"/>
      <c r="C30" s="1528" t="s">
        <v>972</v>
      </c>
    </row>
    <row r="31" spans="1:3" ht="13.5">
      <c r="A31" s="3522"/>
      <c r="B31" s="3521"/>
      <c r="C31" s="1528" t="s">
        <v>973</v>
      </c>
    </row>
    <row r="32" spans="1:3" ht="13.5">
      <c r="A32" s="3522"/>
      <c r="B32" s="3521"/>
      <c r="C32" s="1528" t="s">
        <v>974</v>
      </c>
    </row>
    <row r="33" spans="1:3" ht="13.5">
      <c r="A33" s="3522"/>
      <c r="B33" s="352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45489</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f ca="1">IF(C9&lt;B2,"已过期",1120060040)</f>
        <v>1120060040</v>
      </c>
      <c r="C9" s="2346">
        <v>45592</v>
      </c>
      <c r="D9" s="2342" t="str">
        <f t="shared" ca="1" si="0"/>
        <v>陈颖（注册号：1120060040）</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2430</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6" t="s">
        <v>2158</v>
      </c>
      <c r="B17" s="3526"/>
      <c r="C17" s="3526"/>
      <c r="D17" s="3526"/>
      <c r="E17" s="3526"/>
      <c r="F17" s="3526"/>
      <c r="G17" s="3526"/>
      <c r="H17" s="3526"/>
    </row>
    <row r="18" spans="1:8" ht="24" customHeight="1">
      <c r="A18" s="3527" t="s">
        <v>2159</v>
      </c>
      <c r="B18" s="3527"/>
      <c r="C18" s="3527"/>
      <c r="D18" s="2339"/>
      <c r="E18" s="3528" t="s">
        <v>2160</v>
      </c>
      <c r="F18" s="3527"/>
      <c r="G18" s="3527"/>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371" priority="53">
      <formula>AND($C4-TODAY()&lt;30,TODAY()&lt;$C4)</formula>
    </cfRule>
  </conditionalFormatting>
  <conditionalFormatting sqref="C20:D20">
    <cfRule type="expression" dxfId="370" priority="52">
      <formula>AND($C20-TODAY()&lt;30,TODAY()&lt;$C20)</formula>
    </cfRule>
  </conditionalFormatting>
  <conditionalFormatting sqref="C20:D20 G4 C4:D5 C13:D13">
    <cfRule type="cellIs" dxfId="369" priority="54" stopIfTrue="1" operator="lessThan">
      <formula>$B$2</formula>
    </cfRule>
  </conditionalFormatting>
  <conditionalFormatting sqref="G5 G7 G9">
    <cfRule type="cellIs" dxfId="368" priority="51" stopIfTrue="1" operator="lessThan">
      <formula>$B$2</formula>
    </cfRule>
  </conditionalFormatting>
  <conditionalFormatting sqref="C6:D6 D14 D16">
    <cfRule type="expression" dxfId="367" priority="49">
      <formula>AND($C6-TODAY()&lt;30,TODAY()&lt;$C6)</formula>
    </cfRule>
  </conditionalFormatting>
  <conditionalFormatting sqref="G6 G8 G10 C6:D6 D7:D12 D14 D16">
    <cfRule type="cellIs" dxfId="366" priority="50" stopIfTrue="1" operator="lessThan">
      <formula>$B$2</formula>
    </cfRule>
  </conditionalFormatting>
  <conditionalFormatting sqref="D12">
    <cfRule type="expression" dxfId="365" priority="47">
      <formula>AND($C12-TODAY()&lt;30,TODAY()&lt;$C12)</formula>
    </cfRule>
  </conditionalFormatting>
  <conditionalFormatting sqref="D12">
    <cfRule type="cellIs" dxfId="364" priority="48" stopIfTrue="1" operator="lessThan">
      <formula>$B$2</formula>
    </cfRule>
  </conditionalFormatting>
  <conditionalFormatting sqref="C13:D13">
    <cfRule type="expression" dxfId="363" priority="45">
      <formula>AND($C13-TODAY()&lt;30,TODAY()&lt;$C13)</formula>
    </cfRule>
  </conditionalFormatting>
  <conditionalFormatting sqref="C13:D13">
    <cfRule type="cellIs" dxfId="362" priority="46" stopIfTrue="1" operator="lessThan">
      <formula>$B$2</formula>
    </cfRule>
  </conditionalFormatting>
  <conditionalFormatting sqref="D14">
    <cfRule type="expression" dxfId="361" priority="43">
      <formula>AND($C14-TODAY()&lt;30,TODAY()&lt;$C14)</formula>
    </cfRule>
  </conditionalFormatting>
  <conditionalFormatting sqref="D14">
    <cfRule type="cellIs" dxfId="360" priority="44" stopIfTrue="1" operator="lessThan">
      <formula>$B$2</formula>
    </cfRule>
  </conditionalFormatting>
  <conditionalFormatting sqref="G13">
    <cfRule type="cellIs" dxfId="359" priority="42" stopIfTrue="1" operator="lessThan">
      <formula>$B$2</formula>
    </cfRule>
  </conditionalFormatting>
  <conditionalFormatting sqref="B4:B11 F4:F11 B13 F13:F14">
    <cfRule type="cellIs" dxfId="358" priority="41" stopIfTrue="1" operator="equal">
      <formula>"已过期"</formula>
    </cfRule>
  </conditionalFormatting>
  <conditionalFormatting sqref="C7">
    <cfRule type="cellIs" dxfId="357" priority="38" stopIfTrue="1" operator="lessThan">
      <formula>$B$2</formula>
    </cfRule>
  </conditionalFormatting>
  <conditionalFormatting sqref="C7">
    <cfRule type="expression" dxfId="356" priority="37">
      <formula>AND($C7-TODAY()&lt;30,TODAY()&lt;$C7)</formula>
    </cfRule>
  </conditionalFormatting>
  <conditionalFormatting sqref="C8">
    <cfRule type="expression" dxfId="355" priority="35">
      <formula>AND($C8-TODAY()&lt;30,TODAY()&lt;$C8)</formula>
    </cfRule>
  </conditionalFormatting>
  <conditionalFormatting sqref="C8">
    <cfRule type="cellIs" dxfId="354" priority="36" stopIfTrue="1" operator="lessThan">
      <formula>$B$2</formula>
    </cfRule>
  </conditionalFormatting>
  <conditionalFormatting sqref="C11">
    <cfRule type="expression" dxfId="353" priority="33">
      <formula>AND($C11-TODAY()&lt;30,TODAY()&lt;$C11)</formula>
    </cfRule>
  </conditionalFormatting>
  <conditionalFormatting sqref="C11">
    <cfRule type="cellIs" dxfId="352" priority="34" stopIfTrue="1" operator="lessThan">
      <formula>$B$2</formula>
    </cfRule>
  </conditionalFormatting>
  <conditionalFormatting sqref="A16:C16">
    <cfRule type="cellIs" dxfId="351" priority="32" stopIfTrue="1" operator="equal">
      <formula>"已过期"</formula>
    </cfRule>
  </conditionalFormatting>
  <conditionalFormatting sqref="E16:G16">
    <cfRule type="cellIs" dxfId="350" priority="31" stopIfTrue="1" operator="equal">
      <formula>"已过期"</formula>
    </cfRule>
  </conditionalFormatting>
  <conditionalFormatting sqref="G11">
    <cfRule type="cellIs" dxfId="349" priority="30" stopIfTrue="1" operator="lessThan">
      <formula>$B$2</formula>
    </cfRule>
  </conditionalFormatting>
  <conditionalFormatting sqref="F12">
    <cfRule type="cellIs" dxfId="348" priority="29" stopIfTrue="1" operator="equal">
      <formula>"已过期"</formula>
    </cfRule>
  </conditionalFormatting>
  <conditionalFormatting sqref="G12">
    <cfRule type="cellIs" dxfId="347" priority="28" stopIfTrue="1" operator="lessThan">
      <formula>$B$2</formula>
    </cfRule>
  </conditionalFormatting>
  <conditionalFormatting sqref="C12">
    <cfRule type="cellIs" dxfId="346" priority="27" stopIfTrue="1" operator="lessThan">
      <formula>$B$2</formula>
    </cfRule>
  </conditionalFormatting>
  <conditionalFormatting sqref="C12">
    <cfRule type="expression" dxfId="345" priority="25">
      <formula>AND($C12-TODAY()&lt;30,TODAY()&lt;$C12)</formula>
    </cfRule>
  </conditionalFormatting>
  <conditionalFormatting sqref="C12">
    <cfRule type="cellIs" dxfId="344" priority="26" stopIfTrue="1" operator="lessThan">
      <formula>$B$2</formula>
    </cfRule>
  </conditionalFormatting>
  <conditionalFormatting sqref="B12">
    <cfRule type="cellIs" dxfId="343" priority="24" stopIfTrue="1" operator="equal">
      <formula>"已过期"</formula>
    </cfRule>
  </conditionalFormatting>
  <conditionalFormatting sqref="C9:C10">
    <cfRule type="expression" dxfId="342" priority="22">
      <formula>AND($C9-TODAY()&lt;30,TODAY()&lt;$C9)</formula>
    </cfRule>
  </conditionalFormatting>
  <conditionalFormatting sqref="C9:C10">
    <cfRule type="cellIs" dxfId="341" priority="23" stopIfTrue="1" operator="lessThan">
      <formula>$B$2</formula>
    </cfRule>
  </conditionalFormatting>
  <conditionalFormatting sqref="G21">
    <cfRule type="expression" dxfId="340" priority="20" stopIfTrue="1">
      <formula>AND(#REF!-TODAY()&lt;30,TODAY()&lt;#REF!)</formula>
    </cfRule>
  </conditionalFormatting>
  <conditionalFormatting sqref="G21">
    <cfRule type="cellIs" dxfId="339" priority="21" stopIfTrue="1" operator="lessThan">
      <formula>$B$2</formula>
    </cfRule>
  </conditionalFormatting>
  <conditionalFormatting sqref="C14">
    <cfRule type="expression" dxfId="338" priority="18">
      <formula>AND($C14-TODAY()&lt;30,TODAY()&lt;$C14)</formula>
    </cfRule>
  </conditionalFormatting>
  <conditionalFormatting sqref="C14">
    <cfRule type="cellIs" dxfId="337" priority="19" stopIfTrue="1" operator="lessThan">
      <formula>$B$2</formula>
    </cfRule>
  </conditionalFormatting>
  <conditionalFormatting sqref="C14">
    <cfRule type="expression" dxfId="336" priority="16">
      <formula>AND($C14-TODAY()&lt;30,TODAY()&lt;$C14)</formula>
    </cfRule>
  </conditionalFormatting>
  <conditionalFormatting sqref="C14">
    <cfRule type="cellIs" dxfId="335" priority="17" stopIfTrue="1" operator="lessThan">
      <formula>$B$2</formula>
    </cfRule>
  </conditionalFormatting>
  <conditionalFormatting sqref="B14">
    <cfRule type="cellIs" dxfId="334" priority="15" stopIfTrue="1" operator="equal">
      <formula>"已过期"</formula>
    </cfRule>
  </conditionalFormatting>
  <conditionalFormatting sqref="G14">
    <cfRule type="cellIs" dxfId="333" priority="14" stopIfTrue="1" operator="lessThan">
      <formula>$B$2</formula>
    </cfRule>
  </conditionalFormatting>
  <conditionalFormatting sqref="D15">
    <cfRule type="expression" dxfId="332" priority="12">
      <formula>AND($C15-TODAY()&lt;30,TODAY()&lt;$C15)</formula>
    </cfRule>
  </conditionalFormatting>
  <conditionalFormatting sqref="D15">
    <cfRule type="cellIs" dxfId="331" priority="13" stopIfTrue="1" operator="lessThan">
      <formula>$B$2</formula>
    </cfRule>
  </conditionalFormatting>
  <conditionalFormatting sqref="D15">
    <cfRule type="expression" dxfId="330" priority="10">
      <formula>AND($C15-TODAY()&lt;30,TODAY()&lt;$C15)</formula>
    </cfRule>
  </conditionalFormatting>
  <conditionalFormatting sqref="D15">
    <cfRule type="cellIs" dxfId="329" priority="11" stopIfTrue="1" operator="lessThan">
      <formula>$B$2</formula>
    </cfRule>
  </conditionalFormatting>
  <conditionalFormatting sqref="F15">
    <cfRule type="cellIs" dxfId="328" priority="9" stopIfTrue="1" operator="equal">
      <formula>"已过期"</formula>
    </cfRule>
  </conditionalFormatting>
  <conditionalFormatting sqref="C15">
    <cfRule type="expression" dxfId="327" priority="7">
      <formula>AND($C15-TODAY()&lt;30,TODAY()&lt;$C15)</formula>
    </cfRule>
  </conditionalFormatting>
  <conditionalFormatting sqref="C15">
    <cfRule type="cellIs" dxfId="326" priority="8" stopIfTrue="1" operator="lessThan">
      <formula>$B$2</formula>
    </cfRule>
  </conditionalFormatting>
  <conditionalFormatting sqref="C15">
    <cfRule type="expression" dxfId="325" priority="5">
      <formula>AND($C15-TODAY()&lt;30,TODAY()&lt;$C15)</formula>
    </cfRule>
  </conditionalFormatting>
  <conditionalFormatting sqref="C15">
    <cfRule type="cellIs" dxfId="324" priority="6" stopIfTrue="1" operator="lessThan">
      <formula>$B$2</formula>
    </cfRule>
  </conditionalFormatting>
  <conditionalFormatting sqref="B15">
    <cfRule type="cellIs" dxfId="323" priority="4" stopIfTrue="1" operator="equal">
      <formula>"已过期"</formula>
    </cfRule>
  </conditionalFormatting>
  <conditionalFormatting sqref="G15">
    <cfRule type="cellIs" dxfId="322" priority="3" stopIfTrue="1" operator="lessThan">
      <formula>$B$2</formula>
    </cfRule>
  </conditionalFormatting>
  <conditionalFormatting sqref="G20">
    <cfRule type="expression" dxfId="321" priority="1" stopIfTrue="1">
      <formula>AND(#REF!-TODAY()&lt;30,TODAY()&lt;#REF!)</formula>
    </cfRule>
  </conditionalFormatting>
  <conditionalFormatting sqref="G20">
    <cfRule type="cellIs" dxfId="32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216</vt:i4>
      </vt:variant>
    </vt:vector>
  </HeadingPairs>
  <TitlesOfParts>
    <vt:vector size="27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结果表-307</vt:lpstr>
      <vt:lpstr>成本法</vt:lpstr>
      <vt:lpstr>假设开发法</vt:lpstr>
      <vt:lpstr>收益法</vt:lpstr>
      <vt:lpstr>比较法-307</vt:lpstr>
      <vt:lpstr>案例</vt:lpstr>
      <vt:lpstr>收益法-307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结果表-505</vt:lpstr>
      <vt:lpstr>比较法-505</vt:lpstr>
      <vt:lpstr>收益法-505</vt:lpstr>
      <vt:lpstr>结果表-905</vt:lpstr>
      <vt:lpstr>比较法-905</vt:lpstr>
      <vt:lpstr>收益法-905</vt:lpstr>
      <vt:lpstr>结果表-911</vt:lpstr>
      <vt:lpstr>比较法-911</vt:lpstr>
      <vt:lpstr>收益法-911</vt:lpstr>
      <vt:lpstr>结果表-1012</vt:lpstr>
      <vt:lpstr>比较法-1012</vt:lpstr>
      <vt:lpstr>收益法-1012</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'比较法-1012'!Print_Area</vt:lpstr>
      <vt:lpstr>'比较法-307'!Print_Area</vt:lpstr>
      <vt:lpstr>'比较法-505'!Print_Area</vt:lpstr>
      <vt:lpstr>'比较法-905'!Print_Area</vt:lpstr>
      <vt:lpstr>'比较法-911'!Print_Area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'结果表-1012'!Print_Area</vt:lpstr>
      <vt:lpstr>'结果表-307'!Print_Area</vt:lpstr>
      <vt:lpstr>'结果表-505'!Print_Area</vt:lpstr>
      <vt:lpstr>'结果表-905'!Print_Area</vt:lpstr>
      <vt:lpstr>'结果表-911'!Print_Area</vt:lpstr>
      <vt:lpstr>收益法!Print_Area</vt:lpstr>
      <vt:lpstr>'收益法（汇总）'!Print_Area</vt:lpstr>
      <vt:lpstr>'收益法-1012'!Print_Area</vt:lpstr>
      <vt:lpstr>'收益法-307'!Print_Area</vt:lpstr>
      <vt:lpstr>'收益法-505'!Print_Area</vt:lpstr>
      <vt:lpstr>'收益法-905'!Print_Area</vt:lpstr>
      <vt:lpstr>'收益法-911'!Print_Area</vt:lpstr>
      <vt:lpstr>'数据-汇总表'!Print_Area</vt:lpstr>
      <vt:lpstr>'土地比较法-工业'!Print_Area</vt:lpstr>
      <vt:lpstr>'土地比较法-住宅、综合'!Print_Area</vt:lpstr>
      <vt:lpstr>系统读取表!Print_Area</vt:lpstr>
      <vt:lpstr>项目基本情况!Print_Area</vt:lpstr>
      <vt:lpstr>八级</vt:lpstr>
      <vt:lpstr>'比较法-1012'!办公层高</vt:lpstr>
      <vt:lpstr>'比较法-505'!办公层高</vt:lpstr>
      <vt:lpstr>'比较法-905'!办公层高</vt:lpstr>
      <vt:lpstr>'比较法-911'!办公层高</vt:lpstr>
      <vt:lpstr>办公层高</vt:lpstr>
      <vt:lpstr>'比较法-1012'!办公朝向</vt:lpstr>
      <vt:lpstr>'比较法-505'!办公朝向</vt:lpstr>
      <vt:lpstr>'比较法-905'!办公朝向</vt:lpstr>
      <vt:lpstr>'比较法-911'!办公朝向</vt:lpstr>
      <vt:lpstr>办公朝向</vt:lpstr>
      <vt:lpstr>'比较法-1012'!办公道路级别</vt:lpstr>
      <vt:lpstr>'比较法-505'!办公道路级别</vt:lpstr>
      <vt:lpstr>'比较法-905'!办公道路级别</vt:lpstr>
      <vt:lpstr>'比较法-911'!办公道路级别</vt:lpstr>
      <vt:lpstr>办公道路级别</vt:lpstr>
      <vt:lpstr>'比较法-1012'!办公公共部分装修</vt:lpstr>
      <vt:lpstr>'比较法-505'!办公公共部分装修</vt:lpstr>
      <vt:lpstr>'比较法-905'!办公公共部分装修</vt:lpstr>
      <vt:lpstr>'比较法-911'!办公公共部分装修</vt:lpstr>
      <vt:lpstr>办公公共部分装修</vt:lpstr>
      <vt:lpstr>'比较法-1012'!办公基础设施水平</vt:lpstr>
      <vt:lpstr>'比较法-505'!办公基础设施水平</vt:lpstr>
      <vt:lpstr>'比较法-905'!办公基础设施水平</vt:lpstr>
      <vt:lpstr>'比较法-911'!办公基础设施水平</vt:lpstr>
      <vt:lpstr>办公基础设施水平</vt:lpstr>
      <vt:lpstr>办公集聚程度</vt:lpstr>
      <vt:lpstr>'比较法-1012'!办公建筑结构</vt:lpstr>
      <vt:lpstr>'比较法-505'!办公建筑结构</vt:lpstr>
      <vt:lpstr>'比较法-905'!办公建筑结构</vt:lpstr>
      <vt:lpstr>'比较法-911'!办公建筑结构</vt:lpstr>
      <vt:lpstr>办公建筑结构</vt:lpstr>
      <vt:lpstr>'比较法-1012'!办公建筑类型</vt:lpstr>
      <vt:lpstr>'比较法-505'!办公建筑类型</vt:lpstr>
      <vt:lpstr>'比较法-905'!办公建筑类型</vt:lpstr>
      <vt:lpstr>'比较法-911'!办公建筑类型</vt:lpstr>
      <vt:lpstr>办公建筑类型</vt:lpstr>
      <vt:lpstr>'比较法-1012'!办公交易情况</vt:lpstr>
      <vt:lpstr>'比较法-505'!办公交易情况</vt:lpstr>
      <vt:lpstr>'比较法-905'!办公交易情况</vt:lpstr>
      <vt:lpstr>'比较法-911'!办公交易情况</vt:lpstr>
      <vt:lpstr>办公交易情况</vt:lpstr>
      <vt:lpstr>'比较法-1012'!办公楼层</vt:lpstr>
      <vt:lpstr>'比较法-505'!办公楼层</vt:lpstr>
      <vt:lpstr>'比较法-905'!办公楼层</vt:lpstr>
      <vt:lpstr>'比较法-911'!办公楼层</vt:lpstr>
      <vt:lpstr>办公楼层</vt:lpstr>
      <vt:lpstr>'比较法-1012'!办公内部装修</vt:lpstr>
      <vt:lpstr>'比较法-505'!办公内部装修</vt:lpstr>
      <vt:lpstr>'比较法-905'!办公内部装修</vt:lpstr>
      <vt:lpstr>'比较法-911'!办公内部装修</vt:lpstr>
      <vt:lpstr>办公内部装修</vt:lpstr>
      <vt:lpstr>'比较法-1012'!办公物业管理</vt:lpstr>
      <vt:lpstr>'比较法-505'!办公物业管理</vt:lpstr>
      <vt:lpstr>'比较法-905'!办公物业管理</vt:lpstr>
      <vt:lpstr>'比较法-911'!办公物业管理</vt:lpstr>
      <vt:lpstr>办公物业管理</vt:lpstr>
      <vt:lpstr>'比较法-1012'!办公用途</vt:lpstr>
      <vt:lpstr>'比较法-505'!办公用途</vt:lpstr>
      <vt:lpstr>'比较法-905'!办公用途</vt:lpstr>
      <vt:lpstr>'比较法-911'!办公用途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'比较法-1012'!写字楼等级</vt:lpstr>
      <vt:lpstr>'比较法-505'!写字楼等级</vt:lpstr>
      <vt:lpstr>'比较法-905'!写字楼等级</vt:lpstr>
      <vt:lpstr>'比较法-911'!写字楼等级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2024-07-16T04:19:53Z</dcterms:modified>
</cp:coreProperties>
</file>