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Y6" i="1"/>
  <c r="E104" i="33"/>
  <c r="F104" i="33" s="1"/>
  <c r="G104" i="33" s="1"/>
  <c r="H104" i="33" s="1"/>
  <c r="D104" i="33"/>
  <c r="E103" i="33"/>
  <c r="F103" i="33" s="1"/>
  <c r="G103" i="33" s="1"/>
  <c r="H103" i="33" s="1"/>
  <c r="D103" i="33"/>
  <c r="C33" i="3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0" i="69"/>
  <c r="F48" i="69" s="1"/>
  <c r="F32" i="15"/>
  <c r="F60" i="15" s="1"/>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F26" i="15"/>
  <c r="B11" i="76"/>
  <c r="J15" i="67"/>
  <c r="F38" i="67"/>
  <c r="B7" i="76"/>
  <c r="B13" i="76"/>
  <c r="F5" i="73"/>
  <c r="F36" i="67"/>
  <c r="B10" i="76"/>
  <c r="M29" i="67"/>
  <c r="F6" i="67"/>
  <c r="F42" i="67"/>
  <c r="F16" i="15"/>
  <c r="M26" i="67"/>
  <c r="B12" i="76"/>
  <c r="E9" i="76"/>
  <c r="F9" i="67"/>
  <c r="F40" i="15"/>
  <c r="F36" i="15"/>
  <c r="F8" i="67"/>
  <c r="F43" i="15"/>
  <c r="J15" i="15"/>
  <c r="B9" i="76"/>
  <c r="D6" i="73"/>
  <c r="C76" i="67"/>
  <c r="M8" i="15"/>
  <c r="L48" i="67"/>
  <c r="E13" i="76"/>
  <c r="F6" i="73"/>
  <c r="F43" i="67"/>
  <c r="M24" i="15"/>
  <c r="F42" i="15"/>
  <c r="E12" i="76"/>
  <c r="M28" i="15"/>
  <c r="D7" i="73"/>
  <c r="L48" i="15"/>
  <c r="M23" i="15"/>
  <c r="F16" i="67"/>
  <c r="M6" i="67"/>
  <c r="F3" i="73"/>
  <c r="F37" i="15"/>
  <c r="C20" i="9"/>
  <c r="F8" i="15"/>
  <c r="M6" i="15"/>
  <c r="E2" i="69"/>
  <c r="M29" i="15"/>
  <c r="F37" i="67"/>
  <c r="M22" i="67"/>
  <c r="AO13" i="1"/>
  <c r="F4" i="73"/>
  <c r="F13" i="15"/>
  <c r="B8" i="76"/>
  <c r="E7" i="76"/>
  <c r="M9" i="15"/>
  <c r="C19" i="9"/>
  <c r="F9" i="15"/>
  <c r="M24" i="67"/>
  <c r="F13" i="67"/>
  <c r="D5" i="73"/>
  <c r="M9" i="67"/>
  <c r="L47" i="15"/>
  <c r="E2" i="68"/>
  <c r="C76" i="15"/>
  <c r="F7" i="67"/>
  <c r="D4" i="73"/>
  <c r="F40" i="67"/>
  <c r="F38" i="15"/>
  <c r="F6" i="15"/>
  <c r="F26" i="67"/>
  <c r="M23" i="67"/>
  <c r="L47" i="67"/>
  <c r="F7" i="73"/>
  <c r="M8" i="67"/>
  <c r="M26" i="15"/>
  <c r="F7" i="15"/>
  <c r="E8" i="76"/>
  <c r="E10" i="76"/>
  <c r="E11" i="76"/>
  <c r="M22" i="15"/>
  <c r="M28" i="67"/>
  <c r="F20" i="31"/>
  <c r="F28" i="15" l="1"/>
  <c r="F32" i="67"/>
  <c r="F60" i="67" s="1"/>
  <c r="F28" i="67"/>
  <c r="C28" i="67" s="1"/>
  <c r="M18" i="15"/>
  <c r="M18" i="67"/>
  <c r="F30" i="11"/>
  <c r="C48" i="11" s="1"/>
  <c r="C21" i="68"/>
  <c r="AB28" i="33"/>
  <c r="W33" i="33"/>
  <c r="S11" i="33"/>
  <c r="AB36" i="33"/>
  <c r="AC28" i="33"/>
  <c r="S28" i="33"/>
  <c r="BL5" i="3"/>
  <c r="BA18" i="3"/>
  <c r="AZ18" i="3" s="1"/>
  <c r="AZ15" i="3"/>
  <c r="G28" i="6"/>
  <c r="F29" i="6"/>
  <c r="BA5" i="3"/>
  <c r="G5" i="3"/>
  <c r="B3" i="3" s="1"/>
  <c r="E373" i="3" s="1"/>
  <c r="E33" i="3"/>
  <c r="E492" i="3"/>
  <c r="E544" i="3"/>
  <c r="E389" i="3"/>
  <c r="E435" i="3"/>
  <c r="E517" i="3"/>
  <c r="E199" i="3"/>
  <c r="E212" i="3"/>
  <c r="D19" i="53"/>
  <c r="B38" i="72" s="1"/>
  <c r="D21" i="53"/>
  <c r="B39" i="72" s="1"/>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56" i="3"/>
  <c r="E85" i="3"/>
  <c r="E434" i="3"/>
  <c r="E511" i="3"/>
  <c r="AK6" i="3"/>
  <c r="E228" i="3"/>
  <c r="E120" i="3"/>
  <c r="E224" i="3"/>
  <c r="E177" i="3"/>
  <c r="E313" i="3"/>
  <c r="E330" i="3"/>
  <c r="E532" i="3"/>
  <c r="Q6" i="3"/>
  <c r="E529" i="3"/>
  <c r="E437" i="3"/>
  <c r="E474" i="3"/>
  <c r="E481" i="3"/>
  <c r="E438" i="3"/>
  <c r="E424" i="3"/>
  <c r="E288" i="3"/>
  <c r="E344" i="3"/>
  <c r="W6" i="3"/>
  <c r="AE6" i="3"/>
  <c r="E537" i="3"/>
  <c r="E429" i="3"/>
  <c r="E471" i="3"/>
  <c r="E496" i="3"/>
  <c r="E475" i="3"/>
  <c r="E55" i="3"/>
  <c r="E54" i="3"/>
  <c r="E73" i="3"/>
  <c r="E168" i="3"/>
  <c r="E203" i="3"/>
  <c r="E208" i="3"/>
  <c r="E256" i="3"/>
  <c r="E257" i="3"/>
  <c r="E274" i="3"/>
  <c r="E357" i="3"/>
  <c r="E394" i="3"/>
  <c r="E14" i="3"/>
  <c r="E580" i="3"/>
  <c r="E93" i="3"/>
  <c r="E32" i="3"/>
  <c r="E397" i="3"/>
  <c r="I6" i="3"/>
  <c r="E196" i="3"/>
  <c r="E236" i="3"/>
  <c r="E207" i="3"/>
  <c r="E252" i="3"/>
  <c r="E27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F27" i="69"/>
  <c r="C36" i="69"/>
  <c r="D9" i="68"/>
  <c r="C16" i="67"/>
  <c r="G1" i="73"/>
  <c r="C16" i="15"/>
  <c r="E269" i="3" l="1"/>
  <c r="E549" i="3"/>
  <c r="E567" i="3"/>
  <c r="E31" i="3"/>
  <c r="E318" i="3"/>
  <c r="E351" i="3"/>
  <c r="E279" i="3"/>
  <c r="E150" i="3"/>
  <c r="E111" i="3"/>
  <c r="E72" i="3"/>
  <c r="E433" i="3"/>
  <c r="E450" i="3"/>
  <c r="E571" i="3"/>
  <c r="E562" i="3"/>
  <c r="E457" i="3"/>
  <c r="E527" i="3"/>
  <c r="E458" i="3"/>
  <c r="E573" i="3"/>
  <c r="E519" i="3"/>
  <c r="E193" i="3"/>
  <c r="E45" i="3"/>
  <c r="E262" i="3"/>
  <c r="E314" i="3"/>
  <c r="E453" i="3"/>
  <c r="E541" i="3"/>
  <c r="E132" i="3"/>
  <c r="E46" i="3"/>
  <c r="E494" i="3"/>
  <c r="E204" i="3"/>
  <c r="E89" i="3"/>
  <c r="E368" i="3"/>
  <c r="E227" i="3"/>
  <c r="E74" i="3"/>
  <c r="E362" i="3"/>
  <c r="E315" i="3"/>
  <c r="E214" i="3"/>
  <c r="E171" i="3"/>
  <c r="E146" i="3"/>
  <c r="E106" i="3"/>
  <c r="E454" i="3"/>
  <c r="E468" i="3"/>
  <c r="E577" i="3"/>
  <c r="E587" i="3"/>
  <c r="E465" i="3"/>
  <c r="E406" i="3"/>
  <c r="E472" i="3"/>
  <c r="E560" i="3"/>
  <c r="K6" i="3"/>
  <c r="E133" i="3"/>
  <c r="E277" i="3"/>
  <c r="E99" i="3"/>
  <c r="E128" i="3"/>
  <c r="E238" i="3"/>
  <c r="E466" i="3"/>
  <c r="E152" i="3"/>
  <c r="E64" i="3"/>
  <c r="E360" i="3"/>
  <c r="E545" i="3"/>
  <c r="E181" i="3"/>
  <c r="E568" i="3"/>
  <c r="E77" i="3"/>
  <c r="E539" i="3"/>
  <c r="R6" i="3"/>
  <c r="I3" i="6"/>
  <c r="E56" i="3"/>
  <c r="E292" i="3"/>
  <c r="E484" i="3"/>
  <c r="E200" i="3"/>
  <c r="E197" i="3"/>
  <c r="E482" i="3"/>
  <c r="E157" i="3"/>
  <c r="E306" i="3"/>
  <c r="E352" i="3"/>
  <c r="E136" i="3"/>
  <c r="E461" i="3"/>
  <c r="E122" i="3"/>
  <c r="E499" i="3"/>
  <c r="E255" i="3"/>
  <c r="E479" i="3"/>
  <c r="E241" i="3"/>
  <c r="E409" i="3"/>
  <c r="E142" i="3"/>
  <c r="E309" i="3"/>
  <c r="E391" i="3"/>
  <c r="E536" i="3"/>
  <c r="E286" i="3"/>
  <c r="E502" i="3"/>
  <c r="E430" i="3"/>
  <c r="AP6" i="3"/>
  <c r="E491" i="3"/>
  <c r="E37" i="3"/>
  <c r="E192" i="3"/>
  <c r="E363" i="3"/>
  <c r="E76" i="3"/>
  <c r="E425" i="3"/>
  <c r="E103" i="3"/>
  <c r="E267" i="3"/>
  <c r="E355" i="3"/>
  <c r="E534" i="3"/>
  <c r="E26" i="3"/>
  <c r="E275" i="3"/>
  <c r="E148" i="3"/>
  <c r="E575" i="3"/>
  <c r="E442" i="3"/>
  <c r="E449" i="3"/>
  <c r="E554" i="3"/>
  <c r="E417" i="3"/>
  <c r="E95" i="3"/>
  <c r="E258" i="3"/>
  <c r="E349" i="3"/>
  <c r="E59" i="3"/>
  <c r="E467" i="3"/>
  <c r="E160" i="3"/>
  <c r="E249" i="3"/>
  <c r="E81" i="3"/>
  <c r="E469" i="3"/>
  <c r="E139" i="3"/>
  <c r="E326" i="3"/>
  <c r="E300" i="3"/>
  <c r="E23" i="3"/>
  <c r="E144" i="3"/>
  <c r="E381" i="3"/>
  <c r="E118" i="3"/>
  <c r="E205" i="3"/>
  <c r="E173" i="3"/>
  <c r="T6" i="3"/>
  <c r="E512" i="3"/>
  <c r="E556" i="3"/>
  <c r="E452" i="3"/>
  <c r="E104" i="3"/>
  <c r="E225" i="3"/>
  <c r="AL6" i="3"/>
  <c r="E96" i="3"/>
  <c r="E522" i="3"/>
  <c r="E48" i="3"/>
  <c r="E371" i="3"/>
  <c r="E84" i="3"/>
  <c r="E184" i="3"/>
  <c r="E68" i="3"/>
  <c r="E264" i="3"/>
  <c r="E296" i="3"/>
  <c r="E369" i="3"/>
  <c r="E405" i="3"/>
  <c r="E408" i="3"/>
  <c r="E497" i="3"/>
  <c r="E470" i="3"/>
  <c r="E41" i="3"/>
  <c r="E243" i="3"/>
  <c r="E42" i="3"/>
  <c r="E78" i="3"/>
  <c r="E232" i="3"/>
  <c r="E149" i="3"/>
  <c r="E310" i="3"/>
  <c r="E67" i="3"/>
  <c r="E233" i="3"/>
  <c r="E63" i="3"/>
  <c r="E283" i="3"/>
  <c r="E140" i="3"/>
  <c r="E525" i="3"/>
  <c r="E456" i="3"/>
  <c r="E451" i="3"/>
  <c r="E13" i="3"/>
  <c r="E420" i="3"/>
  <c r="E198" i="3"/>
  <c r="E332" i="3"/>
  <c r="E428" i="3"/>
  <c r="E220" i="3"/>
  <c r="E80" i="3"/>
  <c r="E459" i="3"/>
  <c r="E94" i="3"/>
  <c r="E412" i="3"/>
  <c r="E129" i="3"/>
  <c r="E235" i="3"/>
  <c r="E86" i="3"/>
  <c r="E251" i="3"/>
  <c r="E113" i="3"/>
  <c r="E83" i="3"/>
  <c r="E284" i="3"/>
  <c r="E312" i="3"/>
  <c r="E520" i="3"/>
  <c r="E115" i="3"/>
  <c r="E281" i="3"/>
  <c r="E356" i="3"/>
  <c r="E75" i="3"/>
  <c r="E18" i="3"/>
  <c r="E190" i="3"/>
  <c r="E383" i="3"/>
  <c r="E34" i="3"/>
  <c r="E370" i="3"/>
  <c r="E287" i="3"/>
  <c r="E58" i="3"/>
  <c r="E179" i="3"/>
  <c r="E542" i="3"/>
  <c r="E240" i="3"/>
  <c r="E342" i="3"/>
  <c r="E49" i="3"/>
  <c r="E102" i="3"/>
  <c r="E308" i="3"/>
  <c r="E386" i="3"/>
  <c r="E82" i="3"/>
  <c r="E464" i="3"/>
  <c r="E195" i="3"/>
  <c r="E127" i="3"/>
  <c r="E323" i="3"/>
  <c r="E167" i="3"/>
  <c r="E421" i="3"/>
  <c r="E500" i="3"/>
  <c r="E378" i="3"/>
  <c r="E266" i="3"/>
  <c r="E488" i="3"/>
  <c r="E24" i="3"/>
  <c r="E174" i="3"/>
  <c r="E324" i="3"/>
  <c r="E35" i="3"/>
  <c r="E206" i="3"/>
  <c r="AF6" i="3"/>
  <c r="E158" i="3"/>
  <c r="E22" i="3"/>
  <c r="E66" i="3"/>
  <c r="Y6" i="3"/>
  <c r="E244" i="3"/>
  <c r="AD6" i="3"/>
  <c r="E416" i="3"/>
  <c r="E57" i="3"/>
  <c r="E47" i="3"/>
  <c r="E51" i="3"/>
  <c r="E582" i="3"/>
  <c r="E436" i="3"/>
  <c r="E131" i="3"/>
  <c r="E297" i="3"/>
  <c r="E375" i="3"/>
  <c r="E462" i="3"/>
  <c r="E98" i="3"/>
  <c r="E163" i="3"/>
  <c r="E307" i="3"/>
  <c r="E87" i="3"/>
  <c r="E154" i="3"/>
  <c r="E487" i="3"/>
  <c r="E374" i="3"/>
  <c r="E413" i="3"/>
  <c r="E39" i="3"/>
  <c r="E187" i="3"/>
  <c r="E259" i="3"/>
  <c r="E504" i="3"/>
  <c r="E521" i="3"/>
  <c r="E65" i="3"/>
  <c r="E248" i="3"/>
  <c r="E354" i="3"/>
  <c r="E250" i="3"/>
  <c r="E222" i="3"/>
  <c r="E19" i="3"/>
  <c r="E165" i="3"/>
  <c r="E141" i="3"/>
  <c r="E552" i="3"/>
  <c r="E398" i="3"/>
  <c r="E566" i="3"/>
  <c r="E460" i="3"/>
  <c r="E90" i="3"/>
  <c r="E155" i="3"/>
  <c r="E348" i="3"/>
  <c r="E110" i="3"/>
  <c r="E446" i="3"/>
  <c r="E138" i="3"/>
  <c r="E209" i="3"/>
  <c r="E584" i="3"/>
  <c r="E341" i="3"/>
  <c r="E510" i="3"/>
  <c r="E188" i="3"/>
  <c r="E393" i="3"/>
  <c r="E427" i="3"/>
  <c r="E440" i="3"/>
  <c r="J6" i="3"/>
  <c r="E401" i="3"/>
  <c r="E108" i="3"/>
  <c r="E242" i="3"/>
  <c r="E333" i="3"/>
  <c r="E43" i="3"/>
  <c r="E455" i="3"/>
  <c r="E170" i="3"/>
  <c r="E219" i="3"/>
  <c r="E392" i="3"/>
  <c r="E112" i="3"/>
  <c r="E340" i="3"/>
  <c r="E62" i="3"/>
  <c r="E365" i="3"/>
  <c r="E21" i="3"/>
  <c r="E223" i="3"/>
  <c r="E493" i="3"/>
  <c r="E486" i="3"/>
  <c r="E490" i="3"/>
  <c r="E498" i="3"/>
  <c r="E463" i="3"/>
  <c r="E178" i="3"/>
  <c r="E226" i="3"/>
  <c r="E372" i="3"/>
  <c r="E540" i="3"/>
  <c r="E79" i="3"/>
  <c r="E137" i="3"/>
  <c r="E299" i="3"/>
  <c r="AQ6" i="3"/>
  <c r="E123" i="3"/>
  <c r="E364" i="3"/>
  <c r="E176" i="3"/>
  <c r="E524" i="3"/>
  <c r="E16" i="3"/>
  <c r="E105" i="3"/>
  <c r="E543" i="3"/>
  <c r="E422" i="3"/>
  <c r="AH6" i="3"/>
  <c r="E483" i="3"/>
  <c r="E25" i="3"/>
  <c r="E202" i="3"/>
  <c r="E346" i="3"/>
  <c r="E60" i="3"/>
  <c r="E15" i="3"/>
  <c r="E100" i="3"/>
  <c r="E234" i="3"/>
  <c r="E325" i="3"/>
  <c r="E36" i="3"/>
  <c r="E289" i="3"/>
  <c r="E20" i="3"/>
  <c r="E265" i="3"/>
  <c r="E101" i="3"/>
  <c r="E329" i="3"/>
  <c r="E116" i="3"/>
  <c r="E564" i="3"/>
  <c r="E507" i="3"/>
  <c r="E376" i="3"/>
  <c r="E419" i="3"/>
  <c r="E40" i="3"/>
  <c r="E119" i="3"/>
  <c r="E276" i="3"/>
  <c r="L6" i="3"/>
  <c r="E473" i="3"/>
  <c r="E38" i="3"/>
  <c r="E194" i="3"/>
  <c r="E339" i="3"/>
  <c r="E52" i="3"/>
  <c r="E147" i="3"/>
  <c r="E50" i="3"/>
  <c r="E218" i="3"/>
  <c r="E51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22" i="9" l="1"/>
  <c r="G19" i="9"/>
  <c r="G21" i="9" s="1"/>
  <c r="D10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6" i="1"/>
  <c r="AO7" i="1"/>
  <c r="D20" i="9"/>
  <c r="AO11" i="1"/>
  <c r="AO8" i="1"/>
  <c r="AO10"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D14" i="74" s="1"/>
  <c r="G14" i="74" s="1"/>
  <c r="B6" i="74" s="1"/>
  <c r="D6" i="74" s="1"/>
  <c r="E14" i="74" l="1"/>
  <c r="F14" i="74"/>
  <c r="B5" i="74"/>
  <c r="D5" i="74" s="1"/>
  <c r="F118" i="9"/>
  <c r="F119" i="9" s="1"/>
  <c r="F5" i="52" s="1"/>
  <c r="B53" i="72" s="1"/>
  <c r="C104" i="9"/>
  <c r="H4" i="52"/>
  <c r="H101" i="9"/>
  <c r="H119" i="9"/>
  <c r="H5" i="52" s="1"/>
  <c r="F4" i="52"/>
  <c r="B51" i="72" s="1"/>
  <c r="E118" i="9"/>
  <c r="C105" i="9"/>
  <c r="I4" i="52"/>
  <c r="H102" i="9"/>
  <c r="E4" i="52" l="1"/>
  <c r="B48" i="72" s="1"/>
  <c r="D118" i="9"/>
  <c r="M48" i="9"/>
  <c r="H107" i="9"/>
  <c r="D5" i="53"/>
  <c r="D45" i="9"/>
  <c r="C5" i="74"/>
  <c r="D7" i="53"/>
  <c r="B21" i="72" s="1"/>
  <c r="D13" i="53" l="1"/>
  <c r="H108" i="9"/>
  <c r="M49" i="9"/>
  <c r="D122" i="9"/>
  <c r="D119" i="9"/>
  <c r="D5" i="52" s="1"/>
  <c r="B49" i="72" s="1"/>
  <c r="D4" i="52"/>
  <c r="B47" i="72" s="1"/>
  <c r="C93" i="9"/>
  <c r="C86" i="9" s="1"/>
  <c r="D55" i="9"/>
  <c r="M53" i="9" s="1"/>
  <c r="D52" i="9"/>
  <c r="C85" i="9"/>
  <c r="D53" i="9"/>
  <c r="C72" i="9"/>
  <c r="C79" i="9" s="1"/>
  <c r="C64" i="9"/>
  <c r="C63" i="9" s="1"/>
  <c r="C67" i="9" s="1"/>
  <c r="C78" i="9"/>
  <c r="C73" i="9" s="1"/>
  <c r="B20" i="72"/>
  <c r="D6" i="53"/>
  <c r="B22" i="72" s="1"/>
  <c r="D123" i="9" l="1"/>
  <c r="D9" i="52" s="1"/>
  <c r="D8" i="52"/>
  <c r="L66" i="9"/>
  <c r="M66" i="9" s="1"/>
  <c r="L63" i="9"/>
  <c r="M63" i="9" s="1"/>
  <c r="L64" i="9"/>
  <c r="M64" i="9" s="1"/>
  <c r="L68" i="9"/>
  <c r="M68" i="9" s="1"/>
  <c r="L65" i="9"/>
  <c r="M65" i="9" s="1"/>
  <c r="L67" i="9"/>
  <c r="M67" i="9" s="1"/>
  <c r="C95" i="9"/>
  <c r="C6" i="74"/>
  <c r="D15" i="53"/>
  <c r="B31" i="72" s="1"/>
  <c r="C80" i="9"/>
  <c r="E80" i="9" s="1"/>
  <c r="E81" i="9" s="1"/>
  <c r="D59" i="9"/>
  <c r="M55" i="9" s="1"/>
  <c r="C68" i="9"/>
  <c r="D54" i="9" s="1"/>
  <c r="D14" i="53"/>
  <c r="B32" i="72" s="1"/>
  <c r="B30" i="72"/>
  <c r="C81" i="9" l="1"/>
  <c r="C96" i="9"/>
  <c r="E96" i="9" s="1"/>
  <c r="E97" i="9" s="1"/>
  <c r="M69" i="9"/>
  <c r="N69" i="9" s="1"/>
  <c r="C97" i="9" l="1"/>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<sst xmlns="http://schemas.openxmlformats.org/spreadsheetml/2006/main" count="7804" uniqueCount="3410">
  <si>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</si>
  <si>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</si>
  <si>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</si>
  <si>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</si>
  <si>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</si>
  <si>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</si>
  <si>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</si>
  <si>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</si>
  <si>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</si>
  <si>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</si>
  <si>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</si>
  <si>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</si>
  <si>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</si>
  <si>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</si>
  <si>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</si>
  <si>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</si>
  <si>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</si>
  <si>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</si>
  <si>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</si>
  <si>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</si>
  <si>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</si>
  <si>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</si>
  <si>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</si>
  <si>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</si>
  <si>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</si>
  <si>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</si>
  <si>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</si>
  <si>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</si>
  <si>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</si>
  <si>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</si>
  <si>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</si>
  <si>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</si>
  <si>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</si>
  <si>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</si>
  <si>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</si>
  <si>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</si>
  <si>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</si>
  <si>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</si>
  <si>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</si>
  <si>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</si>
  <si>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</si>
  <si>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</si>
  <si>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</si>
  <si>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</si>
  <si>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</si>
  <si>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</si>
  <si>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</si>
  <si>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</si>
  <si>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</si>
  <si>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</si>
  <si>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</si>
  <si>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</si>
  <si>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</si>
  <si>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</si>
  <si>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</si>
  <si>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</si>
  <si>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</si>
  <si>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</si>
  <si>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</si>
  <si>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</si>
  <si>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</si>
  <si>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</si>
  <si>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</si>
  <si>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</si>
  <si>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</si>
  <si>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</si>
  <si>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</si>
  <si>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</si>
  <si>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</si>
  <si>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</si>
  <si>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</si>
  <si>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</si>
  <si>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</si>
  <si>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</si>
  <si>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</si>
  <si>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</si>
  <si>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</si>
  <si>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</si>
  <si>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</si>
  <si>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</si>
  <si>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</si>
  <si>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</si>
  <si>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</si>
  <si>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</si>
  <si>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</si>
  <si>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</si>
  <si>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</si>
  <si>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</si>
  <si>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</si>
  <si>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</si>
  <si>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</si>
  <si>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</si>
  <si>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</si>
  <si>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</si>
  <si>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</si>
  <si>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</si>
  <si>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</si>
  <si>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</si>
  <si>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</si>
  <si>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</si>
  <si>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</si>
  <si>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</si>
  <si>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</si>
  <si>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</si>
  <si>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</si>
  <si>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</si>
  <si>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</si>
  <si>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</si>
  <si>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</si>
  <si>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</si>
  <si>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</si>
  <si>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</si>
  <si>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</si>
  <si>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</si>
  <si>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</si>
  <si>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</si>
  <si>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</si>
  <si>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</si>
  <si>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</si>
  <si>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</si>
  <si>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</si>
  <si>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</si>
  <si>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</si>
  <si>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</si>
  <si>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</si>
  <si>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</si>
  <si>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</si>
  <si>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</si>
  <si>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</si>
  <si>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</si>
  <si>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</si>
  <si>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</si>
  <si>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</si>
  <si>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</si>
  <si>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</si>
  <si>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</si>
  <si>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</si>
  <si>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</si>
  <si>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</si>
  <si>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</si>
  <si>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</si>
  <si>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</si>
  <si>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</si>
  <si>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</si>
  <si>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</si>
  <si>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</si>
  <si>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</si>
  <si>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</si>
  <si>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</si>
  <si>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</si>
  <si>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</si>
  <si>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</si>
  <si>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</si>
  <si>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</si>
  <si>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</si>
  <si>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</si>
  <si>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</si>
  <si>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</si>
  <si>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</si>
  <si>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</si>
  <si>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</si>
  <si>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</si>
  <si>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</si>
  <si>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</si>
  <si>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</si>
  <si>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</si>
  <si>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</si>
  <si>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</si>
  <si>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</si>
  <si>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</si>
  <si>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</si>
  <si>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</si>
  <si>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</si>
  <si>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</si>
  <si>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</si>
  <si>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</si>
  <si>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</si>
  <si>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</si>
  <si>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</si>
  <si>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</si>
  <si>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</si>
  <si>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</si>
  <si>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</si>
  <si>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</si>
  <si>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</si>
  <si>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</si>
  <si>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</si>
  <si>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</si>
  <si>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</si>
  <si>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</si>
  <si>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</si>
  <si>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</si>
  <si>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</si>
  <si>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</si>
  <si>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</si>
  <si>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</si>
  <si>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</si>
  <si>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</si>
  <si>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</si>
  <si>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</si>
  <si>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</si>
  <si>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</si>
  <si>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</si>
  <si>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</si>
  <si>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</si>
  <si>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</si>
  <si>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</si>
  <si>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</si>
  <si>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</si>
  <si>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</si>
  <si>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</si>
  <si>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</si>
  <si>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</si>
  <si>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</si>
  <si>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</si>
  <si>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</si>
  <si>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</si>
  <si>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</si>
  <si>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</si>
  <si>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</si>
  <si>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</si>
  <si>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</si>
  <si>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</si>
  <si>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</si>
  <si>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</si>
  <si>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</si>
  <si>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</si>
  <si>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</si>
  <si>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</si>
  <si>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</si>
  <si>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</si>
  <si>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</si>
  <si>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</si>
  <si>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</si>
  <si>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</si>
  <si>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</si>
  <si>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</si>
  <si>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</si>
  <si>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</si>
  <si>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</si>
  <si>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</si>
  <si>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</si>
  <si>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</si>
  <si>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</si>
  <si>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</si>
  <si>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</si>
  <si>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</si>
  <si>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</si>
  <si>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</si>
  <si>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</si>
  <si>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</si>
  <si>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</si>
  <si>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</si>
  <si>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</si>
  <si>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</si>
  <si>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</si>
  <si>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</si>
  <si>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</si>
  <si>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</si>
  <si>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</si>
  <si>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</si>
  <si>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</si>
  <si>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</si>
  <si>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</si>
  <si>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</si>
  <si>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</si>
  <si>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</si>
  <si>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</si>
  <si>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</si>
  <si>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</si>
  <si>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</si>
  <si>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</si>
  <si>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</si>
  <si>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</si>
  <si>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</si>
  <si>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</si>
  <si>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</si>
  <si>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</si>
  <si>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</si>
  <si>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</si>
  <si>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</si>
  <si>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</si>
  <si>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</si>
  <si>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</si>
  <si>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</si>
  <si>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</si>
  <si>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</si>
  <si>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</si>
  <si>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</si>
  <si>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</si>
  <si>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</si>
  <si>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</si>
  <si>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</si>
  <si>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</si>
  <si>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</si>
  <si>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</si>
  <si>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</si>
  <si>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</si>
  <si>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</si>
  <si>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</si>
  <si>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</si>
  <si>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</si>
  <si>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</si>
  <si>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</si>
  <si>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</si>
  <si>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</si>
  <si>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</si>
  <si>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</si>
  <si>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</si>
  <si>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</si>
  <si>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</si>
  <si>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</si>
  <si>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</si>
  <si>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</si>
  <si>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</si>
  <si>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</si>
  <si>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</si>
  <si>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</si>
  <si>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</si>
  <si>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</si>
  <si>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</si>
  <si>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</si>
  <si>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</si>
  <si>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</si>
  <si>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</si>
  <si>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</si>
  <si>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</si>
  <si>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</si>
  <si>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</si>
  <si>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</si>
  <si>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</si>
  <si>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</si>
  <si>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</si>
  <si>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</si>
  <si>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</si>
  <si>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</si>
  <si>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</si>
  <si>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</si>
  <si>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</si>
  <si>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</si>
  <si>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</si>
  <si>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</si>
  <si>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</si>
  <si>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</si>
  <si>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</si>
  <si>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</si>
  <si>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</si>
  <si>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</si>
  <si>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</si>
  <si>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</si>
  <si>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</si>
  <si>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</si>
  <si>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</si>
  <si>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</si>
  <si>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</si>
  <si>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</si>
  <si>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</si>
  <si>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</si>
  <si>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</si>
  <si>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</si>
  <si>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</si>
  <si>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</si>
  <si>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</si>
  <si>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</si>
  <si>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</si>
  <si>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</si>
  <si>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</si>
  <si>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</si>
  <si>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</si>
  <si>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</si>
  <si>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</si>
  <si>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</si>
  <si>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</si>
  <si>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</si>
  <si>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</si>
  <si>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</si>
  <si>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</si>
  <si>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</si>
  <si>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</si>
  <si>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</si>
  <si>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</si>
  <si>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</si>
  <si>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</si>
  <si>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</si>
  <si>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</si>
  <si>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</si>
  <si>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</si>
  <si>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</si>
  <si>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</si>
  <si>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</si>
  <si>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</si>
  <si>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</si>
  <si>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</si>
  <si>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</si>
  <si>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</si>
  <si>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</si>
  <si>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</si>
  <si>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</si>
  <si>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</si>
  <si>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</si>
  <si>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</si>
  <si>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</si>
  <si>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</si>
  <si>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</si>
  <si>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</si>
  <si>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</si>
  <si>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</si>
  <si>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</si>
  <si>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</si>
  <si>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</si>
  <si>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</si>
  <si>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</si>
  <si>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</si>
  <si>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</si>
  <si>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</si>
  <si>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</si>
  <si>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</si>
  <si>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</si>
  <si>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</si>
  <si>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</si>
  <si>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</si>
  <si>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</si>
  <si>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</si>
  <si>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</si>
  <si>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</si>
  <si>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</si>
  <si>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</si>
  <si>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</si>
  <si>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</si>
  <si>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</si>
  <si>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</si>
  <si>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</si>
  <si>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</si>
  <si>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</si>
  <si>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</si>
  <si>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</si>
  <si>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</si>
  <si>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</si>
  <si>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</si>
  <si>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</si>
  <si>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</si>
  <si>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</si>
  <si>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</si>
  <si>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</si>
  <si>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</si>
  <si>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</si>
  <si>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</si>
  <si>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</si>
  <si>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</si>
  <si>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</si>
  <si>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</si>
  <si>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</si>
  <si>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</si>
  <si>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</si>
  <si>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</si>
  <si>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</si>
  <si>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</si>
  <si>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</si>
  <si>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</si>
  <si>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</si>
  <si>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</si>
  <si>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</si>
  <si>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</si>
  <si>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</si>
  <si>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</si>
  <si>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</si>
  <si>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</si>
  <si>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</si>
  <si>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</si>
  <si>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</si>
  <si>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</si>
  <si>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</si>
  <si>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</si>
  <si>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</si>
  <si>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</si>
  <si>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</si>
  <si>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</si>
  <si>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</si>
  <si>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</si>
  <si>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</si>
  <si>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</si>
  <si>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</si>
  <si>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</si>
  <si>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</si>
  <si>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</si>
  <si>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</si>
  <si>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</si>
  <si>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</si>
  <si>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</si>
  <si>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</si>
  <si>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</si>
  <si>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</si>
  <si>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</si>
  <si>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</si>
  <si>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</si>
  <si>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</si>
  <si>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</si>
  <si>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</si>
  <si>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</si>
  <si>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</si>
  <si>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</si>
  <si>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</si>
  <si>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</si>
  <si>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</si>
  <si>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</si>
  <si>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</si>
  <si>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</si>
  <si>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</si>
  <si>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</si>
  <si>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</si>
  <si>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</si>
  <si>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</si>
  <si>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</si>
  <si>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</si>
  <si>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</si>
  <si>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</si>
  <si>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</si>
  <si>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</si>
  <si>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</si>
  <si>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</si>
  <si>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</si>
  <si>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</si>
  <si>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</si>
  <si>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</si>
  <si>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</si>
  <si>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</si>
  <si>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</si>
  <si>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</si>
  <si>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</si>
  <si>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</si>
  <si>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</si>
  <si>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</si>
  <si>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</si>
  <si>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</si>
  <si>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</si>
  <si>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</si>
  <si>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</si>
  <si>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</si>
  <si>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</si>
  <si>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</si>
  <si>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</si>
  <si>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</si>
  <si>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</si>
  <si>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</si>
  <si>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</si>
  <si>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</si>
  <si>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</si>
  <si>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</si>
  <si>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</si>
  <si>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</si>
  <si>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</si>
  <si>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</si>
  <si>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</si>
  <si>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</si>
  <si>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</si>
  <si>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</si>
  <si>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</si>
  <si>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</si>
  <si>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</si>
  <si>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</si>
  <si>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</si>
  <si>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</si>
  <si>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</si>
  <si>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</si>
  <si>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</si>
  <si>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</si>
  <si>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</si>
  <si>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</si>
  <si>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</si>
  <si>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</si>
  <si>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</si>
  <si>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</si>
  <si>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</si>
  <si>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</si>
  <si>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</si>
  <si>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</si>
  <si>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</si>
  <si>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</si>
  <si>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</si>
  <si>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</si>
  <si>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</si>
  <si>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</si>
  <si>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</si>
  <si>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</si>
  <si>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</si>
  <si>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</si>
  <si>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</si>
  <si>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</si>
  <si>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</si>
  <si>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</si>
  <si>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</si>
  <si>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</si>
  <si>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</si>
  <si>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</si>
  <si>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</si>
  <si>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</si>
  <si>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</si>
  <si>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</si>
  <si>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</si>
  <si>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</si>
  <si>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</si>
  <si>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</si>
  <si>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</si>
  <si>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</si>
  <si>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</si>
  <si>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</si>
  <si>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</si>
  <si>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</si>
  <si>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</si>
  <si>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</si>
  <si>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</si>
  <si>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</si>
  <si>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</si>
  <si>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</si>
  <si>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</si>
  <si>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</si>
  <si>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</si>
  <si>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</si>
  <si>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</si>
  <si>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</si>
  <si>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</si>
  <si>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</si>
  <si>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</si>
  <si>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</si>
  <si>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</si>
  <si>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</si>
  <si>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</si>
  <si>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</si>
  <si>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</si>
  <si>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</si>
  <si>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</si>
  <si>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</si>
  <si>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</si>
  <si>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</si>
  <si>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</si>
  <si>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</si>
  <si>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</si>
  <si>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</si>
  <si>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</si>
  <si>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</si>
  <si>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</si>
  <si>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</si>
  <si>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</si>
  <si>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</si>
  <si>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</si>
  <si>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</si>
  <si>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</si>
  <si>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</si>
  <si>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</si>
  <si>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</si>
  <si>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</si>
  <si>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</si>
  <si>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</si>
  <si>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</si>
  <si>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</si>
  <si>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</si>
  <si>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</si>
  <si>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</si>
  <si>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</si>
  <si>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</si>
  <si>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</si>
  <si>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</si>
  <si>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</si>
  <si>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</si>
  <si>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</si>
  <si>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</si>
  <si>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</si>
  <si>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</si>
  <si>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</si>
  <si>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</si>
  <si>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</si>
  <si>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</si>
  <si>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</si>
  <si>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</si>
  <si>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</si>
  <si>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</si>
  <si>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</si>
  <si>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</si>
  <si>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</si>
  <si>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</si>
  <si>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</si>
  <si>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</si>
  <si>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</si>
  <si>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</si>
  <si>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</si>
  <si>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</si>
  <si>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</si>
  <si>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</si>
  <si>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</si>
  <si>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</si>
  <si>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</si>
  <si>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</si>
  <si>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</si>
  <si>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</si>
  <si>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</si>
  <si>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</si>
  <si>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</si>
  <si>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</si>
  <si>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</si>
  <si>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</si>
  <si>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</si>
  <si>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</si>
  <si>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</si>
  <si>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</si>
  <si>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</si>
  <si>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</si>
  <si>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</si>
  <si>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</si>
  <si>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</si>
  <si>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</si>
  <si>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</si>
  <si>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</si>
  <si>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</si>
  <si>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</si>
  <si>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</si>
  <si>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</si>
  <si>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</si>
  <si>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</si>
  <si>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</si>
  <si>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</si>
  <si>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</si>
  <si>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</si>
  <si>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</si>
  <si>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</si>
  <si>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</si>
  <si>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</si>
  <si>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</si>
  <si>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</si>
  <si>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</si>
  <si>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</si>
  <si>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</si>
  <si>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</si>
  <si>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</si>
  <si>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</si>
  <si>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</si>
  <si>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</si>
  <si>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</si>
  <si>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</si>
  <si>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</si>
  <si>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</si>
  <si>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</si>
  <si>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</si>
  <si>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</si>
  <si>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</si>
  <si>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</si>
  <si>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</si>
  <si>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</si>
  <si>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</si>
  <si>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</si>
  <si>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</si>
  <si>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</si>
  <si>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</si>
  <si>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</si>
  <si>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</si>
  <si>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</si>
  <si>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</si>
  <si>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</si>
  <si>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</si>
  <si>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</si>
  <si>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</si>
  <si>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</si>
  <si>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</si>
  <si>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</si>
  <si>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</si>
  <si>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</si>
  <si>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</si>
  <si>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</si>
  <si>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</si>
  <si>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</si>
  <si>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</si>
  <si>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</si>
  <si>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</si>
  <si>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</si>
  <si>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</si>
  <si>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</si>
  <si>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</si>
  <si>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</si>
  <si>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</si>
  <si>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</si>
  <si>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</si>
  <si>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</si>
  <si>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</si>
  <si>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</si>
  <si>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</si>
  <si>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</si>
  <si>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</si>
  <si>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</si>
  <si>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</si>
  <si>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</si>
  <si>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</si>
  <si>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</si>
  <si>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</si>
  <si>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</si>
  <si>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</si>
  <si>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</si>
  <si>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</si>
  <si>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</si>
  <si>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</si>
  <si>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</si>
  <si>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</si>
  <si>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</si>
  <si>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</si>
  <si>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</si>
  <si>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</si>
  <si>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</si>
  <si>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</si>
  <si>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</si>
  <si>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</si>
  <si>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</si>
  <si>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</si>
  <si>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</si>
  <si>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</si>
  <si>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</si>
  <si>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</si>
  <si>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</si>
  <si>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</si>
  <si>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</si>
  <si>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</si>
  <si>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</si>
  <si>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</si>
  <si>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</si>
  <si>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</si>
  <si>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</si>
  <si>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</si>
  <si>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</si>
  <si>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</si>
  <si>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</si>
  <si>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</si>
  <si>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</si>
  <si>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</si>
  <si>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</si>
  <si>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</si>
  <si>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</si>
  <si>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</si>
  <si>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</si>
  <si>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</si>
  <si>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</si>
  <si>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</si>
  <si>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</si>
  <si>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</si>
  <si>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</si>
  <si>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</si>
  <si>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</si>
  <si>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</si>
  <si>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</si>
  <si>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</si>
  <si>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</si>
  <si>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</si>
  <si>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</si>
  <si>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</si>
  <si>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</si>
  <si>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</si>
  <si>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</si>
  <si>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</si>
  <si>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</si>
  <si>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</si>
  <si>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</si>
  <si>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</si>
  <si>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</si>
  <si>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</si>
  <si>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</si>
  <si>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</si>
  <si>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</si>
  <si>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</si>
  <si>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</si>
  <si>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</si>
  <si>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</si>
  <si>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</si>
  <si>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</si>
  <si>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</si>
  <si>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</si>
  <si>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</si>
  <si>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</si>
  <si>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</si>
  <si>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</si>
  <si>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</si>
  <si>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</si>
  <si>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</si>
  <si>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</si>
  <si>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</si>
  <si>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</si>
  <si>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</si>
  <si>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</si>
  <si>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</si>
  <si>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</si>
  <si>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</si>
  <si>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</si>
  <si>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</si>
  <si>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</si>
  <si>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</si>
  <si>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</si>
  <si>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</si>
  <si>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</si>
  <si>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</si>
  <si>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</si>
  <si>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</si>
  <si>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</si>
  <si>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</si>
  <si>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</si>
  <si>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</si>
  <si>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</si>
  <si>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</si>
  <si>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</si>
  <si>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</si>
  <si>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</si>
  <si>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</si>
  <si>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</si>
  <si>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</si>
  <si>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</si>
  <si>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</si>
  <si>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</si>
  <si>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</si>
  <si>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</si>
  <si>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</si>
  <si>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</si>
  <si>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</si>
  <si>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</si>
  <si>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</si>
  <si>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</si>
  <si>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</si>
  <si>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</si>
  <si>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</si>
  <si>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</si>
  <si>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</si>
  <si>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</si>
  <si>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</si>
  <si>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</si>
  <si>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</si>
  <si>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</si>
  <si>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</si>
  <si>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</si>
  <si>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</si>
  <si>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</si>
  <si>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</si>
  <si>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</si>
  <si>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</si>
  <si>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</si>
  <si>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</si>
  <si>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</si>
  <si>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</si>
  <si>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</si>
  <si>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</si>
  <si>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</si>
  <si>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</si>
  <si>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</si>
  <si>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</si>
  <si>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</si>
  <si>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</si>
  <si>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</si>
  <si>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</si>
  <si>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</si>
  <si>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</si>
  <si>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</si>
  <si>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</si>
  <si>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</si>
  <si>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</si>
  <si>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</si>
  <si>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</si>
  <si>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</si>
  <si>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</si>
  <si>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</si>
  <si>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</si>
  <si>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</si>
  <si>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</si>
  <si>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</si>
  <si>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</si>
  <si>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</si>
  <si>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</si>
  <si>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</si>
  <si>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</si>
  <si>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</si>
  <si>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</si>
  <si>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</si>
  <si>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</si>
  <si>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</si>
  <si>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</si>
  <si>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</si>
  <si>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</si>
  <si>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</si>
  <si>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</si>
  <si>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</si>
  <si>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</si>
  <si>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</si>
  <si>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</si>
  <si>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</si>
  <si>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</si>
  <si>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</si>
  <si>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</si>
  <si>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</si>
  <si>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</si>
  <si>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</si>
  <si>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</si>
  <si>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</si>
  <si>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</si>
  <si>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</si>
  <si>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</si>
  <si>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</si>
  <si>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</si>
  <si>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</si>
  <si>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</si>
  <si>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</si>
  <si>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</si>
  <si>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</si>
  <si>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</si>
  <si>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</si>
  <si>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</si>
  <si>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</si>
  <si>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</si>
  <si>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</si>
  <si>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</si>
  <si>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</si>
  <si>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</si>
  <si>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</si>
  <si>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</si>
  <si>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</si>
  <si>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</si>
  <si>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</si>
  <si>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</si>
  <si>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</si>
  <si>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</si>
  <si>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</si>
  <si>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</si>
  <si>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</si>
  <si>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</si>
  <si>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</si>
  <si>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</si>
  <si>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</si>
  <si>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</si>
  <si>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</si>
  <si>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</si>
  <si>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</si>
  <si>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</si>
  <si>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</si>
  <si>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</si>
  <si>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</si>
  <si>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</si>
  <si>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</si>
  <si>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</si>
  <si>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</si>
  <si>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</si>
  <si>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</si>
  <si>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</si>
  <si>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</si>
  <si>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</si>
  <si>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</si>
  <si>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</si>
  <si>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</si>
  <si>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</si>
  <si>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</si>
  <si>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</si>
  <si>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</si>
  <si>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</si>
  <si>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</si>
  <si>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</si>
  <si>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</si>
  <si>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</si>
  <si>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</si>
  <si>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</si>
  <si>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</si>
  <si>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</si>
  <si>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</si>
  <si>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</si>
  <si>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</si>
  <si>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</si>
  <si>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</si>
  <si>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</si>
  <si>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</si>
  <si>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</si>
  <si>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</si>
  <si>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</si>
  <si>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</si>
  <si>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</si>
  <si>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</si>
  <si>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</si>
  <si>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</si>
  <si>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</si>
  <si>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</si>
  <si>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</si>
  <si>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</si>
  <si>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</si>
  <si>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</si>
  <si>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</si>
  <si>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</si>
  <si>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</si>
  <si>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</si>
  <si>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</si>
  <si>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</si>
  <si>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</si>
  <si>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</si>
  <si>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</si>
  <si>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</si>
  <si>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</si>
  <si>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</si>
  <si>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</si>
  <si>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</si>
  <si>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</si>
  <si>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</si>
  <si>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</si>
  <si>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</si>
  <si>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</si>
  <si>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</si>
  <si>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</si>
  <si>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</si>
  <si>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</si>
  <si>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</si>
  <si>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</si>
  <si>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</si>
  <si>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</si>
  <si>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</si>
  <si>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</si>
  <si>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</si>
  <si>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</si>
  <si>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</si>
  <si>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</si>
  <si>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</si>
  <si>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</si>
  <si>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</si>
  <si>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</si>
  <si>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</si>
  <si>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</si>
  <si>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</si>
  <si>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</si>
  <si>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</si>
  <si>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</si>
  <si>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</si>
  <si>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</si>
  <si>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</si>
  <si>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</si>
  <si>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</si>
  <si>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</si>
  <si>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</si>
  <si>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</si>
  <si>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</si>
  <si>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</si>
  <si>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</si>
  <si>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</si>
  <si>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</si>
  <si>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</si>
  <si>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</si>
  <si>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</si>
  <si>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</si>
  <si>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</si>
  <si>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</si>
  <si>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</si>
  <si>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</si>
  <si>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</si>
  <si>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</si>
  <si>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</si>
  <si>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</si>
  <si>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</si>
  <si>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</si>
  <si>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</si>
  <si>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</si>
  <si>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</si>
  <si>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</si>
  <si>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</si>
  <si>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</si>
  <si>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</si>
  <si>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</si>
  <si>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</si>
  <si>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</si>
  <si>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</si>
  <si>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</si>
  <si>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</si>
  <si>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</si>
  <si>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</si>
  <si>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</si>
  <si>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</si>
  <si>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</si>
  <si>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</si>
  <si>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</si>
  <si>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</si>
  <si>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</si>
  <si>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</si>
  <si>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</si>
  <si>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</si>
  <si>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</si>
  <si>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</si>
  <si>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</si>
  <si>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</si>
  <si>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</si>
  <si>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</si>
  <si>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</si>
  <si>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</si>
  <si>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</si>
  <si>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</si>
  <si>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</si>
  <si>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</si>
  <si>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</si>
  <si>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</si>
  <si>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</si>
  <si>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</si>
  <si>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</si>
  <si>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</si>
  <si>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</si>
  <si>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</si>
  <si>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</si>
  <si>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</si>
  <si>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</si>
  <si>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</si>
  <si>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</si>
  <si>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</si>
  <si>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</si>
  <si>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</si>
  <si>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</si>
  <si>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</si>
  <si>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</si>
  <si>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</si>
  <si>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</si>
  <si>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</si>
  <si>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</si>
  <si>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</si>
  <si>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</si>
  <si>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</si>
  <si>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</si>
  <si>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</si>
  <si>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</si>
  <si>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</si>
  <si>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</si>
  <si>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</si>
  <si>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</si>
  <si>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</si>
  <si>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</si>
  <si>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</si>
  <si>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</si>
  <si>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</si>
  <si>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</si>
  <si>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</si>
  <si>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</si>
  <si>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</si>
  <si>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</si>
  <si>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</si>
  <si>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</si>
  <si>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</si>
  <si>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</si>
  <si>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</si>
  <si>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</si>
  <si>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</si>
  <si>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</si>
  <si>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</si>
  <si>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</si>
  <si>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</si>
  <si>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</si>
  <si>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</si>
  <si>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</si>
  <si>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</si>
  <si>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</si>
  <si>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</si>
  <si>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</si>
  <si>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</si>
  <si>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</si>
  <si>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</si>
  <si>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</si>
  <si>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</si>
  <si>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</si>
  <si>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</si>
  <si>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</si>
  <si>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</si>
  <si>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</si>
  <si>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</si>
  <si>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</si>
  <si>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</si>
  <si>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</si>
  <si>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</si>
  <si>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</si>
  <si>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</si>
  <si>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</si>
  <si>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</si>
  <si>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</si>
  <si>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</si>
  <si>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</si>
  <si>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</si>
  <si>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</si>
  <si>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</si>
  <si>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</si>
  <si>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</si>
  <si>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</si>
  <si>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</si>
  <si>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</si>
  <si>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</si>
  <si>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</si>
  <si>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</si>
  <si>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</si>
  <si>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</si>
  <si>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</si>
  <si>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</si>
  <si>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</si>
  <si>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</si>
  <si>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</si>
  <si>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</si>
  <si>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</si>
  <si>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</si>
  <si>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</si>
  <si>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</si>
  <si>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</si>
  <si>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</si>
  <si>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</si>
  <si>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</si>
  <si>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</si>
  <si>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</si>
  <si>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</si>
  <si>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</si>
  <si>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</si>
  <si>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</si>
  <si>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</si>
  <si>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</si>
  <si>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</si>
  <si>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</si>
  <si>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</si>
  <si>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</si>
  <si>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</si>
  <si>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</si>
  <si>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</si>
  <si>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</si>
  <si>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</si>
  <si>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</si>
  <si>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</si>
  <si>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</si>
  <si>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</si>
  <si>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</si>
  <si>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</si>
  <si>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</si>
  <si>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</si>
  <si>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</si>
  <si>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</si>
  <si>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</si>
  <si>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</si>
  <si>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</si>
  <si>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</si>
  <si>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</si>
  <si>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</si>
  <si>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</si>
  <si>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</si>
  <si>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</si>
  <si>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</si>
  <si>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</si>
  <si>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</si>
  <si>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</si>
  <si>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</si>
  <si>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</si>
  <si>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</si>
  <si>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</si>
  <si>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</si>
  <si>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</si>
  <si>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</si>
  <si>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</si>
  <si>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</si>
  <si>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</si>
  <si>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</si>
  <si>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</si>
  <si>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</si>
  <si>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</si>
  <si>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</si>
  <si>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</si>
  <si>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</si>
  <si>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</si>
  <si>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</si>
  <si>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</si>
  <si>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</si>
  <si>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</si>
  <si>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</si>
  <si>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</si>
  <si>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</si>
  <si>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</si>
  <si>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</si>
  <si>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</si>
  <si>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</si>
  <si>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</si>
  <si>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</si>
  <si>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</si>
  <si>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</si>
  <si>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</si>
  <si>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</si>
  <si>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</si>
  <si>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</si>
  <si>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</si>
  <si>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</si>
  <si>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</si>
  <si>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</si>
  <si>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</si>
  <si>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</si>
  <si>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</si>
  <si>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</si>
  <si>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</si>
  <si>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</si>
  <si>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</si>
  <si>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</si>
  <si>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</si>
  <si>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</si>
  <si>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</si>
  <si>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</si>
  <si>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</si>
  <si>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</si>
  <si>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</si>
  <si>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</si>
  <si>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</si>
  <si>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</si>
  <si>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</si>
  <si>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</si>
  <si>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</si>
  <si>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</si>
  <si>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</si>
  <si>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</si>
  <si>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</si>
  <si>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</si>
  <si>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</si>
  <si>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</si>
  <si>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</si>
  <si>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</si>
  <si>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</si>
  <si>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</si>
  <si>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</si>
  <si>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</si>
  <si>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</si>
  <si>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</si>
  <si>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</si>
  <si>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</si>
  <si>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</si>
  <si>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</si>
  <si>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</si>
  <si>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</si>
  <si>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</si>
  <si>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</si>
  <si>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</si>
  <si>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</si>
  <si>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</si>
  <si>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</si>
  <si>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</si>
  <si>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</si>
  <si>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</si>
  <si>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</si>
  <si>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</si>
  <si>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</si>
  <si>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</si>
  <si>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</si>
  <si>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</si>
  <si>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</si>
  <si>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</si>
  <si>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</si>
  <si>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</si>
  <si>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</si>
  <si>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</si>
  <si>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</si>
  <si>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</si>
  <si>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</si>
  <si>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</si>
  <si>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</si>
  <si>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</si>
  <si>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</si>
  <si>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</si>
  <si>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</si>
  <si>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</si>
  <si>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</si>
  <si>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</si>
  <si>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</si>
  <si>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</si>
  <si>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</si>
  <si>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</si>
  <si>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</si>
  <si>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</si>
  <si>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</si>
  <si>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</si>
  <si>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</si>
  <si>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</si>
  <si>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</si>
  <si>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</si>
  <si>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</si>
  <si>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</si>
  <si>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</si>
  <si>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</si>
  <si>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</si>
  <si>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</si>
  <si>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</si>
  <si>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</si>
  <si>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</si>
  <si>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</si>
  <si>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</si>
  <si>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</si>
  <si>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</si>
  <si>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</si>
  <si>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</si>
  <si>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</si>
  <si>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</si>
  <si>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</si>
  <si>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</si>
  <si>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</si>
  <si>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</si>
  <si>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</si>
  <si>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</si>
  <si>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</si>
  <si>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</si>
  <si>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</si>
  <si>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</si>
  <si>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</si>
  <si>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</si>
  <si>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</si>
  <si>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</si>
  <si>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</si>
  <si>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</si>
  <si>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</si>
  <si>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</si>
  <si>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</si>
  <si>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</si>
  <si>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</si>
  <si>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</si>
  <si>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</si>
  <si>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</si>
  <si>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</si>
  <si>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</si>
  <si>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</si>
  <si>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</si>
  <si>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</si>
  <si>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</si>
  <si>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</si>
  <si>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</si>
  <si>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</si>
  <si>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</si>
  <si>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</si>
  <si>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</si>
  <si>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</si>
  <si>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</si>
  <si>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</si>
  <si>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</si>
  <si>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</si>
  <si>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</si>
  <si>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</si>
  <si>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</si>
  <si>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</si>
  <si>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</si>
  <si>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</si>
  <si>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</si>
  <si>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</si>
  <si>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</si>
  <si>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</si>
  <si>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</si>
  <si>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</si>
  <si>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</si>
  <si>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</si>
  <si>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</si>
  <si>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</si>
  <si>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</si>
  <si>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</si>
  <si>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</si>
  <si>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</si>
  <si>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</si>
  <si>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</si>
  <si>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</si>
  <si>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</si>
  <si>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</si>
  <si>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</si>
  <si>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</si>
  <si>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</si>
  <si>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</si>
  <si>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</si>
  <si>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</si>
  <si>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</si>
  <si>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</si>
  <si>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</si>
  <si>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</si>
  <si>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</si>
  <si>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</si>
  <si>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</si>
  <si>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</si>
  <si>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</si>
  <si>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</si>
  <si>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</si>
  <si>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</si>
  <si>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</si>
  <si>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</si>
  <si>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</si>
  <si>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</si>
  <si>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</si>
  <si>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</si>
  <si>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</si>
  <si>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</si>
  <si>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</si>
  <si>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</si>
  <si>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</si>
  <si>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</si>
  <si>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</si>
  <si>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</si>
  <si>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</si>
  <si>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</si>
  <si>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</si>
  <si>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</si>
  <si>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</si>
  <si>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</si>
  <si>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</si>
  <si>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</si>
  <si>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</si>
  <si>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</si>
  <si>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</si>
  <si>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</si>
  <si>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</si>
  <si>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</si>
  <si>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</si>
  <si>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</si>
  <si>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</si>
  <si>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</si>
  <si>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</si>
  <si>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</si>
  <si>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</si>
  <si>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</si>
  <si>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</si>
  <si>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</si>
  <si>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</si>
  <si>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</si>
  <si>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</si>
  <si>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</si>
  <si>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</si>
  <si>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</si>
  <si>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</si>
  <si>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</si>
  <si>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</si>
  <si>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</si>
  <si>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</si>
  <si>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</si>
  <si>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</si>
  <si>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</si>
  <si>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</si>
  <si>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</si>
  <si>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</si>
  <si>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</si>
  <si>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</si>
  <si>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</si>
  <si>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</si>
  <si>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</si>
  <si>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</si>
  <si>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</si>
  <si>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</si>
  <si>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</si>
  <si>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</si>
  <si>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</si>
  <si>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</si>
  <si>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</si>
  <si>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</si>
  <si>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</si>
  <si>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</si>
  <si>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</si>
  <si>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</si>
  <si>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</si>
  <si>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</si>
  <si>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</si>
  <si>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</si>
  <si>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</si>
  <si>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</si>
  <si>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</si>
  <si>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</si>
  <si>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</si>
  <si>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</si>
  <si>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</si>
  <si>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</si>
  <si>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</si>
  <si>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</si>
  <si>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</si>
  <si>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</si>
  <si>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</si>
  <si>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</si>
  <si>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</si>
  <si>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</si>
  <si>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</si>
  <si>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</si>
  <si>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</si>
  <si>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</si>
  <si>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</si>
  <si>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</si>
  <si>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</si>
  <si>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</si>
  <si>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</si>
  <si>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</si>
  <si>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</si>
  <si>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</si>
  <si>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</si>
  <si>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</si>
  <si>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</si>
  <si>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</si>
  <si>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</si>
  <si>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</si>
  <si>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</si>
  <si>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</si>
  <si>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</si>
  <si>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</si>
  <si>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</si>
  <si>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</si>
  <si>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</si>
  <si>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</si>
  <si>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</si>
  <si>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</si>
  <si>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</si>
  <si>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</si>
  <si>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</si>
  <si>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</si>
  <si>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</si>
  <si>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</si>
  <si>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</si>
  <si>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</si>
  <si>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</si>
  <si>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</si>
  <si>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</si>
  <si>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</si>
  <si>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</si>
  <si>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</si>
  <si>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</si>
  <si>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</si>
  <si>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</si>
  <si>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</si>
  <si>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</si>
  <si>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</si>
  <si>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</si>
  <si>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</si>
  <si>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</si>
  <si>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</si>
  <si>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</si>
  <si>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</si>
  <si>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</si>
  <si>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</si>
  <si>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</si>
  <si>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</si>
  <si>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</si>
  <si>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</si>
  <si>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</si>
  <si>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</si>
  <si>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</si>
  <si>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</si>
  <si>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</si>
  <si>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</si>
  <si>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</si>
  <si>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</si>
  <si>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</si>
  <si>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</si>
  <si>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</si>
  <si>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</si>
  <si>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</si>
  <si>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</si>
  <si>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</si>
  <si>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</si>
  <si>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</si>
  <si>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</si>
  <si>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</si>
  <si>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</si>
  <si>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</si>
  <si>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</si>
  <si>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</si>
  <si>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</si>
  <si>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</si>
  <si>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</si>
  <si>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</si>
  <si>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</si>
  <si>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</si>
  <si>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</si>
  <si>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</si>
  <si>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</si>
  <si>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</si>
  <si>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</si>
  <si>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</si>
  <si>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</si>
  <si>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</si>
  <si>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</si>
  <si>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</si>
  <si>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</si>
  <si>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</si>
  <si>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</si>
  <si>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</si>
  <si>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</si>
  <si>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</si>
  <si>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</si>
  <si>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</si>
  <si>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</si>
  <si>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</si>
  <si>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</si>
  <si>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</si>
  <si>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</si>
  <si>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</si>
  <si>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</si>
  <si>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</si>
  <si>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</si>
  <si>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</si>
  <si>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</si>
  <si>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</si>
  <si>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</si>
  <si>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</si>
  <si>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</si>
  <si>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</si>
  <si>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</si>
  <si>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</si>
  <si>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</si>
  <si>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</si>
  <si>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</si>
  <si>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</si>
  <si>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</si>
  <si>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</si>
  <si>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</si>
  <si>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</si>
  <si>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</si>
  <si>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</si>
  <si>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</si>
  <si>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</si>
  <si>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</si>
  <si>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</si>
  <si>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</si>
  <si>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</si>
  <si>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</si>
  <si>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</si>
  <si>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</si>
  <si>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</si>
  <si>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</si>
  <si>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</si>
  <si>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</si>
  <si>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</si>
  <si>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</si>
  <si>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</si>
  <si>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</si>
  <si>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</si>
  <si>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</si>
  <si>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</si>
  <si>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</si>
  <si>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</si>
  <si>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</si>
  <si>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</si>
  <si>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</si>
  <si>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</si>
  <si>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</si>
  <si>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</si>
  <si>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</si>
  <si>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</si>
  <si>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</si>
  <si>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</si>
  <si>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</si>
  <si>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</si>
  <si>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</si>
  <si>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</si>
  <si>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</si>
  <si>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</si>
  <si>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</si>
  <si>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</si>
  <si>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</si>
  <si>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</si>
  <si>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</si>
  <si>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</si>
  <si>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</si>
  <si>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</si>
  <si>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</si>
  <si>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</si>
  <si>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</si>
  <si>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</si>
  <si>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</si>
  <si>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</si>
  <si>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</si>
  <si>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</si>
  <si>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</si>
  <si>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</si>
  <si>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</si>
  <si>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</si>
  <si>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</si>
  <si>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</si>
  <si>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</si>
  <si>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</si>
  <si>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</si>
  <si>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</si>
  <si>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</si>
  <si>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</si>
  <si>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</si>
  <si>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</si>
  <si>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</si>
  <si>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</si>
  <si>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</si>
  <si>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</si>
  <si>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</si>
  <si>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</si>
  <si>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</si>
  <si>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</si>
  <si>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</si>
  <si>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</si>
  <si>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</si>
  <si>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</si>
  <si>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</si>
  <si>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</si>
  <si>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</si>
  <si>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</si>
  <si>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</si>
  <si>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</si>
  <si>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</si>
  <si>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</si>
  <si>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</si>
  <si>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</si>
  <si>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</si>
  <si>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</si>
  <si>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</si>
  <si>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</si>
  <si>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</si>
  <si>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</si>
  <si>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</si>
  <si>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</si>
  <si>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</si>
  <si>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</si>
  <si>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</si>
  <si>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</si>
  <si>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</si>
  <si>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</si>
  <si>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</si>
  <si>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</si>
  <si>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</si>
  <si>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</si>
  <si>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</si>
  <si>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</si>
  <si>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</si>
  <si>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</si>
  <si>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</si>
  <si>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</si>
  <si>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</si>
  <si>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</si>
  <si>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</si>
  <si>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</si>
  <si>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</si>
  <si>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</si>
  <si>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</si>
  <si>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</si>
  <si>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</si>
  <si>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</si>
  <si>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</si>
  <si>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</si>
  <si>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</si>
  <si>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</si>
  <si>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</si>
  <si>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</si>
  <si>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</si>
  <si>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</si>
  <si>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</si>
  <si>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</si>
  <si>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</si>
  <si>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</si>
  <si>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</si>
  <si>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</si>
  <si>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</si>
  <si>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</si>
  <si>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</si>
  <si>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</si>
  <si>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</si>
  <si>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</si>
  <si>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</si>
  <si>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</si>
  <si>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</si>
  <si>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</si>
  <si>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</si>
  <si>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</si>
  <si>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</si>
  <si>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</si>
  <si>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</si>
  <si>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</si>
  <si>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</si>
  <si>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</si>
  <si>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</si>
  <si>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</si>
  <si>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</si>
  <si>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</si>
  <si>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</si>
  <si>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</si>
  <si>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</si>
  <si>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</si>
  <si>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</si>
  <si>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</si>
  <si>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</si>
  <si>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</si>
  <si>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</si>
  <si>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</si>
  <si>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</si>
  <si>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</si>
  <si>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</si>
  <si>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</si>
  <si>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</si>
  <si>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</si>
  <si>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</si>
  <si>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</si>
  <si>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</si>
  <si>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</si>
  <si>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</si>
  <si>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</si>
  <si>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</si>
  <si>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</si>
  <si>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</si>
  <si>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</si>
  <si>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</si>
  <si>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</si>
  <si>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</si>
  <si>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</si>
  <si>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</si>
  <si>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</si>
  <si>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</si>
  <si>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</si>
  <si>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</si>
  <si>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</si>
  <si>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</si>
  <si>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</si>
  <si>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</si>
  <si>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</si>
  <si>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</si>
  <si>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</si>
  <si>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</si>
  <si>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</si>
  <si>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</si>
  <si>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</si>
  <si>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</si>
  <si>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</si>
  <si>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</si>
  <si>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</si>
  <si>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</si>
  <si>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</si>
  <si>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</si>
  <si>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</si>
  <si>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</si>
  <si>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</si>
  <si>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</si>
  <si>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</si>
  <si>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</si>
  <si>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</si>
  <si>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</si>
  <si>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</si>
  <si>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</si>
  <si>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</si>
  <si>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</si>
  <si>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</si>
  <si>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</si>
  <si>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</si>
  <si>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</si>
  <si>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</si>
  <si>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</si>
  <si>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</si>
  <si>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</si>
  <si>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</si>
  <si>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</si>
  <si>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</si>
  <si>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</si>
  <si>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</si>
  <si>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</si>
  <si>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</si>
  <si>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</si>
  <si>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</si>
  <si>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</si>
  <si>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</si>
  <si>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</si>
  <si>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</si>
  <si>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</si>
  <si>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</si>
  <si>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</si>
  <si>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</si>
  <si>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</si>
  <si>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</si>
  <si>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</si>
  <si>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</si>
  <si>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</si>
  <si>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</si>
  <si>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</si>
  <si>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</si>
  <si>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</si>
  <si>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</si>
  <si>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</si>
  <si>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</si>
  <si>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</si>
  <si>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</si>
  <si>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</si>
  <si>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</si>
  <si>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</si>
  <si>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</si>
  <si>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</si>
  <si>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</si>
  <si>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</si>
  <si>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</si>
  <si>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</si>
  <si>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</si>
  <si>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</si>
  <si>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</si>
  <si>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</si>
  <si>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</si>
  <si>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</si>
  <si>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</si>
  <si>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</si>
  <si>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</si>
  <si>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</si>
  <si>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</si>
  <si>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</si>
  <si>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</si>
  <si>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</si>
  <si>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</si>
  <si>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</si>
  <si>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</si>
  <si>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</si>
  <si>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</si>
  <si>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</si>
  <si>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</si>
  <si>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</si>
  <si>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</si>
  <si>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</si>
  <si>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</si>
  <si>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</si>
  <si>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</si>
  <si>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</si>
  <si>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</si>
  <si>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</si>
  <si>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</si>
  <si>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</si>
  <si>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</si>
  <si>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</si>
  <si>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</si>
  <si>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</si>
  <si>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</si>
  <si>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</si>
  <si>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</si>
  <si>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</si>
  <si>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</si>
  <si>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</si>
  <si>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</si>
  <si>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</si>
  <si>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</si>
  <si>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</si>
  <si>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</si>
  <si>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</si>
  <si>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</si>
  <si>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</si>
  <si>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</si>
  <si>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</si>
  <si>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</si>
  <si>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</si>
  <si>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</si>
  <si>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</si>
  <si>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</si>
  <si>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</si>
  <si>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</si>
  <si>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</si>
  <si>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</si>
  <si>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</si>
  <si>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</si>
  <si>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</si>
  <si>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</si>
  <si>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</si>
  <si>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</si>
  <si>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</si>
  <si>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</si>
  <si>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</si>
  <si>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</si>
  <si>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</si>
  <si>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</si>
  <si>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</si>
  <si>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</si>
  <si>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</si>
  <si>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</si>
  <si>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</si>
  <si>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</si>
  <si>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</si>
  <si>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</si>
  <si>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</si>
  <si>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</si>
  <si>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</si>
  <si>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</si>
  <si>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</si>
  <si>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</si>
  <si>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</si>
  <si>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</si>
  <si>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</si>
  <si>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</si>
  <si>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</si>
  <si>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</si>
  <si>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</si>
  <si>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</si>
  <si>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</si>
  <si>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</si>
  <si>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</si>
  <si>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</si>
  <si>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</si>
  <si>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</si>
  <si>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</si>
  <si>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</si>
  <si>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</si>
  <si>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</si>
  <si>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</si>
  <si>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</si>
  <si>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</si>
  <si>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</si>
  <si>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</si>
  <si>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</si>
  <si>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</si>
  <si>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</si>
  <si>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</si>
  <si>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</si>
  <si>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</si>
  <si>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</si>
  <si>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</si>
  <si>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</si>
  <si>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</si>
  <si>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</si>
  <si>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</si>
  <si>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</si>
  <si>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</si>
  <si>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</si>
  <si>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</si>
  <si>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</si>
  <si>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</si>
  <si>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</si>
  <si>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</si>
  <si>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</si>
  <si>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</si>
  <si>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</si>
  <si>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</si>
  <si>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</si>
  <si>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</si>
  <si>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</si>
  <si>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</si>
  <si>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</si>
  <si>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</si>
  <si>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</si>
  <si>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</si>
  <si>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</si>
  <si>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</si>
  <si>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</si>
  <si>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</si>
  <si>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</si>
  <si>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</si>
  <si>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</si>
  <si>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</si>
  <si>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</si>
  <si>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</si>
  <si>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</si>
  <si>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</si>
  <si>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</si>
  <si>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</si>
  <si>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</si>
  <si>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</si>
  <si>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</si>
  <si>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</si>
  <si>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</si>
  <si>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</si>
  <si>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</si>
  <si>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</si>
  <si>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</si>
  <si>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</si>
  <si>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</si>
  <si>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</si>
  <si>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</si>
  <si>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</si>
  <si>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</si>
  <si>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</si>
  <si>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</si>
  <si>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</si>
  <si>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</si>
  <si>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</si>
  <si>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</si>
  <si>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</si>
  <si>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</si>
  <si>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</si>
  <si>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</si>
  <si>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</si>
  <si>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</si>
  <si>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</si>
  <si>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</si>
  <si>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</si>
  <si>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</si>
  <si>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</si>
  <si>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</si>
  <si>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</si>
  <si>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</si>
  <si>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</si>
  <si>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</si>
  <si>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</si>
  <si>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</si>
  <si>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</si>
  <si>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</si>
  <si>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</si>
  <si>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</si>
  <si>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</si>
  <si>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</si>
  <si>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</si>
  <si>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</si>
  <si>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</si>
  <si>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</si>
  <si>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</si>
  <si>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</si>
  <si>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</si>
  <si>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</si>
  <si>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</si>
  <si>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</si>
  <si>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</si>
  <si>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</si>
  <si>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</si>
  <si>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</si>
  <si>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</si>
  <si>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</si>
  <si>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</si>
  <si>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</si>
  <si>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</si>
  <si>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</si>
  <si>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</si>
  <si>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</si>
  <si>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</si>
  <si>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</si>
  <si>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</si>
  <si>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</si>
  <si>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</si>
  <si>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</si>
  <si>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</si>
  <si>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</si>
  <si>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</si>
  <si>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</si>
  <si>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</si>
  <si>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</si>
  <si>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</si>
  <si>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</si>
  <si>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</si>
  <si>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</si>
  <si>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</si>
  <si>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</si>
  <si>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</si>
  <si>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</si>
  <si>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</si>
  <si>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</si>
  <si>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</si>
  <si>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</si>
  <si>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</si>
  <si>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</si>
  <si>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</si>
  <si>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</si>
  <si>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</si>
  <si>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</si>
  <si>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</si>
  <si>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</si>
  <si>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</si>
  <si>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</si>
  <si>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</si>
  <si>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</si>
  <si>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</si>
  <si>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</si>
  <si>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</si>
  <si>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</si>
  <si>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</si>
  <si>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</si>
  <si>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</si>
  <si>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</si>
  <si>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</si>
  <si>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</si>
  <si>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</si>
  <si>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</si>
  <si>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</si>
  <si>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</si>
  <si>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</si>
  <si>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</si>
  <si>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</si>
  <si>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</si>
  <si>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</si>
  <si>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</si>
  <si>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</si>
  <si>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</si>
  <si>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</si>
  <si>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</si>
  <si>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</si>
  <si>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</si>
  <si>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</si>
  <si>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</si>
  <si>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</si>
  <si>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</si>
  <si>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</si>
  <si>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</si>
  <si>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</si>
  <si>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</si>
  <si>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</si>
  <si>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</si>
  <si>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</si>
  <si>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</si>
  <si>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</si>
  <si>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</si>
  <si>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</si>
  <si>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</si>
  <si>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</si>
  <si>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</si>
  <si>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</si>
  <si>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</si>
  <si>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</si>
  <si>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</si>
  <si>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</si>
  <si>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</si>
  <si>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</si>
  <si>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</si>
  <si>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</si>
  <si>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</si>
  <si>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</si>
  <si>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</si>
  <si>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</si>
  <si>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</si>
  <si>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</si>
  <si>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</si>
  <si>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</si>
  <si>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</si>
  <si>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</si>
  <si>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</si>
  <si>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</si>
  <si>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</si>
  <si>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</si>
  <si>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</si>
  <si>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</si>
  <si>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</si>
  <si>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</si>
  <si>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</si>
  <si>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</si>
  <si>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</si>
  <si>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</si>
  <si>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</si>
  <si>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</si>
  <si>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</si>
  <si>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</si>
  <si>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</si>
  <si>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</si>
  <si>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</si>
  <si>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</si>
  <si>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</si>
  <si>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</si>
  <si>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</si>
  <si>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</si>
  <si>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</si>
  <si>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</si>
  <si>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</si>
  <si>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</si>
  <si>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</si>
  <si>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</si>
  <si>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</si>
  <si>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</si>
  <si>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</si>
  <si>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</si>
  <si>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</si>
  <si>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</si>
  <si>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</si>
  <si>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</si>
  <si>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</si>
  <si>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</si>
  <si>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</si>
  <si>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</si>
  <si>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</si>
  <si>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</si>
  <si>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</si>
  <si>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</si>
  <si>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</si>
  <si>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</si>
  <si>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</si>
  <si>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</si>
  <si>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</si>
  <si>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</si>
  <si>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</si>
  <si>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</si>
  <si>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</si>
  <si>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</si>
  <si>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</si>
  <si>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</si>
  <si>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</si>
  <si>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</si>
  <si>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</si>
  <si>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</si>
  <si>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</si>
  <si>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</si>
  <si>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</si>
  <si>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</si>
  <si>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</si>
  <si>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</si>
  <si>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</si>
  <si>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</si>
  <si>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</si>
  <si>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</si>
  <si>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</si>
  <si>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</si>
  <si>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</si>
  <si>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</si>
  <si>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</si>
  <si>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</si>
  <si>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</si>
  <si>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</si>
  <si>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</si>
  <si>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</si>
  <si>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</si>
  <si>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</si>
  <si>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</si>
  <si>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</si>
  <si>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</si>
  <si>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</si>
  <si>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</si>
  <si>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</si>
  <si>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</si>
  <si>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</si>
  <si>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</si>
  <si>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</si>
  <si>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</si>
  <si>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</si>
  <si>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</si>
  <si>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</si>
  <si>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</si>
  <si>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</si>
  <si>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</si>
  <si>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</si>
  <si>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</si>
  <si>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</si>
  <si>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</si>
  <si>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</si>
  <si>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</si>
  <si>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</si>
  <si>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</si>
  <si>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</si>
  <si>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</si>
  <si>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</si>
  <si>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</si>
  <si>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</si>
  <si>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</si>
  <si>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</si>
  <si>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</si>
  <si>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</si>
  <si>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</si>
  <si>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</si>
  <si>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</si>
  <si>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</si>
  <si>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</si>
  <si>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</si>
  <si>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</si>
  <si>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</si>
  <si>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</si>
  <si>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</si>
  <si>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</si>
  <si>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</si>
  <si>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</si>
  <si>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</si>
  <si>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</si>
  <si>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</si>
  <si>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</si>
  <si>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</si>
  <si>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</si>
  <si>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</si>
  <si>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</si>
  <si>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</si>
  <si>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</si>
  <si>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</si>
  <si>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</si>
  <si>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</si>
  <si>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</si>
  <si>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</si>
  <si>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</si>
  <si>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</si>
  <si>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</si>
  <si>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</si>
  <si>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</si>
  <si>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</si>
  <si>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</si>
  <si>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</si>
  <si>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</si>
  <si>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</si>
  <si>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</si>
  <si>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</si>
  <si>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</si>
  <si>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</si>
  <si>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</si>
  <si>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</si>
  <si>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</si>
  <si>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</si>
  <si>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</si>
  <si>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</si>
  <si>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</si>
  <si>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</si>
  <si>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</si>
  <si>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</si>
  <si>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</si>
  <si>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</si>
  <si>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</si>
  <si>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</si>
  <si>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</si>
  <si>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</si>
  <si>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</si>
  <si>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</si>
  <si>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</si>
  <si>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</si>
  <si>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</si>
  <si>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</si>
  <si>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</si>
  <si>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</si>
  <si>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</si>
  <si>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</si>
  <si>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</si>
  <si>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</si>
  <si>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</si>
  <si>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</si>
  <si>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</si>
  <si>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</si>
  <si>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</si>
  <si>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</si>
  <si>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</si>
  <si>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</si>
  <si>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</si>
  <si>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</si>
  <si>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</si>
  <si>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</si>
  <si>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</si>
  <si>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</si>
  <si>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</si>
  <si>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</si>
  <si>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</si>
  <si>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</si>
  <si>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</si>
  <si>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</si>
  <si>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</si>
  <si>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</si>
  <si>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</si>
  <si>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</si>
  <si>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</si>
  <si>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</si>
  <si>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</si>
  <si>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</si>
  <si>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</si>
  <si>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</si>
  <si>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</si>
  <si>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</si>
  <si>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</si>
  <si>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</si>
  <si>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</si>
  <si>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</si>
  <si>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</si>
  <si>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</si>
  <si>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</si>
  <si>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</si>
  <si>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</si>
  <si>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</si>
  <si>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</si>
  <si>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</si>
  <si>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</si>
  <si>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</si>
  <si>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</si>
  <si>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</si>
  <si>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</si>
  <si>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</si>
  <si>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</si>
  <si>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</si>
  <si>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</si>
  <si>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</si>
  <si>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</si>
  <si>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</si>
  <si>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</si>
  <si>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</si>
  <si>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</si>
  <si>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</si>
  <si>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</si>
  <si>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</si>
  <si>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</si>
  <si>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</si>
  <si>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</si>
  <si>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</si>
  <si>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</si>
  <si>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</si>
  <si>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</si>
  <si>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</si>
  <si>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</si>
  <si>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</si>
  <si>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</si>
  <si>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</si>
  <si>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</si>
  <si>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</si>
  <si>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</si>
  <si>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</si>
  <si>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</si>
  <si>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</si>
  <si>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</si>
  <si>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</si>
  <si>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</si>
  <si>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</si>
  <si>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</si>
  <si>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</si>
  <si>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</si>
  <si>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</si>
  <si>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</si>
  <si>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</si>
  <si>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</si>
  <si>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</si>
  <si>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</si>
  <si>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</si>
  <si>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</si>
  <si>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</si>
  <si>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</si>
  <si>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</si>
  <si>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</si>
  <si>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</si>
  <si>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</si>
  <si>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</si>
  <si>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</si>
  <si>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</si>
  <si>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</si>
  <si>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</si>
  <si>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</si>
  <si>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</si>
  <si>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</si>
  <si>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</si>
  <si>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</si>
  <si>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</si>
  <si>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</si>
  <si>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</si>
  <si>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</si>
  <si>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</si>
  <si>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</si>
  <si>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</si>
  <si>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</si>
  <si>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</si>
  <si>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</si>
  <si>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</si>
  <si>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</si>
  <si>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</si>
  <si>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</si>
  <si>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</si>
  <si>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</si>
  <si>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</si>
  <si>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</si>
  <si>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</si>
  <si>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</si>
  <si>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</si>
  <si>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</si>
  <si>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</si>
  <si>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</si>
  <si>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</si>
  <si>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</si>
  <si>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</si>
  <si>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</si>
  <si>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</si>
  <si>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</si>
  <si>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</si>
  <si>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</si>
  <si>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</si>
  <si>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</si>
  <si>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</si>
  <si>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</si>
  <si>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</si>
  <si>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</si>
  <si>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</si>
  <si>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</si>
  <si>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</si>
  <si>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</si>
  <si>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</si>
  <si>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</si>
  <si>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</si>
  <si>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</si>
  <si>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</si>
  <si>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</si>
  <si>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</si>
  <si>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</si>
  <si>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</si>
  <si>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</si>
  <si>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</si>
  <si>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</si>
  <si>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</si>
  <si>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</si>
  <si>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</si>
  <si>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</si>
  <si>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</si>
  <si>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</si>
  <si>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</si>
  <si>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</si>
  <si>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</si>
  <si>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</si>
  <si>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</si>
  <si>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</si>
  <si>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</si>
  <si>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</si>
  <si>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</si>
  <si>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</si>
  <si>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</si>
  <si>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</si>
  <si>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</si>
  <si>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</si>
  <si>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</si>
  <si>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</si>
  <si>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</si>
  <si>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</si>
  <si>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</si>
  <si>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</si>
  <si>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</si>
  <si>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</si>
  <si>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</si>
  <si>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</si>
  <si>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</si>
  <si>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</si>
  <si>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</si>
  <si>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</si>
  <si>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</si>
  <si>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</si>
  <si>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</si>
  <si>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</si>
  <si>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</si>
  <si>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</si>
  <si>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</si>
  <si>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</si>
  <si>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</si>
  <si>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</si>
  <si>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</si>
  <si>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</si>
  <si>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</si>
  <si>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</si>
  <si>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</si>
  <si>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</si>
  <si>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</si>
  <si>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</si>
  <si>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</si>
  <si>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</si>
  <si>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</si>
  <si>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</si>
  <si>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</si>
  <si>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</si>
  <si>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</si>
  <si>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</si>
  <si>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</si>
  <si>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</si>
  <si>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</si>
  <si>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</si>
  <si>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</si>
  <si>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</si>
  <si>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</si>
  <si>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</si>
  <si>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</si>
  <si>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</si>
  <si>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</si>
  <si>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</si>
  <si>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</si>
  <si>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</si>
  <si>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</si>
  <si>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</si>
  <si>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</si>
  <si>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</si>
  <si>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</si>
  <si>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</si>
  <si>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</si>
  <si>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</si>
  <si>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</si>
  <si>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</si>
  <si>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</si>
  <si>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</si>
  <si>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</si>
  <si>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</si>
  <si>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</si>
  <si>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</si>
  <si>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</si>
  <si>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</si>
  <si>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</si>
  <si>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</si>
  <si>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</si>
  <si>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</si>
  <si>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</si>
  <si>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</si>
  <si>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</si>
  <si>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</si>
  <si>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</si>
  <si>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</si>
  <si>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</si>
  <si>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</si>
  <si>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</si>
  <si>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</si>
  <si>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</si>
  <si>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</si>
  <si>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</si>
  <si>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</si>
  <si>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</si>
  <si>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</si>
  <si>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</si>
  <si>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</si>
  <si>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</si>
  <si>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</si>
  <si>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</si>
  <si>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</si>
  <si>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</si>
  <si>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</si>
  <si>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</si>
  <si>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</si>
  <si>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</si>
  <si>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</si>
  <si>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</si>
  <si>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</si>
  <si>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</si>
  <si>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</si>
  <si>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</si>
  <si>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</si>
  <si>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</si>
  <si>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</si>
  <si>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</si>
  <si>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</si>
  <si>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</si>
  <si>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</si>
  <si>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</si>
  <si>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</si>
  <si>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</si>
  <si>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</si>
  <si>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</si>
  <si>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</si>
  <si>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</si>
  <si>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</si>
  <si>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</si>
  <si>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</si>
  <si>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</si>
  <si>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</si>
  <si>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</si>
  <si>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</si>
  <si>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</si>
  <si>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</si>
  <si>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</si>
  <si>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</si>
  <si>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</si>
  <si>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</si>
  <si>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</si>
  <si>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</si>
  <si>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</si>
  <si>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</si>
  <si>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</si>
  <si>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</si>
  <si>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</si>
  <si>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</si>
  <si>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</si>
  <si>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</si>
  <si>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</si>
  <si>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</si>
  <si>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</si>
  <si>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</si>
  <si>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</si>
  <si>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</si>
  <si>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</si>
  <si>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</si>
  <si>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</si>
  <si>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</si>
  <si>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</si>
  <si>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</si>
  <si>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</si>
  <si>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</si>
  <si>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</si>
  <si>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</si>
  <si>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</si>
  <si>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</si>
  <si>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</si>
  <si>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</si>
  <si>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</si>
  <si>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</si>
  <si>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</si>
  <si>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</si>
  <si>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</si>
  <si>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</si>
  <si>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</si>
  <si>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</si>
  <si>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</si>
  <si>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</si>
  <si>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</si>
  <si>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</si>
  <si>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</si>
  <si>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</si>
  <si>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</si>
  <si>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</si>
  <si>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</si>
  <si>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</si>
  <si>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</si>
  <si>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</si>
  <si>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</si>
  <si>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</si>
  <si>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</si>
  <si>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</si>
  <si>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</si>
  <si>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</si>
  <si>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</si>
  <si>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</si>
  <si>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</si>
  <si>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</si>
  <si>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</si>
  <si>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</si>
  <si>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</si>
  <si>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</si>
  <si>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</si>
  <si>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</si>
  <si>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</si>
  <si>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</si>
  <si>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</si>
  <si>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</si>
  <si>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</si>
  <si>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</si>
  <si>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</si>
  <si>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</si>
  <si>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</si>
  <si>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</si>
  <si>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</si>
  <si>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</si>
  <si>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</si>
  <si>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</si>
  <si>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</si>
  <si>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</si>
  <si>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</si>
  <si>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</si>
  <si>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</si>
  <si>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</si>
  <si>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</si>
  <si>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</si>
  <si>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</si>
  <si>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</si>
  <si>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</si>
  <si>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</si>
  <si>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</si>
  <si>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</si>
  <si>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</si>
  <si>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</si>
  <si>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</si>
  <si>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</si>
  <si>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</si>
  <si>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</si>
  <si>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</si>
  <si>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</si>
  <si>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</si>
  <si>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</si>
  <si>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</si>
  <si>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</si>
  <si>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</si>
  <si>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</si>
  <si>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</si>
  <si>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</si>
  <si>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</si>
  <si>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</si>
  <si>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</si>
  <si>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</si>
  <si>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</si>
  <si>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</si>
  <si>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</si>
  <si>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</si>
  <si>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</si>
  <si>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</si>
  <si>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</si>
  <si>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</si>
  <si>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</si>
  <si>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</si>
  <si>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</si>
  <si>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</si>
  <si>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</si>
  <si>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</si>
  <si>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</si>
  <si>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</si>
  <si>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</si>
  <si>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</si>
  <si>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</si>
  <si>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</si>
  <si>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</si>
  <si>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</si>
  <si>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</si>
  <si>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</si>
  <si>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</si>
  <si>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</si>
  <si>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</si>
  <si>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</si>
  <si>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</si>
  <si>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</si>
  <si>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</si>
  <si>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</si>
  <si>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</si>
  <si>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</si>
  <si>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</si>
  <si>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</si>
  <si>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</si>
  <si>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</si>
  <si>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</si>
  <si>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</si>
  <si>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</si>
  <si>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</si>
  <si>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</si>
  <si>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</si>
  <si>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</si>
  <si>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</si>
  <si>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</si>
  <si>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</si>
  <si>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</si>
  <si>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</si>
  <si>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</si>
  <si>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</si>
  <si>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</si>
  <si>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</si>
  <si>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</si>
  <si>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</si>
  <si>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</si>
  <si>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</si>
  <si>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</si>
  <si>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</si>
  <si>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</si>
  <si>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</si>
  <si>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</si>
  <si>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</si>
  <si>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</si>
  <si>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</si>
  <si>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</si>
  <si>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</si>
  <si>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</si>
  <si>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</si>
  <si>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</si>
  <si>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</si>
  <si>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</si>
  <si>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</si>
  <si>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</si>
  <si>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</si>
  <si>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</si>
  <si>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</si>
  <si>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</si>
  <si>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</si>
  <si>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</si>
  <si>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</si>
  <si>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</si>
  <si>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</si>
  <si>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</si>
  <si>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</si>
  <si>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</si>
  <si>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</si>
  <si>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</si>
  <si>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</si>
  <si>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</si>
  <si>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</si>
  <si>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</si>
  <si>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</si>
  <si>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</si>
  <si>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</si>
  <si>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</si>
  <si>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</si>
  <si>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</si>
  <si>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</si>
  <si>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</si>
  <si>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</si>
  <si>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</si>
  <si>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</si>
  <si>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</si>
  <si>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</si>
  <si>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</si>
  <si>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</si>
  <si>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</si>
  <si>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</si>
  <si>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</si>
  <si>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</si>
  <si>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</si>
  <si>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</si>
  <si>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</si>
  <si>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</si>
  <si>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</si>
  <si>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</si>
  <si>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</si>
  <si>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</si>
  <si>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</si>
  <si>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</si>
  <si>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</si>
  <si>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</si>
  <si>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</si>
  <si>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</si>
  <si>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</si>
  <si>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</si>
  <si>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</si>
  <si>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</si>
  <si>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</si>
  <si>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</si>
  <si>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</si>
  <si>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</si>
  <si>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</si>
  <si>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</si>
  <si>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</si>
  <si>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</si>
  <si>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</si>
  <si>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</si>
  <si>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</si>
  <si>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</si>
  <si>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</si>
  <si>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</si>
  <si>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</si>
  <si>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</si>
  <si>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</si>
  <si>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</si>
  <si>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</si>
  <si>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</si>
  <si>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</si>
  <si>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</si>
  <si>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</si>
  <si>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</si>
  <si>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</si>
  <si>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</si>
  <si>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</si>
  <si>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</si>
  <si>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</si>
  <si>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</si>
  <si>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</si>
  <si>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</si>
  <si>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</si>
  <si>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</si>
  <si>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</si>
  <si>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</si>
  <si>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</si>
  <si>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</si>
  <si>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</si>
  <si>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</si>
  <si>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</si>
  <si>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</si>
  <si>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</si>
  <si>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</si>
  <si>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</si>
  <si>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</si>
  <si>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</si>
  <si>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</si>
  <si>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</si>
  <si>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</si>
  <si>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</si>
  <si>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</si>
  <si>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</si>
  <si>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</si>
  <si>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</si>
  <si>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</si>
  <si>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</si>
  <si>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</si>
  <si>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</si>
  <si>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</si>
  <si>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</si>
  <si>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</si>
  <si>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</si>
  <si>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</si>
  <si>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</si>
  <si>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</si>
  <si>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</si>
  <si>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</si>
  <si>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</si>
  <si>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</si>
  <si>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</si>
  <si>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</si>
  <si>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</si>
  <si>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</si>
  <si>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</si>
  <si>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</si>
  <si>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</si>
  <si>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</si>
  <si>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</si>
  <si>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</si>
  <si>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</si>
  <si>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</si>
  <si>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</si>
  <si>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</si>
  <si>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</si>
  <si>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</si>
  <si>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</si>
  <si>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</si>
  <si>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</si>
  <si>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</si>
  <si>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</si>
  <si>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</si>
  <si>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</si>
  <si>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</si>
  <si>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</si>
  <si>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</si>
  <si>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</si>
  <si>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</si>
  <si>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</si>
  <si>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</si>
  <si>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</si>
  <si>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</si>
  <si>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</si>
  <si>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</si>
  <si>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</si>
  <si>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</si>
  <si>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</si>
  <si>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</si>
  <si>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</si>
  <si>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</si>
  <si>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</si>
  <si>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</si>
  <si>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</si>
  <si>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</si>
  <si>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</si>
  <si>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</si>
  <si>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</si>
  <si>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</si>
  <si>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</si>
  <si>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</si>
  <si>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</si>
  <si>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</si>
  <si>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</si>
  <si>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</si>
  <si>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</si>
  <si>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</si>
  <si>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</si>
  <si>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</si>
  <si>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</si>
  <si>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</si>
  <si>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</si>
  <si>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</si>
  <si>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</si>
  <si>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</si>
  <si>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</si>
  <si>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</si>
  <si>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</si>
  <si>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</si>
  <si>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</si>
  <si>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</si>
  <si>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</si>
  <si>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</si>
  <si>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</si>
  <si>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</si>
  <si>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</si>
  <si>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</si>
  <si>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</si>
  <si>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</si>
  <si>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</si>
  <si>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</si>
  <si>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</si>
  <si>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</si>
  <si>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</si>
  <si>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</si>
  <si>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</si>
  <si>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</si>
  <si>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</si>
  <si>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</si>
  <si>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</si>
  <si>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</si>
  <si>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</si>
  <si>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</si>
  <si>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</si>
  <si>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</si>
  <si>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</si>
  <si>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</si>
  <si>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</si>
  <si>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</si>
  <si>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</si>
  <si>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</si>
  <si>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</si>
  <si>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</si>
  <si>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</si>
  <si>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</si>
  <si>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</si>
  <si>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</si>
  <si>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</si>
  <si>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</si>
  <si>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</si>
  <si>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</si>
  <si>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</si>
  <si>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</si>
  <si>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</si>
  <si>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</si>
  <si>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</si>
  <si>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</si>
  <si>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</si>
  <si>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</si>
  <si>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</si>
  <si>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</si>
  <si>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</si>
  <si>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</si>
  <si>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</si>
  <si>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</si>
  <si>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</si>
  <si>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</si>
  <si>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</si>
  <si>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</si>
  <si>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</si>
  <si>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</si>
  <si>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</si>
  <si>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</si>
  <si>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</si>
  <si>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</si>
  <si>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</si>
  <si>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</si>
  <si>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</si>
  <si>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</si>
  <si>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</si>
  <si>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</si>
  <si>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</si>
  <si>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</si>
  <si>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</si>
  <si>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</si>
  <si>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</si>
  <si>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</si>
  <si>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</si>
  <si>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</si>
  <si>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</si>
  <si>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</si>
  <si>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</si>
  <si>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</si>
  <si>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</si>
  <si>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</si>
  <si>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</si>
  <si>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</si>
  <si>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</si>
  <si>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</si>
  <si>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</si>
  <si>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</si>
  <si>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</si>
  <si>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</si>
  <si>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</si>
  <si>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</si>
  <si>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</si>
  <si>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</si>
  <si>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</si>
  <si>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</si>
  <si>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</si>
  <si>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</si>
  <si>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</si>
  <si>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</si>
  <si>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</si>
  <si>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地上</t>
  </si>
  <si>
    <t>是</t>
  </si>
  <si>
    <t>自然人</t>
  </si>
  <si>
    <r>
      <t>2</t>
    </r>
    <r>
      <rPr>
        <sz val="10"/>
        <color indexed="8"/>
        <rFont val="宋体"/>
        <family val="3"/>
        <charset val="134"/>
      </rPr>
      <t>层</t>
    </r>
    <r>
      <rPr>
        <sz val="10"/>
        <color indexed="8"/>
        <rFont val="Arial"/>
        <family val="2"/>
      </rPr>
      <t>205</t>
    </r>
    <phoneticPr fontId="3" type="noConversion"/>
  </si>
  <si>
    <t>商业</t>
    <phoneticPr fontId="7" type="noConversion"/>
  </si>
  <si>
    <t>单套模式</t>
  </si>
  <si>
    <t>售价</t>
  </si>
  <si>
    <t>龙湖天街</t>
    <phoneticPr fontId="3" type="noConversion"/>
  </si>
  <si>
    <t>正常</t>
  </si>
  <si>
    <t>报价</t>
  </si>
  <si>
    <t>报价</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</si>
  <si>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</si>
  <si>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</si>
  <si>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</si>
  <si>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t>2层</t>
  </si>
  <si>
    <t>押一</t>
  </si>
  <si>
    <t>成新度</t>
  </si>
  <si>
    <t>收益法 (元)</t>
  </si>
  <si>
    <t>钢混</t>
  </si>
  <si>
    <t>非生产用房</t>
  </si>
  <si>
    <t>否</t>
  </si>
  <si>
    <t>比较法-商业</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</si>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</sst>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7</xdr:col>
      <xdr:colOff>514350</xdr:colOff>
      <xdr:row>25</xdr:row>
      <xdr:rowOff>7071</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5286375" cy="4293321"/>
        </a:xfrm>
        <a:prstGeom prst="rect">
          <a:avLst/>
        </a:prstGeom>
      </xdr:spPr>
    </xdr:pic>
    <xdr:clientData/>
  </xdr:twoCellAnchor>
  <xdr:twoCellAnchor editAs="oneCell">
    <xdr:from>
      <xdr:col>7</xdr:col>
      <xdr:colOff>630022</xdr:colOff>
      <xdr:row>0</xdr:row>
      <xdr:rowOff>0</xdr:rowOff>
    </xdr:from>
    <xdr:to>
      <xdr:col>16</xdr:col>
      <xdr:colOff>160894</xdr:colOff>
      <xdr:row>25</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5430622" y="0"/>
          <a:ext cx="5703072" cy="4438650"/>
        </a:xfrm>
        <a:prstGeom prst="rect">
          <a:avLst/>
        </a:prstGeom>
      </xdr:spPr>
    </xdr:pic>
    <xdr:clientData/>
  </xdr:twoCellAnchor>
  <xdr:twoCellAnchor editAs="oneCell">
    <xdr:from>
      <xdr:col>0</xdr:col>
      <xdr:colOff>0</xdr:colOff>
      <xdr:row>26</xdr:row>
      <xdr:rowOff>9525</xdr:rowOff>
    </xdr:from>
    <xdr:to>
      <xdr:col>8</xdr:col>
      <xdr:colOff>317358</xdr:colOff>
      <xdr:row>53</xdr:row>
      <xdr:rowOff>132489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67225"/>
          <a:ext cx="5803758" cy="4752114"/>
        </a:xfrm>
        <a:prstGeom prst="rect">
          <a:avLst/>
        </a:prstGeom>
      </xdr:spPr>
    </xdr:pic>
    <xdr:clientData/>
  </xdr:twoCellAnchor>
  <xdr:twoCellAnchor editAs="oneCell">
    <xdr:from>
      <xdr:col>9</xdr:col>
      <xdr:colOff>0</xdr:colOff>
      <xdr:row>26</xdr:row>
      <xdr:rowOff>0</xdr:rowOff>
    </xdr:from>
    <xdr:to>
      <xdr:col>14</xdr:col>
      <xdr:colOff>609095</xdr:colOff>
      <xdr:row>40</xdr:row>
      <xdr:rowOff>113986</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4457700"/>
          <a:ext cx="4038095" cy="2514286"/>
        </a:xfrm>
        <a:prstGeom prst="rect">
          <a:avLst/>
        </a:prstGeom>
      </xdr:spPr>
    </xdr:pic>
    <xdr:clientData/>
  </xdr:twoCellAnchor>
  <xdr:twoCellAnchor editAs="oneCell">
    <xdr:from>
      <xdr:col>9</xdr:col>
      <xdr:colOff>0</xdr:colOff>
      <xdr:row>41</xdr:row>
      <xdr:rowOff>0</xdr:rowOff>
    </xdr:from>
    <xdr:to>
      <xdr:col>14</xdr:col>
      <xdr:colOff>418619</xdr:colOff>
      <xdr:row>54</xdr:row>
      <xdr:rowOff>142579</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7029450"/>
          <a:ext cx="3847619"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估价对象为北京市房地产，为所有。根据《国有土地使用证》[]，估价对象（分摊）出让国有建设用地使用权面积为0平方米，建筑面积为345.92平方米。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估价对象为北京市房地产,属开发建设的，该项目尚在开发建设中。根据《国有土地使用证》[]，估价对象（分摊）出让国有建设用地使用权面积为0平方米，规划建筑面积为345.92平方米。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2024年1月30日</v>
      </c>
    </row>
    <row r="13" spans="1:2" s="1203" customFormat="1">
      <c r="A13" s="1201" t="s">
        <v>529</v>
      </c>
      <c r="B13" s="1202" t="str">
        <f>'预评函-1'!A18</f>
        <v>本次估价的“房地产价值”是指在正常市场情况下，在价值时点2024年1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706</v>
      </c>
    </row>
    <row r="21" spans="1:2" s="1203" customFormat="1">
      <c r="A21" s="1201" t="s">
        <v>537</v>
      </c>
      <c r="B21" s="1202">
        <f ca="1">'预评函-2'!D7</f>
        <v>20422</v>
      </c>
    </row>
    <row r="22" spans="1:2" s="1203" customFormat="1">
      <c r="A22" s="1201" t="s">
        <v>538</v>
      </c>
      <c r="B22" s="1202" t="str">
        <f ca="1">'预评函-2'!D6</f>
        <v>柒佰零陆万元整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706</v>
      </c>
    </row>
    <row r="31" spans="1:2" s="1203" customFormat="1">
      <c r="A31" s="1201" t="s">
        <v>576</v>
      </c>
      <c r="B31" s="1202">
        <f ca="1">'预评函-2'!D15</f>
        <v>20422</v>
      </c>
    </row>
    <row r="32" spans="1:2" s="1203" customFormat="1">
      <c r="A32" s="1201" t="s">
        <v>543</v>
      </c>
      <c r="B32" s="1202" t="str">
        <f ca="1">'预评函-2'!D14</f>
        <v>柒佰零陆万元整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345.92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45321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2.88</v>
      </c>
      <c r="D5" s="3025">
        <f>IF(ISERROR(ROUND(POWER(1+E5,A5-C5)*(POWER(1+E5,C5)-1)/(POWER(1+E5,A5)-1),3)),0,ROUND(POWER(1+E5,A5-C5)*(POWER(1+E5,C5)-1)/(POWER(1+E5,A5)-1),4))</f>
        <v>0.13489999999999999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12.89</v>
      </c>
      <c r="D6" s="3025">
        <f>IF(ISERROR(ROUND(POWER(1+E6,A6-C6)*(POWER(1+E6,C6)-1)/(POWER(1+E6,A6)-1),3)),0,ROUND(POWER(1+E6,A6-C6)*(POWER(1+E6,C6)-1)/(POWER(1+E6,A6)-1),4))</f>
        <v>0.46179999999999999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v>
      </c>
      <c r="D7" s="3025">
        <f>IF(ISERROR(ROUND(POWER(1+E7,A7-C7)*(POWER(1+E7,C7)-1)/(POWER(1+E7,A7)-1),3)),0,ROUND(POWER(1+E7,A7-C7)*(POWER(1+E7,C7)-1)/(POWER(1+E7,A7)-1),4))</f>
        <v>0.77459999999999996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44" sqref="D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5"/>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55161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26.95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345.92</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345.92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345.92</v>
      </c>
      <c r="H5" s="13">
        <f t="shared" ref="H5:AT5" si="0">SUM(H13:H656)</f>
        <v>345.92</v>
      </c>
      <c r="I5" s="13">
        <f t="shared" si="0"/>
        <v>345.92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345.92</v>
      </c>
      <c r="BA5" s="15">
        <f t="shared" si="1"/>
        <v>345.92</v>
      </c>
      <c r="BB5" s="15">
        <f t="shared" si="1"/>
        <v>345.92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3389</v>
      </c>
      <c r="D13" s="1625" t="s">
        <v>3387</v>
      </c>
      <c r="E13" s="13">
        <f>IF($C$3="是",ROUND($A$3*G13/$B$3,2),ROUND($A$3*(G13-AT13)/$B$3,2))</f>
        <v>0</v>
      </c>
      <c r="F13" s="29"/>
      <c r="G13" s="30">
        <f>H13+AC13+AT13</f>
        <v>345.92</v>
      </c>
      <c r="H13" s="17">
        <f>SUMIF(I$12:AB$12,"总值",I13:AB13)</f>
        <v>345.92</v>
      </c>
      <c r="I13" s="1626">
        <v>345.92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2层205</v>
      </c>
      <c r="AY13" s="1349">
        <f>ROUND($AY$6*AZ13/$AZ$5,2)</f>
        <v>0</v>
      </c>
      <c r="AZ13" s="13">
        <f>BA13+BL13</f>
        <v>345.92</v>
      </c>
      <c r="BA13" s="13">
        <f>SUM(BB13:BK13)</f>
        <v>345.92</v>
      </c>
      <c r="BB13" s="13">
        <f>IF($D13="是",I13-J13,0)</f>
        <v>345.92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9"/>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9"/>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0" sqref="D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345.92</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345.92</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345.92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345.92</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0</v>
      </c>
      <c r="E19" s="53">
        <f t="shared" ref="E19:E26" si="1">SUM(F19:G19)</f>
        <v>345.92</v>
      </c>
      <c r="F19" s="2795">
        <f>'数据-基础表'!I5</f>
        <v>345.92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345.92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345.92</v>
      </c>
      <c r="F27" s="1140">
        <f>IF(SUM(F19:F26)=E8,SUM(F19:F26),"地上面积有误")</f>
        <v>345.92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345.92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345.92</v>
      </c>
      <c r="F31" s="677">
        <f>F27+F30</f>
        <v>345.92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X6" activePane="bottomRight" state="frozen"/>
      <selection activeCell="C50" sqref="C50"/>
      <selection pane="topRight" activeCell="C50" sqref="C50"/>
      <selection pane="bottomLeft" activeCell="C50" sqref="C50"/>
      <selection pane="bottomRight" activeCell="AH40" sqref="AH4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55161</v>
      </c>
      <c r="F6" s="64">
        <f>SUMIF(项目基本情况!C$12:I$12,C6,项目基本情况!C$15:I$15)</f>
        <v>26.95</v>
      </c>
      <c r="G6" s="65">
        <f>IF(ISERROR(ROUND(POWER(1+H6,D6-F6)*(POWER(1+H6,F6)-1)/(POWER(1+H6,D6)-1),3)),0,ROUND(POWER(1+H6,D6-F6)*(POWER(1+H6,F6)-1)/(POWER(1+H6,D6)-1),3))</f>
        <v>0.85299999999999998</v>
      </c>
      <c r="H6" s="732">
        <v>0.05</v>
      </c>
      <c r="I6" s="732">
        <v>5.5E-2</v>
      </c>
      <c r="J6" s="66">
        <v>7.0000000000000007E-2</v>
      </c>
      <c r="K6" s="1030">
        <f>SUMIF('数据-汇总表'!C$19:C$33,A6,'数据-汇总表'!E$19:E$33)</f>
        <v>345.92</v>
      </c>
      <c r="L6" s="733">
        <v>4500</v>
      </c>
      <c r="M6" s="67">
        <f t="shared" ref="M6:M14" si="0">ROUND(K6*L6/10000,0)</f>
        <v>156</v>
      </c>
      <c r="N6" s="731">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0.85</v>
      </c>
      <c r="Z6" s="72"/>
      <c r="AA6" s="66"/>
      <c r="AB6" s="66"/>
      <c r="AC6" s="1040"/>
      <c r="AD6" s="73"/>
      <c r="AE6" s="1041">
        <f ca="1">IF(AN6="",0,SUMIF(INDIRECT("'"&amp;AN6&amp;"'"&amp;"!E:E"),$AE$5,INDIRECT("'"&amp;AN6&amp;"'"&amp;"!F:F")))</f>
        <v>26.95</v>
      </c>
      <c r="AF6" s="1348"/>
      <c r="AG6" s="138">
        <f>IF(AF6="",0,AE6-AF6)</f>
        <v>0</v>
      </c>
      <c r="AH6" s="74"/>
      <c r="AI6" s="76">
        <v>365</v>
      </c>
      <c r="AJ6" s="77"/>
      <c r="AK6" s="78">
        <v>0.01</v>
      </c>
      <c r="AL6" s="79">
        <v>1.5E-3</v>
      </c>
      <c r="AM6" s="80">
        <v>0.01</v>
      </c>
      <c r="AN6" s="1715" t="s">
        <v>3403</v>
      </c>
      <c r="AO6" s="52">
        <f ca="1">SUMIF(INDIRECT("'"&amp;AN6&amp;"'"&amp;"!A:A"),"总价",INDIRECT("'"&amp;AN6&amp;"'"&amp;"!B:B"))</f>
        <v>533.35479999999995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345.92</v>
      </c>
      <c r="L16" s="93">
        <f>ROUND(M16*10000/SUM(K6:K14),0)</f>
        <v>4510</v>
      </c>
      <c r="M16" s="93">
        <f>SUM(M6:M14)</f>
        <v>156</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345.92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706</v>
      </c>
      <c r="C5" s="2512">
        <f ca="1">IF(B5=D14,结果表!H102,ROUND(B5*10000/$B$1,0))</f>
        <v>20422</v>
      </c>
      <c r="D5" s="2512" t="e">
        <f ca="1">ROUND(B5*10000/$B$2,0)</f>
        <v>#DIV/0!</v>
      </c>
      <c r="E5" s="2686"/>
      <c r="F5" s="2687"/>
      <c r="G5" s="2687"/>
      <c r="H5" s="2688"/>
      <c r="I5" s="2688"/>
      <c r="J5" s="2688"/>
      <c r="K5" s="2688"/>
    </row>
    <row r="6" spans="1:11" ht="16.5">
      <c r="A6" s="2512" t="s">
        <v>656</v>
      </c>
      <c r="B6" s="2512">
        <f ca="1">SUM(G14:G23)</f>
        <v>706</v>
      </c>
      <c r="C6" s="2512">
        <f ca="1">IF(B6=G14,结果表!H108,ROUND(B6*10000/$B$1,0))</f>
        <v>20422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345.92</v>
      </c>
      <c r="C14" s="2518"/>
      <c r="D14" s="2518">
        <f ca="1">结果表!H118</f>
        <v>706</v>
      </c>
      <c r="E14" s="2518">
        <f ca="1">ROUND(D14*10000/B14,0)</f>
        <v>20409</v>
      </c>
      <c r="F14" s="2518" t="e">
        <f ca="1">ROUND(D14*10000/C14,0)</f>
        <v>#DIV/0!</v>
      </c>
      <c r="G14" s="2518">
        <f ca="1">D14</f>
        <v>706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5" sqref="L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3407</v>
      </c>
      <c r="D4" s="1756" t="s">
        <v>3403</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7</v>
      </c>
      <c r="D14" s="3577">
        <v>3</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4" t="s">
        <v>2131</v>
      </c>
      <c r="F18" s="3565"/>
      <c r="G18" s="3565"/>
      <c r="H18" s="3565"/>
      <c r="I18" s="3565"/>
      <c r="K18" s="302" t="s">
        <v>1289</v>
      </c>
      <c r="L18" s="302">
        <f>IF(C1="",'数据-汇总表'!E3,SUMIF(项目类型,C1,'数据-汇总表'!E17:E26)+SUMIF(项目类型,C1,'数据-汇总表'!I17:I26))</f>
        <v>345.92</v>
      </c>
      <c r="M18" s="302">
        <f>IF(C1="",'数据-汇总表'!E3,SUMIF(项目类型,C1,'数据-汇总表'!E17:E26))</f>
        <v>345.92</v>
      </c>
    </row>
    <row r="19" spans="1:36" ht="15">
      <c r="A19" s="1761" t="s">
        <v>1290</v>
      </c>
      <c r="B19" s="1762" t="s">
        <v>1291</v>
      </c>
      <c r="C19" s="134">
        <f ca="1">SUMIF(INDIRECT("'"&amp;C4&amp;"'"&amp;"!A:A"),结果表!B19,INDIRECT("'"&amp;C4&amp;"'"&amp;"!B:B"))</f>
        <v>780.6377</v>
      </c>
      <c r="D19" s="135">
        <f ca="1">SUMIF(INDIRECT("'"&amp;D4&amp;"'"&amp;"!A:A"),结果表!B19,INDIRECT("'"&amp;D4&amp;"'"&amp;"!B:B"))</f>
        <v>533.35479999999995</v>
      </c>
      <c r="E19" s="1761" t="s">
        <v>1292</v>
      </c>
      <c r="F19" s="1762" t="s">
        <v>1291</v>
      </c>
      <c r="G19" s="136">
        <f ca="1">ROUND(C19*$C$18+D19*$D$18,0)</f>
        <v>706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22567</v>
      </c>
      <c r="D20" s="138">
        <f ca="1">SUMIF(INDIRECT("'"&amp;D4&amp;"'"&amp;"!A:A"),结果表!B20,INDIRECT("'"&amp;D4&amp;"'"&amp;"!B:B"))</f>
        <v>15418</v>
      </c>
      <c r="E20" s="1764"/>
      <c r="F20" s="1026" t="s">
        <v>1295</v>
      </c>
      <c r="G20" s="139">
        <f ca="1">ROUND(C20*$C$18+D20*$D$18,0)</f>
        <v>20422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0.46363677611976128</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20422</v>
      </c>
      <c r="D32" s="1775" t="s">
        <v>3408</v>
      </c>
      <c r="E32" s="129"/>
      <c r="F32" s="129"/>
      <c r="G32" s="129"/>
      <c r="H32" s="129"/>
      <c r="I32" s="129"/>
    </row>
    <row r="33" spans="1:15" ht="15">
      <c r="A33" s="786" t="s">
        <v>1306</v>
      </c>
      <c r="B33" s="1776"/>
      <c r="C33" s="1777" t="s">
        <v>3409</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706</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45321</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706</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706</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37</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37</v>
      </c>
      <c r="E53" s="2334" t="s">
        <v>1354</v>
      </c>
      <c r="F53" s="2554">
        <f>'数据-取费表'!B41</f>
        <v>5.5000000000000007E-2</v>
      </c>
      <c r="G53" s="2555"/>
      <c r="H53" s="2544"/>
      <c r="I53" s="1807"/>
      <c r="J53" s="2523">
        <v>2</v>
      </c>
      <c r="K53" s="3605" t="s">
        <v>1357</v>
      </c>
      <c r="L53" s="3605"/>
      <c r="M53" s="2525">
        <f t="shared" ref="M53:O54" ca="1" si="0">D55</f>
        <v>0</v>
      </c>
      <c r="N53" s="2523" t="str">
        <f t="shared" si="0"/>
        <v>销售额×税（费）率</v>
      </c>
      <c r="O53" s="2526" t="str">
        <f t="shared" si="0"/>
        <v>免征</v>
      </c>
    </row>
    <row r="54" spans="1:35" ht="12" customHeight="1">
      <c r="A54" s="2335" t="s">
        <v>1358</v>
      </c>
      <c r="B54" s="3566" t="s">
        <v>2292</v>
      </c>
      <c r="C54" s="3567"/>
      <c r="D54" s="1087">
        <f ca="1">C68</f>
        <v>37</v>
      </c>
      <c r="E54" s="327" t="s">
        <v>1359</v>
      </c>
      <c r="F54" s="2554">
        <f>'数据-取费表'!B41</f>
        <v>5.5000000000000007E-2</v>
      </c>
      <c r="G54" s="2555"/>
      <c r="H54" s="2556"/>
      <c r="I54" s="1807"/>
      <c r="J54" s="2523">
        <v>3</v>
      </c>
      <c r="K54" s="3605" t="s">
        <v>1360</v>
      </c>
      <c r="L54" s="3605"/>
      <c r="M54" s="2525">
        <f t="shared" ca="1" si="0"/>
        <v>400</v>
      </c>
      <c r="N54" s="2523" t="str">
        <f t="shared" si="0"/>
        <v>增值额×税（费）率</v>
      </c>
      <c r="O54" s="2527" t="str">
        <f t="shared" si="0"/>
        <v>免征</v>
      </c>
    </row>
    <row r="55" spans="1:35" ht="24" customHeight="1">
      <c r="A55" s="3555" t="s">
        <v>1361</v>
      </c>
      <c r="B55" s="3556"/>
      <c r="C55" s="3556"/>
      <c r="D55" s="2324">
        <f ca="1">IF(H55="个人住宅",0,ROUND(D45*I55,0))</f>
        <v>0</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7</v>
      </c>
      <c r="N55" s="2040" t="str">
        <f>E59</f>
        <v>差额计税</v>
      </c>
      <c r="O55" s="2529">
        <f>F59</f>
        <v>0.01</v>
      </c>
    </row>
    <row r="56" spans="1:35" ht="24.75">
      <c r="A56" s="3555" t="s">
        <v>1363</v>
      </c>
      <c r="B56" s="3556"/>
      <c r="C56" s="3556"/>
      <c r="D56" s="2324">
        <f ca="1">IF(H56="个人住宅",D57,D58)</f>
        <v>400</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407</v>
      </c>
      <c r="O57" s="2533"/>
      <c r="P57" s="2690">
        <f ca="1">N57/M49</f>
        <v>0.57648725212464591</v>
      </c>
    </row>
    <row r="58" spans="1:35" ht="24.75">
      <c r="A58" s="2335" t="s">
        <v>1352</v>
      </c>
      <c r="B58" s="3566" t="s">
        <v>1369</v>
      </c>
      <c r="C58" s="3540"/>
      <c r="D58" s="2324">
        <f ca="1">IF(H58="转让取得",C81,C97)</f>
        <v>400</v>
      </c>
      <c r="E58" s="2334" t="s">
        <v>1364</v>
      </c>
      <c r="F58" s="302" t="s">
        <v>28</v>
      </c>
      <c r="G58" s="2555"/>
      <c r="H58" s="2558"/>
      <c r="I58" s="1808"/>
      <c r="J58" s="3605"/>
      <c r="K58" s="3605"/>
      <c r="L58" s="2530" t="s">
        <v>1370</v>
      </c>
      <c r="M58" s="2534"/>
      <c r="N58" s="2535" t="str">
        <f ca="1">NUMBERSTRING(INT(N57*10000),2)&amp;"元整"</f>
        <v>肆佰零柒万元整</v>
      </c>
      <c r="O58" s="2536"/>
    </row>
    <row r="59" spans="1:35" ht="24.75" thickBot="1">
      <c r="A59" s="3608" t="s">
        <v>1371</v>
      </c>
      <c r="B59" s="3609"/>
      <c r="C59" s="3609"/>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299</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贰佰玖拾玖万元整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8644</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672</v>
      </c>
      <c r="D63" s="167"/>
      <c r="E63" s="168"/>
      <c r="F63" s="1808"/>
      <c r="G63" s="1808"/>
      <c r="H63" s="1810"/>
      <c r="I63" s="129"/>
      <c r="J63" s="3630" t="s">
        <v>1379</v>
      </c>
      <c r="K63" s="1332" t="s">
        <v>1380</v>
      </c>
      <c r="L63" s="1332">
        <f ca="1">IF(M49&gt;10000,M49*0.5%,IF(AND(M49&gt;1000,M49&lt;=10000),M49*1%,IF(AND(M49&gt;100,M49&lt;=1000),M49*3%,IF(AND(M49&gt;10,M49&lt;=100),M49*5%,M49*8%))))</f>
        <v>21.18</v>
      </c>
      <c r="M63" s="302">
        <f ca="1">ROUND(L63,1)</f>
        <v>21.2</v>
      </c>
      <c r="N63" s="2543"/>
      <c r="Z63" s="1752"/>
      <c r="AI63" s="1753"/>
    </row>
    <row r="64" spans="1:35" ht="14.25" customHeight="1">
      <c r="A64" s="169" t="s">
        <v>325</v>
      </c>
      <c r="B64" s="170" t="s">
        <v>1381</v>
      </c>
      <c r="C64" s="2565">
        <f ca="1">D45</f>
        <v>706</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4.9419999999999993</v>
      </c>
      <c r="M64" s="302">
        <f t="shared" ref="M64:M65" ca="1" si="1">ROUND(L64,1)</f>
        <v>4.9000000000000004</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3.5300000000000002</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3.5300000000000002</v>
      </c>
      <c r="M66" s="302">
        <f ca="1">IF(L66&gt;0.5,0.5,ROUND(L66,0))</f>
        <v>0.5</v>
      </c>
      <c r="N66" s="2544" t="s">
        <v>1388</v>
      </c>
      <c r="Z66" s="1752"/>
      <c r="AI66" s="1753"/>
    </row>
    <row r="67" spans="1:35" ht="14.25" customHeight="1">
      <c r="A67" s="173" t="s">
        <v>328</v>
      </c>
      <c r="B67" s="174" t="s">
        <v>1389</v>
      </c>
      <c r="C67" s="2568">
        <f ca="1">C63-C66</f>
        <v>672</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2.0150000000000001</v>
      </c>
      <c r="M67" s="302">
        <f ca="1">ROUND(L67*0.9,1)</f>
        <v>1.8</v>
      </c>
      <c r="N67" s="2543"/>
      <c r="Z67" s="1752"/>
      <c r="AI67" s="1753"/>
    </row>
    <row r="68" spans="1:35" ht="14.25" customHeight="1" thickBot="1">
      <c r="A68" s="176" t="s">
        <v>329</v>
      </c>
      <c r="B68" s="177" t="s">
        <v>1391</v>
      </c>
      <c r="C68" s="2569">
        <f ca="1">IF(C67&lt;=0,0,ROUND(C67*D68,0))</f>
        <v>37</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21.18</v>
      </c>
      <c r="M68" s="302">
        <f ca="1">ROUND(L68,1)</f>
        <v>21.2</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53</v>
      </c>
      <c r="N69" s="2545">
        <f ca="1">M69/M49</f>
        <v>7.5070821529745049E-2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672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400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672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400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比较法-商业</v>
      </c>
      <c r="D101" s="2586" t="str">
        <f>D4</f>
        <v>收益法 (元)</v>
      </c>
      <c r="E101" s="3627" t="s">
        <v>1431</v>
      </c>
      <c r="F101" s="3584"/>
      <c r="G101" s="1827" t="s">
        <v>1432</v>
      </c>
      <c r="H101" s="2595">
        <f ca="1">H118</f>
        <v>706</v>
      </c>
      <c r="I101" s="129"/>
    </row>
    <row r="102" spans="1:35" ht="18.75" customHeight="1">
      <c r="A102" s="3586" t="s">
        <v>1433</v>
      </c>
      <c r="B102" s="2584" t="s">
        <v>1432</v>
      </c>
      <c r="C102" s="2585">
        <f ca="1">IF(D32="楼面单价",ROUND(C19,0),C19)</f>
        <v>781</v>
      </c>
      <c r="D102" s="2586">
        <f ca="1">IF(D32="楼面单价",ROUND(D19,0),D19)</f>
        <v>533</v>
      </c>
      <c r="E102" s="3627"/>
      <c r="F102" s="3584"/>
      <c r="G102" s="1827" t="s">
        <v>1434</v>
      </c>
      <c r="H102" s="2555">
        <f ca="1">I118</f>
        <v>20422</v>
      </c>
      <c r="I102" s="129"/>
    </row>
    <row r="103" spans="1:35" ht="42.75" customHeight="1">
      <c r="A103" s="3586"/>
      <c r="B103" s="2584" t="s">
        <v>1434</v>
      </c>
      <c r="C103" s="2587">
        <f ca="1">C20</f>
        <v>22567</v>
      </c>
      <c r="D103" s="2588">
        <f ca="1">D20</f>
        <v>15418</v>
      </c>
      <c r="E103" s="3621" t="s">
        <v>1435</v>
      </c>
      <c r="F103" s="3622"/>
      <c r="G103" s="1828" t="s">
        <v>1436</v>
      </c>
      <c r="H103" s="2595">
        <f>IF(D36="正常操作",H104+H105+H106,H105+H106)</f>
        <v>0</v>
      </c>
      <c r="I103" s="129"/>
    </row>
    <row r="104" spans="1:35" ht="18.75" customHeight="1">
      <c r="A104" s="3586" t="s">
        <v>1437</v>
      </c>
      <c r="B104" s="2589" t="s">
        <v>1432</v>
      </c>
      <c r="C104" s="2590">
        <f ca="1">H118</f>
        <v>706</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20422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706</v>
      </c>
      <c r="I107" s="129"/>
    </row>
    <row r="108" spans="1:35" ht="18.75" customHeight="1">
      <c r="A108" s="129"/>
      <c r="B108" s="129"/>
      <c r="C108" s="129"/>
      <c r="D108" s="129"/>
      <c r="E108" s="3583"/>
      <c r="F108" s="3584"/>
      <c r="G108" s="1827" t="s">
        <v>1434</v>
      </c>
      <c r="H108" s="2555">
        <f ca="1">IF(H107=H101,H102,ROUND(H107*10000/'数据-汇总表'!E3,0))</f>
        <v>20422</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345.92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706</v>
      </c>
      <c r="I118" s="2329">
        <f ca="1">ROUND(IF(D32="楼面单价",C32,H118*10000/B118),0)</f>
        <v>20422</v>
      </c>
    </row>
    <row r="119" spans="1:27" ht="18.75" customHeight="1">
      <c r="A119" s="3554" t="s">
        <v>1452</v>
      </c>
      <c r="B119" s="3554"/>
      <c r="C119" s="3554"/>
      <c r="D119" s="3594" t="str">
        <f>NUMBERSTRING(INT(D118*10000),2)&amp;"元整"</f>
        <v>零元整</v>
      </c>
      <c r="E119" s="3596"/>
      <c r="F119" s="3594" t="str">
        <f>NUMBERSTRING(INT(F118*10000),2)&amp;"元整"</f>
        <v>零元整</v>
      </c>
      <c r="G119" s="3596"/>
      <c r="H119" s="3594" t="str">
        <f ca="1">NUMBERSTRING(INT(H118*10000),2)&amp;"元整"</f>
        <v>柒佰零陆万元整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706</v>
      </c>
      <c r="E122" s="3619"/>
      <c r="F122" s="3619"/>
      <c r="G122" s="3619"/>
      <c r="H122" s="3619"/>
      <c r="I122" s="3620"/>
      <c r="AA122" s="725"/>
    </row>
    <row r="123" spans="1:27" ht="18.75" customHeight="1">
      <c r="A123" s="3554" t="s">
        <v>1452</v>
      </c>
      <c r="B123" s="3554"/>
      <c r="C123" s="3554"/>
      <c r="D123" s="3594" t="str">
        <f ca="1">NUMBERSTRING(INT(D122*10000),2)&amp;"元整"</f>
        <v>柒佰零陆万元整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6042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345.92</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345.92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156</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345.92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35</v>
      </c>
      <c r="D45" s="235">
        <f ca="1">C47</f>
        <v>4.0000000000000001E-3</v>
      </c>
      <c r="E45" s="236" t="s">
        <v>1539</v>
      </c>
      <c r="F45" s="246">
        <f ca="1">F27</f>
        <v>0.2</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235</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200</v>
      </c>
      <c r="D51" s="232"/>
      <c r="E51" s="232"/>
      <c r="F51" s="264"/>
      <c r="G51" s="234" t="s">
        <v>1560</v>
      </c>
    </row>
    <row r="52" spans="1:7" s="208" customFormat="1" ht="16.5" thickBot="1">
      <c r="A52" s="265" t="s">
        <v>1561</v>
      </c>
      <c r="B52" s="266"/>
      <c r="C52" s="267">
        <f ca="1">C31+C51</f>
        <v>209</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209.99250000000001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345.92</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69184</v>
      </c>
      <c r="D19" s="849">
        <f ca="1">D9+D10</f>
        <v>345.92</v>
      </c>
      <c r="E19" s="211">
        <f>'数据-取费表'!B31</f>
        <v>200</v>
      </c>
      <c r="F19" s="231"/>
      <c r="G19" s="1856"/>
    </row>
    <row r="20" spans="1:7" s="214" customFormat="1" ht="13.5" customHeight="1">
      <c r="A20" s="255" t="s">
        <v>1574</v>
      </c>
      <c r="B20" s="210" t="s">
        <v>1575</v>
      </c>
      <c r="C20" s="232">
        <f ca="1">ROUND((C5+C19)*F20,0)</f>
        <v>1384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4904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4856</v>
      </c>
      <c r="D24" s="238"/>
      <c r="E24" s="238"/>
      <c r="F24" s="239"/>
      <c r="G24" s="240" t="s">
        <v>1586</v>
      </c>
    </row>
    <row r="25" spans="1:7" s="214" customFormat="1" ht="24">
      <c r="A25" s="780" t="s">
        <v>1476</v>
      </c>
      <c r="B25" s="215" t="s">
        <v>1587</v>
      </c>
      <c r="C25" s="1128">
        <f ca="1">ROUND(IF('数据-取费表'!B22&lt;=1,C20*F22*'数据-取费表'!B22/2,C20*(POWER((1+F22),'数据-取费表'!B22/2)-1)),0)</f>
        <v>48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14114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14114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97070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1727006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1556640</v>
      </c>
      <c r="D34" s="217"/>
      <c r="E34" s="220"/>
      <c r="F34" s="257"/>
      <c r="G34" s="219"/>
    </row>
    <row r="35" spans="1:7" ht="13.5" customHeight="1">
      <c r="A35" s="780" t="s">
        <v>351</v>
      </c>
      <c r="B35" s="215" t="s">
        <v>1527</v>
      </c>
      <c r="C35" s="220">
        <f ca="1">ROUND(C34*F35,0)</f>
        <v>77832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69184</v>
      </c>
      <c r="D37" s="217">
        <f ca="1">D19</f>
        <v>345.92</v>
      </c>
      <c r="E37" s="249">
        <f>'数据-取费表'!B35</f>
        <v>200</v>
      </c>
      <c r="F37" s="259"/>
      <c r="G37" s="261"/>
    </row>
    <row r="38" spans="1:7" ht="13.5" customHeight="1">
      <c r="A38" s="780" t="s">
        <v>354</v>
      </c>
      <c r="B38" s="215" t="s">
        <v>1533</v>
      </c>
      <c r="C38" s="220">
        <f ca="1">ROUND(C34*F38,0)</f>
        <v>23350</v>
      </c>
      <c r="D38" s="220"/>
      <c r="E38" s="220"/>
      <c r="F38" s="259">
        <f>'数据-取费表'!B36</f>
        <v>1.4999999999999999E-2</v>
      </c>
      <c r="G38" s="219" t="s">
        <v>1528</v>
      </c>
    </row>
    <row r="39" spans="1:7" s="214" customFormat="1" ht="13.5" customHeight="1">
      <c r="A39" s="255" t="s">
        <v>1534</v>
      </c>
      <c r="B39" s="210" t="s">
        <v>1535</v>
      </c>
      <c r="C39" s="232">
        <f ca="1">ROUND(C33*F20,0)</f>
        <v>34540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60774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59582</v>
      </c>
      <c r="D42" s="238"/>
      <c r="E42" s="238"/>
      <c r="F42" s="239"/>
      <c r="G42" s="3634" t="s">
        <v>1591</v>
      </c>
    </row>
    <row r="43" spans="1:7" ht="13.5" customHeight="1">
      <c r="A43" s="780" t="s">
        <v>347</v>
      </c>
      <c r="B43" s="215" t="s">
        <v>1545</v>
      </c>
      <c r="C43" s="238">
        <f ca="1">ROUND(IF('数据-取费表'!B22&lt;=1,C39*F22*'数据-取费表'!B20/2,C39*(POWER((1+F22),'数据-取费表'!B20/2)-1)),0)</f>
        <v>1192</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352309</v>
      </c>
      <c r="D45" s="235">
        <f ca="1">C47</f>
        <v>4.0000000000000001E-3</v>
      </c>
      <c r="E45" s="236" t="s">
        <v>1539</v>
      </c>
      <c r="F45" s="246">
        <f ca="1">F27</f>
        <v>0.2</v>
      </c>
      <c r="G45" s="247" t="s">
        <v>1548</v>
      </c>
    </row>
    <row r="46" spans="1:7" s="214" customFormat="1" ht="13.5" customHeight="1">
      <c r="A46" s="780" t="s">
        <v>346</v>
      </c>
      <c r="B46" s="248" t="s">
        <v>1549</v>
      </c>
      <c r="C46" s="249">
        <f ca="1">ROUND((C33+C39)*F27,0)</f>
        <v>352309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2356300</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2002855</v>
      </c>
      <c r="D51" s="232"/>
      <c r="E51" s="232"/>
      <c r="F51" s="264"/>
      <c r="G51" s="234" t="s">
        <v>1560</v>
      </c>
    </row>
    <row r="52" spans="1:7" s="208" customFormat="1" ht="16.5" thickBot="1">
      <c r="A52" s="265" t="s">
        <v>1561</v>
      </c>
      <c r="B52" s="266"/>
      <c r="C52" s="267">
        <f ca="1">C31+C51</f>
        <v>2099925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62" activeCellId="1" sqref="H44 H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345.92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345.92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345.92</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62" activeCellId="1" sqref="H44 H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26.95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533.35479999999995</v>
      </c>
      <c r="C2" s="1387" t="s">
        <v>879</v>
      </c>
      <c r="D2" s="1471">
        <f ca="1">C40+J29+L46</f>
        <v>5333548</v>
      </c>
      <c r="E2" s="1388" t="s">
        <v>880</v>
      </c>
      <c r="F2" s="1389"/>
      <c r="G2" s="2706"/>
      <c r="H2" s="2695"/>
      <c r="I2" s="2695"/>
      <c r="J2" s="2695"/>
      <c r="K2" s="2696"/>
      <c r="L2" s="2695"/>
      <c r="M2" s="2695"/>
    </row>
    <row r="3" spans="1:37" ht="18" customHeight="1" thickBot="1">
      <c r="A3" s="1390" t="s">
        <v>881</v>
      </c>
      <c r="B3" s="1391">
        <f ca="1">IF(ISERROR(D2/F43),0,ROUND(D2/F43,0))</f>
        <v>15418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341330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340904</v>
      </c>
      <c r="D6" s="155" t="s">
        <v>2106</v>
      </c>
      <c r="E6" s="302" t="s">
        <v>696</v>
      </c>
      <c r="F6" s="303">
        <f ca="1">INDIRECT("'数据-取费表'!u"&amp;$G$1)</f>
        <v>3</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345.92</v>
      </c>
      <c r="G7" s="1384"/>
      <c r="H7" s="304"/>
      <c r="I7" s="3640"/>
      <c r="J7" s="306"/>
      <c r="K7" s="307"/>
      <c r="L7" s="302" t="s">
        <v>697</v>
      </c>
      <c r="M7" s="303">
        <f ca="1">F7</f>
        <v>345.92</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426</v>
      </c>
      <c r="D10" s="1366" t="s">
        <v>2116</v>
      </c>
      <c r="E10" s="313" t="s">
        <v>701</v>
      </c>
      <c r="F10" s="1116" t="s">
        <v>3401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2002855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1556640</v>
      </c>
      <c r="D14" s="1345" t="s">
        <v>708</v>
      </c>
      <c r="E14" s="1342"/>
      <c r="F14" s="319"/>
      <c r="G14" s="1384"/>
      <c r="H14" s="982" t="s">
        <v>398</v>
      </c>
      <c r="I14" s="302" t="s">
        <v>709</v>
      </c>
      <c r="J14" s="21">
        <f ca="1">C29</f>
        <v>2356300</v>
      </c>
      <c r="K14" s="12"/>
      <c r="L14" s="807"/>
      <c r="M14" s="808"/>
    </row>
    <row r="15" spans="1:37" s="1397" customFormat="1" ht="18" customHeight="1" thickBot="1">
      <c r="A15" s="982" t="s">
        <v>399</v>
      </c>
      <c r="B15" s="302" t="s">
        <v>710</v>
      </c>
      <c r="C15" s="21">
        <f ca="1">ROUND(C14*F15,0)</f>
        <v>77832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23563</v>
      </c>
      <c r="K16" s="1087" t="s">
        <v>715</v>
      </c>
      <c r="L16" s="1088"/>
      <c r="M16" s="1072"/>
    </row>
    <row r="17" spans="1:37" s="1397" customFormat="1" ht="18" customHeight="1">
      <c r="A17" s="982" t="s">
        <v>681</v>
      </c>
      <c r="B17" s="302" t="s">
        <v>716</v>
      </c>
      <c r="C17" s="21">
        <f ca="1">ROUND(F17*(F43+INDIRECT("'数据-取费表'!S"&amp;$G$1)),0)</f>
        <v>69184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23350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1727006</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34540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60774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-23563</v>
      </c>
      <c r="K25" s="1095" t="s">
        <v>753</v>
      </c>
      <c r="L25" s="1096"/>
      <c r="M25" s="1097"/>
    </row>
    <row r="26" spans="1:37" ht="18" customHeight="1">
      <c r="A26" s="982" t="s">
        <v>397</v>
      </c>
      <c r="B26" s="302" t="s">
        <v>754</v>
      </c>
      <c r="C26" s="21">
        <f ca="1">ROUND((C19+C20)*F26,0)</f>
        <v>352309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2356300</v>
      </c>
      <c r="D29" s="1092"/>
      <c r="E29" s="1090"/>
      <c r="F29" s="1093"/>
      <c r="G29" s="1396"/>
      <c r="H29" s="334" t="s">
        <v>396</v>
      </c>
      <c r="I29" s="335" t="s">
        <v>768</v>
      </c>
      <c r="J29" s="336">
        <f ca="1">ROUND(J26/(1+F40)^F41,0)</f>
        <v>0</v>
      </c>
      <c r="K29" s="337" t="s">
        <v>769</v>
      </c>
      <c r="L29" s="338"/>
      <c r="M29" s="339">
        <f ca="1">INDIRECT("'数据-取费表'!k"&amp;$G$1)</f>
        <v>345.92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52707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22727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23563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3004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3413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288623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5199323</v>
      </c>
      <c r="D40" s="324" t="s">
        <v>758</v>
      </c>
      <c r="E40" s="302" t="s">
        <v>759</v>
      </c>
      <c r="F40" s="312">
        <f ca="1">INDIRECT("'数据-取费表'!I"&amp;$G$1)</f>
        <v>5.5E-2</v>
      </c>
      <c r="G40" s="1384"/>
      <c r="H40" s="1461">
        <f ca="1">C39/C5</f>
        <v>0.84558345296340787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26.95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15030</v>
      </c>
      <c r="D43" s="337" t="s">
        <v>777</v>
      </c>
      <c r="E43" s="338" t="s">
        <v>778</v>
      </c>
      <c r="F43" s="339">
        <f ca="1">INDIRECT("'数据-取费表'!k"&amp;$G$1)</f>
        <v>345.92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-556.82489999999996</v>
      </c>
      <c r="D45" s="3432" t="s">
        <v>3357</v>
      </c>
      <c r="E45" s="1400"/>
      <c r="F45" s="1400"/>
      <c r="O45" s="1403" t="s">
        <v>808</v>
      </c>
      <c r="P45" s="1461"/>
      <c r="Q45" s="1461"/>
      <c r="R45" s="1461"/>
    </row>
    <row r="46" spans="1:18" s="1384" customFormat="1" ht="13.5" thickBot="1">
      <c r="A46" s="1404" t="s">
        <v>809</v>
      </c>
      <c r="C46" s="1405">
        <f ca="1">ROUND(C45,0)</f>
        <v>-557</v>
      </c>
      <c r="D46" s="1406" t="str">
        <f>C2</f>
        <v>万元</v>
      </c>
      <c r="I46" s="1407" t="s">
        <v>810</v>
      </c>
      <c r="J46" s="1408"/>
      <c r="K46" s="1409"/>
      <c r="L46" s="1410">
        <f ca="1">IF(M47="住宅",0,IF(L48&gt;J51,L60,J60))</f>
        <v>134225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5199323</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26.95</v>
      </c>
      <c r="O48" s="1418" t="s">
        <v>404</v>
      </c>
      <c r="P48" s="1419" t="s">
        <v>821</v>
      </c>
      <c r="Q48" s="1420">
        <f ca="1">J60</f>
        <v>134225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2356300</v>
      </c>
      <c r="R49" s="1420" t="s">
        <v>818</v>
      </c>
    </row>
    <row r="50" spans="1:18" s="1384" customFormat="1" ht="13.5" thickBot="1">
      <c r="A50" s="976"/>
      <c r="B50" s="979"/>
      <c r="C50" s="980"/>
      <c r="D50" s="953"/>
      <c r="E50" s="1056" t="s">
        <v>697</v>
      </c>
      <c r="F50" s="1057">
        <f ca="1">F7</f>
        <v>345.92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2709602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26.95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26.95</v>
      </c>
      <c r="K53" s="3637" t="s">
        <v>837</v>
      </c>
      <c r="L53" s="3638"/>
      <c r="O53" s="1418" t="s">
        <v>409</v>
      </c>
      <c r="P53" s="1419" t="s">
        <v>838</v>
      </c>
      <c r="Q53" s="1420">
        <f ca="1">Q47+Q48</f>
        <v>5333548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2002855</v>
      </c>
      <c r="D56" s="1447"/>
      <c r="E56" s="1448"/>
      <c r="F56" s="1440"/>
      <c r="I56" s="1449" t="s">
        <v>842</v>
      </c>
      <c r="J56" s="1450" t="s">
        <v>3406</v>
      </c>
      <c r="K56" s="1421" t="s">
        <v>843</v>
      </c>
      <c r="L56" s="1424" t="str">
        <f ca="1">IF(L48&lt;J51,"——",L48-J51)</f>
        <v>——</v>
      </c>
      <c r="O56" s="1418" t="s">
        <v>403</v>
      </c>
      <c r="P56" s="1419" t="s">
        <v>817</v>
      </c>
      <c r="Q56" s="1420">
        <f ca="1">C40+J29</f>
        <v>5199323</v>
      </c>
      <c r="R56" s="1420" t="s">
        <v>818</v>
      </c>
    </row>
    <row r="57" spans="1:18" s="1384" customFormat="1" ht="24.75" thickBot="1">
      <c r="A57" s="1451"/>
      <c r="B57" s="950" t="s">
        <v>767</v>
      </c>
      <c r="C57" s="238">
        <f ca="1">C29</f>
        <v>2356300</v>
      </c>
      <c r="D57" s="1452"/>
      <c r="E57" s="1453"/>
      <c r="F57" s="1454"/>
      <c r="I57" s="1455" t="s">
        <v>844</v>
      </c>
      <c r="J57" s="1456">
        <f ca="1">IF(OR(M47="住宅",J51&lt;L48,J56="是"),"——",J51-L48)</f>
        <v>23.05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26567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942520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134225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5199323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3004</v>
      </c>
      <c r="D65" s="964" t="s">
        <v>743</v>
      </c>
      <c r="E65" s="950" t="s">
        <v>744</v>
      </c>
      <c r="F65" s="330">
        <f t="shared" ca="1" si="0"/>
        <v>1.5E-3</v>
      </c>
      <c r="I65" s="1462" t="s">
        <v>867</v>
      </c>
      <c r="J65" s="1463">
        <v>40</v>
      </c>
      <c r="K65" s="1463">
        <v>30</v>
      </c>
      <c r="L65" s="1463">
        <v>50</v>
      </c>
      <c r="M65" s="1465">
        <v>0.02</v>
      </c>
      <c r="O65" s="1418" t="s">
        <v>403</v>
      </c>
      <c r="P65" s="1419" t="s">
        <v>868</v>
      </c>
      <c r="Q65" s="1420">
        <f ca="1">C40+J29</f>
        <v>5199323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-26567</v>
      </c>
      <c r="D67" s="963" t="s">
        <v>753</v>
      </c>
      <c r="E67" s="968"/>
      <c r="F67" s="969"/>
      <c r="O67" s="1428" t="s">
        <v>405</v>
      </c>
      <c r="P67" s="1419" t="s">
        <v>850</v>
      </c>
      <c r="Q67" s="1466">
        <f ca="1">L51</f>
        <v>2709602</v>
      </c>
      <c r="R67" s="1420" t="s">
        <v>870</v>
      </c>
    </row>
    <row r="68" spans="1:18" s="1384" customFormat="1" ht="16.5" thickBot="1">
      <c r="A68" s="947" t="s">
        <v>395</v>
      </c>
      <c r="B68" s="948" t="s">
        <v>774</v>
      </c>
      <c r="C68" s="301">
        <f ca="1">ROUND(C67*(1-((1+F70)/(1+F68))^F69)/(F68-F70),0)</f>
        <v>-368926</v>
      </c>
      <c r="D68" s="965" t="s">
        <v>758</v>
      </c>
      <c r="E68" s="950" t="s">
        <v>759</v>
      </c>
      <c r="F68" s="312">
        <f ca="1">F40</f>
        <v>5.5E-2</v>
      </c>
      <c r="O68" s="1428" t="s">
        <v>406</v>
      </c>
      <c r="P68" s="1467" t="s">
        <v>871</v>
      </c>
      <c r="Q68" s="1420">
        <f ca="1">ROUND(Q69-Q70*Q71,0)</f>
        <v>148423</v>
      </c>
      <c r="R68" s="1420" t="s">
        <v>414</v>
      </c>
    </row>
    <row r="69" spans="1:18" s="1384" customFormat="1" ht="13.5" thickBot="1">
      <c r="A69" s="951"/>
      <c r="B69" s="952"/>
      <c r="C69" s="306"/>
      <c r="D69" s="970" t="s">
        <v>762</v>
      </c>
      <c r="E69" s="950" t="s">
        <v>763</v>
      </c>
      <c r="F69" s="333">
        <f ca="1">F41</f>
        <v>26.95</v>
      </c>
      <c r="O69" s="1428" t="s">
        <v>411</v>
      </c>
      <c r="P69" s="1467" t="s">
        <v>872</v>
      </c>
      <c r="Q69" s="1420">
        <f ca="1">C39</f>
        <v>288623</v>
      </c>
      <c r="R69" s="1420" t="s">
        <v>818</v>
      </c>
    </row>
    <row r="70" spans="1:18" s="1384" customFormat="1" ht="13.5" thickBot="1">
      <c r="A70" s="954"/>
      <c r="B70" s="955"/>
      <c r="C70" s="310"/>
      <c r="D70" s="966"/>
      <c r="E70" s="950" t="s">
        <v>766</v>
      </c>
      <c r="F70" s="1054"/>
      <c r="O70" s="1428" t="s">
        <v>412</v>
      </c>
      <c r="P70" s="1467" t="s">
        <v>873</v>
      </c>
      <c r="Q70" s="1420">
        <f ca="1">C13</f>
        <v>2002855</v>
      </c>
      <c r="R70" s="1420" t="s">
        <v>818</v>
      </c>
    </row>
    <row r="71" spans="1:18" s="1384" customFormat="1" ht="13.5" thickBot="1">
      <c r="A71" s="971" t="s">
        <v>396</v>
      </c>
      <c r="B71" s="972" t="s">
        <v>776</v>
      </c>
      <c r="C71" s="336">
        <f ca="1">ROUND(C68/F71,0)</f>
        <v>-1067</v>
      </c>
      <c r="D71" s="973" t="s">
        <v>777</v>
      </c>
      <c r="E71" s="974" t="s">
        <v>778</v>
      </c>
      <c r="F71" s="339">
        <f ca="1">F43</f>
        <v>345.92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140200</v>
      </c>
      <c r="D75" s="1384"/>
      <c r="E75" s="1384"/>
      <c r="F75" s="1384"/>
      <c r="K75" s="1402"/>
      <c r="L75" s="1384"/>
      <c r="O75" s="1418" t="s">
        <v>409</v>
      </c>
      <c r="P75" s="1419" t="s">
        <v>838</v>
      </c>
      <c r="Q75" s="1420">
        <f ca="1">Q65+Q66</f>
        <v>5199323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0.51400000000000001</v>
      </c>
    </row>
    <row r="80" spans="1:18">
      <c r="B80" s="340" t="s">
        <v>800</v>
      </c>
      <c r="C80" s="274">
        <f ca="1">ROUND(C75/C39,3)</f>
        <v>0.48599999999999999</v>
      </c>
    </row>
    <row r="81" spans="2:3">
      <c r="B81" s="270" t="s">
        <v>801</v>
      </c>
      <c r="C81" s="238"/>
    </row>
    <row r="82" spans="2:3">
      <c r="B82" s="273" t="s">
        <v>802</v>
      </c>
      <c r="C82" s="275">
        <f ca="1">1-C83</f>
        <v>0.61499999999999999</v>
      </c>
    </row>
    <row r="83" spans="2:3">
      <c r="B83" s="273" t="s">
        <v>803</v>
      </c>
      <c r="C83" s="274">
        <f ca="1">ROUND(C13/C40,3)</f>
        <v>0.38500000000000001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62" activeCellId="1" sqref="H44 H6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62" activeCellId="1" sqref="H44 H6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533.35479999999995</v>
      </c>
      <c r="C2" s="1872" t="s">
        <v>1651</v>
      </c>
      <c r="D2" s="1873" t="s">
        <v>1652</v>
      </c>
      <c r="E2" s="2607">
        <f>SUM(E6:E13)</f>
        <v>345.92</v>
      </c>
      <c r="F2" s="2707"/>
      <c r="G2" s="1489"/>
      <c r="H2" s="1489"/>
      <c r="I2" s="1489"/>
      <c r="J2" s="1489"/>
      <c r="K2" s="1489"/>
      <c r="L2" s="1489"/>
      <c r="M2" s="1489"/>
      <c r="N2" s="1489"/>
      <c r="O2" s="1489"/>
      <c r="P2" s="1489"/>
      <c r="Q2" s="1489"/>
      <c r="R2" s="1489"/>
      <c r="S2" s="1489"/>
    </row>
    <row r="3" spans="1:22" ht="15.75">
      <c r="A3" s="1870" t="s">
        <v>686</v>
      </c>
      <c r="B3" s="2601">
        <f ca="1">ROUND(B2*10000/E2,0)</f>
        <v>15418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533.35479999999995</v>
      </c>
      <c r="C6" s="1872" t="s">
        <v>1651</v>
      </c>
      <c r="D6" s="2709"/>
      <c r="E6" s="2606">
        <f>IF(OR(A6=0,F6="否"),0,'数据-取费表'!K6+'数据-取费表'!S6)</f>
        <v>345.92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62" activeCellId="1" sqref="H44 H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345.92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E69" sqref="E6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3391</v>
      </c>
      <c r="F1" s="1879" t="s">
        <v>3392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780.6377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22567</v>
      </c>
      <c r="C3" s="354" t="s">
        <v>1768</v>
      </c>
      <c r="D3" s="353">
        <f>IF(D1="",'数据-汇总表'!E3,SUMIF('数据-汇总表'!$C19:$C33,D1,'数据-汇总表'!$E19:$E33))</f>
        <v>345.92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9" t="s">
        <v>3393</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45321</v>
      </c>
      <c r="D7" s="365">
        <v>100</v>
      </c>
      <c r="E7" s="366">
        <v>45292</v>
      </c>
      <c r="F7" s="367">
        <f>SUMIF(58:58,YEAR(E7)&amp;"-"&amp;MONTH(E7),59:59)</f>
        <v>100</v>
      </c>
      <c r="G7" s="366">
        <v>45292</v>
      </c>
      <c r="H7" s="365">
        <f>SUMIF(58:58,YEAR(G7)&amp;"-"&amp;MONTH(G7),59:59)</f>
        <v>100</v>
      </c>
      <c r="I7" s="366">
        <v>45292</v>
      </c>
      <c r="J7" s="365">
        <f>SUMIF(58:58,YEAR(I7)&amp;"-"&amp;MONTH(I7),59:59)</f>
        <v>100</v>
      </c>
      <c r="K7" s="560"/>
      <c r="L7" s="2717"/>
      <c r="M7" s="2718"/>
      <c r="N7" s="2718"/>
      <c r="O7" s="2718"/>
      <c r="P7" s="3702" t="s">
        <v>1680</v>
      </c>
      <c r="Q7" s="3704"/>
      <c r="R7" s="701" t="s">
        <v>14</v>
      </c>
      <c r="S7" s="702">
        <f t="shared" ref="S7:S15" si="0">F7</f>
        <v>100</v>
      </c>
      <c r="T7" s="701" t="s">
        <v>14</v>
      </c>
      <c r="U7" s="702">
        <f t="shared" ref="U7:U15" si="1">H7</f>
        <v>100</v>
      </c>
      <c r="V7" s="701" t="s">
        <v>14</v>
      </c>
      <c r="W7" s="702">
        <f t="shared" ref="W7:W15" si="2">J7</f>
        <v>100</v>
      </c>
      <c r="X7" s="703"/>
      <c r="Y7" s="3702" t="s">
        <v>1680</v>
      </c>
      <c r="Z7" s="3703"/>
      <c r="AA7" s="704">
        <f>D7/F7</f>
        <v>1</v>
      </c>
      <c r="AB7" s="704">
        <f>D7/H7</f>
        <v>1</v>
      </c>
      <c r="AC7" s="704">
        <f>D7/J7</f>
        <v>1</v>
      </c>
    </row>
    <row r="8" spans="1:29" s="108" customFormat="1" ht="15.75" thickBot="1">
      <c r="A8" s="362" t="s">
        <v>1681</v>
      </c>
      <c r="B8" s="363"/>
      <c r="C8" s="368" t="s">
        <v>3394</v>
      </c>
      <c r="D8" s="365">
        <v>100</v>
      </c>
      <c r="E8" s="368" t="s">
        <v>3395</v>
      </c>
      <c r="F8" s="367">
        <f>SUMIF(61:61,E8,62:62)-SUMIF(61:61,C8,62:62)+100</f>
        <v>103</v>
      </c>
      <c r="G8" s="368" t="s">
        <v>3395</v>
      </c>
      <c r="H8" s="365">
        <f>SUMIF(61:61,G8,62:62)-SUMIF(61:61,C8,62:62)+100</f>
        <v>103</v>
      </c>
      <c r="I8" s="368" t="s">
        <v>3395</v>
      </c>
      <c r="J8" s="365">
        <f>SUMIF(61:61,I8,62:62)-SUMIF(61:61,C8,62:62)+100</f>
        <v>103</v>
      </c>
      <c r="K8" s="560"/>
      <c r="L8" s="2717"/>
      <c r="M8" s="2718"/>
      <c r="N8" s="2718"/>
      <c r="O8" s="2718"/>
      <c r="P8" s="3702" t="s">
        <v>1683</v>
      </c>
      <c r="Q8" s="3703"/>
      <c r="R8" s="701" t="s">
        <v>14</v>
      </c>
      <c r="S8" s="702">
        <f t="shared" si="0"/>
        <v>103</v>
      </c>
      <c r="T8" s="701" t="s">
        <v>14</v>
      </c>
      <c r="U8" s="702">
        <f t="shared" si="1"/>
        <v>103</v>
      </c>
      <c r="V8" s="701" t="s">
        <v>14</v>
      </c>
      <c r="W8" s="702">
        <f t="shared" si="2"/>
        <v>103</v>
      </c>
      <c r="X8" s="703"/>
      <c r="Y8" s="3702" t="s">
        <v>1683</v>
      </c>
      <c r="Z8" s="3703"/>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t="s">
        <v>3400</v>
      </c>
      <c r="D28" s="386">
        <v>100</v>
      </c>
      <c r="E28" s="565" t="s">
        <v>3400</v>
      </c>
      <c r="F28" s="412">
        <f>SUMIF(92:92,E28,93:93)-SUMIF(92:92,C28,93:93)+100</f>
        <v>100</v>
      </c>
      <c r="G28" s="565" t="s">
        <v>3400</v>
      </c>
      <c r="H28" s="386">
        <f>SUMIF(92:92,G28,93:93)-SUMIF(92:92,C28,93:93)+100</f>
        <v>100</v>
      </c>
      <c r="I28" s="565" t="s">
        <v>3400</v>
      </c>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f>D3</f>
        <v>345.92</v>
      </c>
      <c r="D33" s="127">
        <v>100</v>
      </c>
      <c r="E33" s="381">
        <v>415.22</v>
      </c>
      <c r="F33" s="376">
        <f>LOOKUP(E33,103:103,104:104)-LOOKUP(C33,103:103,104:104)+100</f>
        <v>99</v>
      </c>
      <c r="G33" s="380">
        <v>125.12</v>
      </c>
      <c r="H33" s="127">
        <f>LOOKUP(G33,103:103,104:104)-LOOKUP(C33,103:103,104:104)+100</f>
        <v>101</v>
      </c>
      <c r="I33" s="380">
        <v>300.04000000000002</v>
      </c>
      <c r="J33" s="127">
        <f>LOOKUP(I33,103:103,104:104)-LOOKUP(C33,103:103,104:104)+100</f>
        <v>100</v>
      </c>
      <c r="K33" s="562"/>
      <c r="L33" s="2721"/>
      <c r="M33" s="2723"/>
      <c r="N33" s="2723"/>
      <c r="O33" s="2723"/>
      <c r="P33" s="3671"/>
      <c r="Q33" s="707" t="str">
        <f t="shared" si="11"/>
        <v>项目建筑规模</v>
      </c>
      <c r="R33" s="708" t="s">
        <v>14</v>
      </c>
      <c r="S33" s="709">
        <f t="shared" si="12"/>
        <v>99</v>
      </c>
      <c r="T33" s="708" t="s">
        <v>14</v>
      </c>
      <c r="U33" s="709">
        <f t="shared" si="13"/>
        <v>101</v>
      </c>
      <c r="V33" s="708" t="s">
        <v>14</v>
      </c>
      <c r="W33" s="709">
        <f t="shared" si="14"/>
        <v>100</v>
      </c>
      <c r="X33" s="710"/>
      <c r="Y33" s="3673"/>
      <c r="Z33" s="711" t="str">
        <f t="shared" si="15"/>
        <v>项目建筑规模</v>
      </c>
      <c r="AA33" s="1353">
        <f t="shared" si="3"/>
        <v>1.0101010101010102</v>
      </c>
      <c r="AB33" s="1353">
        <f t="shared" si="4"/>
        <v>0.99009900990099009</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671"/>
      <c r="Q36" s="1352" t="str">
        <f t="shared" si="11"/>
        <v>成新度</v>
      </c>
      <c r="R36" s="705" t="s">
        <v>14</v>
      </c>
      <c r="S36" s="706">
        <f t="shared" si="12"/>
        <v>100</v>
      </c>
      <c r="T36" s="705" t="s">
        <v>14</v>
      </c>
      <c r="U36" s="706">
        <f t="shared" si="13"/>
        <v>100</v>
      </c>
      <c r="V36" s="705" t="s">
        <v>14</v>
      </c>
      <c r="W36" s="706">
        <f t="shared" si="14"/>
        <v>100</v>
      </c>
      <c r="X36" s="1355"/>
      <c r="Y36" s="3673"/>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v>24084</v>
      </c>
      <c r="F47" s="1157"/>
      <c r="G47" s="1158">
        <v>23977</v>
      </c>
      <c r="H47" s="1159"/>
      <c r="I47" s="1156">
        <v>21664</v>
      </c>
      <c r="J47" s="1159"/>
      <c r="K47" s="714"/>
      <c r="L47" s="2724"/>
      <c r="M47" s="2725"/>
      <c r="N47" s="2716"/>
      <c r="O47" s="2725"/>
      <c r="P47" s="3666" t="str">
        <f>A47</f>
        <v>成交单价（元/平方米）</v>
      </c>
      <c r="Q47" s="3666"/>
      <c r="R47" s="3697">
        <f>E47</f>
        <v>24084</v>
      </c>
      <c r="S47" s="3697"/>
      <c r="T47" s="3697">
        <f>G47</f>
        <v>23977</v>
      </c>
      <c r="U47" s="3697"/>
      <c r="V47" s="3697">
        <f>I47</f>
        <v>21664</v>
      </c>
      <c r="W47" s="3697"/>
      <c r="X47" s="690"/>
      <c r="Y47" s="712"/>
      <c r="Z47" s="690"/>
      <c r="AA47" s="690"/>
      <c r="AB47" s="690"/>
      <c r="AC47" s="690"/>
    </row>
    <row r="48" spans="1:29" ht="15.75" thickBot="1">
      <c r="A48" s="437" t="s">
        <v>1793</v>
      </c>
      <c r="B48" s="438"/>
      <c r="C48" s="1160">
        <f>R49</f>
        <v>22567</v>
      </c>
      <c r="D48" s="2317" t="s">
        <v>2138</v>
      </c>
      <c r="E48" s="1161">
        <f>R48</f>
        <v>23619</v>
      </c>
      <c r="F48" s="2318"/>
      <c r="G48" s="1160">
        <f>T48</f>
        <v>23048</v>
      </c>
      <c r="H48" s="2318"/>
      <c r="I48" s="1161">
        <f>V48</f>
        <v>21033</v>
      </c>
      <c r="J48" s="2318"/>
      <c r="K48" s="2320">
        <f>F48+H48+J48</f>
        <v>0</v>
      </c>
      <c r="L48" s="2724"/>
      <c r="M48" s="2725"/>
      <c r="N48" s="2716"/>
      <c r="O48" s="2725"/>
      <c r="P48" s="3666" t="str">
        <f>A48</f>
        <v>比较价值（元/平方米）</v>
      </c>
      <c r="Q48" s="3666"/>
      <c r="R48" s="3667">
        <f>IF(F1="售价",ROUND(PRODUCT(R47,AA7:AA46),0),ROUND(PRODUCT(R47,AA7:AA46),1))</f>
        <v>23619</v>
      </c>
      <c r="S48" s="3667"/>
      <c r="T48" s="3667">
        <f>IF(F1="售价",ROUND(PRODUCT(T47,AB7:AB46),0),ROUND(PRODUCT(T47,AB7:AB46),1))</f>
        <v>23048</v>
      </c>
      <c r="U48" s="3667"/>
      <c r="V48" s="3667">
        <f>IF(F1="售价",ROUND(PRODUCT(V47,AC7:AC46),0),ROUND(PRODUCT(V47,AC7:AC46),1))</f>
        <v>21033</v>
      </c>
      <c r="W48" s="3667"/>
      <c r="X48" s="690"/>
      <c r="Y48" s="690"/>
      <c r="Z48" s="690"/>
      <c r="AA48" s="690"/>
      <c r="AB48" s="690"/>
      <c r="AC48" s="690"/>
    </row>
    <row r="49" spans="1:29" ht="15.75" thickBot="1">
      <c r="A49" s="441" t="s">
        <v>1794</v>
      </c>
      <c r="B49" s="442"/>
      <c r="C49" s="1163">
        <f>R49</f>
        <v>22567</v>
      </c>
      <c r="D49" s="1163"/>
      <c r="E49" s="1163"/>
      <c r="F49" s="1163"/>
      <c r="G49" s="1163"/>
      <c r="H49" s="1163"/>
      <c r="I49" s="1163"/>
      <c r="J49" s="1163"/>
      <c r="K49" s="715"/>
      <c r="L49" s="2724"/>
      <c r="M49" s="2725"/>
      <c r="N49" s="2716"/>
      <c r="O49" s="2725"/>
      <c r="P49" s="3663" t="str">
        <f>A49</f>
        <v>估价对象XX用房的比较价值（楼面单价，元/平方米）</v>
      </c>
      <c r="Q49" s="3664"/>
      <c r="R49" s="3665">
        <f>IF(F1="售价",ROUND(IF(D48="简单平均",AVERAGE(R48:V48),R48*F48+T48*H48+V48*J48),0),ROUND(IF(D48="简单平均",AVERAGE(R48:V48),R48*F48+T48*H48+V48*J48),1))</f>
        <v>22567</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1.9687539692620382E-2</v>
      </c>
      <c r="F52" s="449" t="str">
        <f>IF(OR(E52&gt;=0.3,E52&lt;=-0.3),"超过30%","")</f>
        <v/>
      </c>
      <c r="G52" s="448">
        <f>IF(G47&lt;G48,G48/G47-1,G47/G48-1)</f>
        <v>4.0307185005206581E-2</v>
      </c>
      <c r="H52" s="449" t="str">
        <f>IF(OR(G52&gt;=0.3,G52&lt;=-0.3),"超过30%","")</f>
        <v/>
      </c>
      <c r="I52" s="448">
        <f>IF(I47&lt;I48,I48/I47-1,I47/I48-1)</f>
        <v>3.0000475443350938E-2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2.4774383894481167E-2</v>
      </c>
      <c r="F53" s="449" t="str">
        <f>IF(OR(E53&gt;=0.2,E53&lt;=-0.2),"超过20%","")</f>
        <v/>
      </c>
      <c r="G53" s="448">
        <f>IF(G48&lt;I48,I48/G48-1,G48/I48-1)</f>
        <v>9.5801835211334563E-2</v>
      </c>
      <c r="H53" s="449" t="str">
        <f>IF(OR(G53&gt;=0.2,G53&lt;=-0.2),"超过20%","")</f>
        <v/>
      </c>
      <c r="I53" s="448">
        <f>IF(I48&lt;E48,E48/I48-1,I48/E48-1)</f>
        <v>0.12294965054913698</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4.4626100012512548E-3</v>
      </c>
      <c r="F54" s="449" t="str">
        <f>IF(OR(E54&gt;=0.3,E54&lt;=-0.3),"超过30%","")</f>
        <v/>
      </c>
      <c r="G54" s="448">
        <f>IF(G47&lt;I47,I47/G47-1,G47/I47-1)</f>
        <v>0.10676698670605611</v>
      </c>
      <c r="H54" s="449" t="str">
        <f>IF(OR(G54&gt;=0.3,G54&lt;=-0.3),"超过30%","")</f>
        <v/>
      </c>
      <c r="I54" s="448">
        <f>IF(I47&lt;E47,E47/I47-1,I47/E47-1)</f>
        <v>0.11170605612998519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3396</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3397</v>
      </c>
      <c r="D92" s="503" t="s">
        <v>3398</v>
      </c>
      <c r="E92" s="503" t="s">
        <v>3399</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90</v>
      </c>
      <c r="E93" s="485">
        <v>80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41">
        <f>C103+200</f>
        <v>200</v>
      </c>
      <c r="E103" s="41">
        <f t="shared" ref="E103:H103" si="24">D103+200</f>
        <v>400</v>
      </c>
      <c r="F103" s="41">
        <f t="shared" si="24"/>
        <v>600</v>
      </c>
      <c r="G103" s="41">
        <f t="shared" si="24"/>
        <v>800</v>
      </c>
      <c r="H103" s="41">
        <f t="shared" si="24"/>
        <v>1000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62" activeCellId="1" sqref="H44 H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345.92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6" t="s">
        <v>1775</v>
      </c>
      <c r="Q4" s="3717"/>
      <c r="R4" s="3720" t="s">
        <v>1771</v>
      </c>
      <c r="S4" s="3721"/>
      <c r="T4" s="3720" t="s">
        <v>1772</v>
      </c>
      <c r="U4" s="3721"/>
      <c r="V4" s="3722" t="s">
        <v>1773</v>
      </c>
      <c r="W4" s="3722"/>
      <c r="X4" s="1958"/>
      <c r="Y4" s="3720" t="s">
        <v>1775</v>
      </c>
      <c r="Z4" s="3721"/>
      <c r="AA4" s="3724" t="s">
        <v>1771</v>
      </c>
      <c r="AB4" s="3724" t="s">
        <v>1772</v>
      </c>
      <c r="AC4" s="3713" t="s">
        <v>1773</v>
      </c>
    </row>
    <row r="5" spans="1:29" ht="15">
      <c r="A5" s="358"/>
      <c r="B5" s="359"/>
      <c r="C5" s="3700" t="s">
        <v>1673</v>
      </c>
      <c r="D5" s="3701"/>
      <c r="E5" s="3707" t="s">
        <v>1674</v>
      </c>
      <c r="F5" s="3708"/>
      <c r="G5" s="3700" t="s">
        <v>1675</v>
      </c>
      <c r="H5" s="3701"/>
      <c r="I5" s="3700" t="s">
        <v>1676</v>
      </c>
      <c r="J5" s="3701"/>
      <c r="K5" s="559"/>
      <c r="L5" s="2715"/>
      <c r="M5" s="2716"/>
      <c r="N5" s="2716"/>
      <c r="O5" s="2716"/>
      <c r="P5" s="3718"/>
      <c r="Q5" s="3688"/>
      <c r="R5" s="3693"/>
      <c r="S5" s="3694"/>
      <c r="T5" s="3693"/>
      <c r="U5" s="3694"/>
      <c r="V5" s="3697"/>
      <c r="W5" s="3697"/>
      <c r="X5" s="1355"/>
      <c r="Y5" s="3693"/>
      <c r="Z5" s="3694"/>
      <c r="AA5" s="3679"/>
      <c r="AB5" s="3679"/>
      <c r="AC5" s="3714"/>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9"/>
      <c r="Q6" s="3690"/>
      <c r="R6" s="3693"/>
      <c r="S6" s="3694"/>
      <c r="T6" s="3695"/>
      <c r="U6" s="3696"/>
      <c r="V6" s="3697"/>
      <c r="W6" s="3697"/>
      <c r="X6" s="1355"/>
      <c r="Y6" s="3695"/>
      <c r="Z6" s="3696"/>
      <c r="AA6" s="3680"/>
      <c r="AB6" s="3680"/>
      <c r="AC6" s="3715"/>
    </row>
    <row r="7" spans="1:29" s="108" customFormat="1" ht="15.75" thickBot="1">
      <c r="A7" s="362" t="s">
        <v>1679</v>
      </c>
      <c r="B7" s="363"/>
      <c r="C7" s="364">
        <f>'数据-取费表'!B2</f>
        <v>45321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62" activeCellId="1" sqref="H44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345.92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45321</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估价对象为北京市房地产，为所有。根据《国有土地使用证》[]，估价对象（分摊）出让国有建设用地使用权面积为0平方米，建筑面积为345.92平方米。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估价对象为北京市房地产,属开发建设的，该项目尚在开发建设中。根据《国有土地使用证》[]，估价对象（分摊）出让国有建设用地使用权面积为0平方米，规划建筑面积为345.92平方米。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62" activeCellId="1" sqref="H44 H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45321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66"/>
      <c r="Q10" s="1343" t="str">
        <f t="shared" si="6"/>
        <v>土地使用年限（年）</v>
      </c>
      <c r="R10" s="701" t="s">
        <v>14</v>
      </c>
      <c r="S10" s="702">
        <f t="shared" si="0"/>
        <v>117</v>
      </c>
      <c r="T10" s="701" t="s">
        <v>14</v>
      </c>
      <c r="U10" s="702">
        <f t="shared" si="1"/>
        <v>117</v>
      </c>
      <c r="V10" s="701" t="s">
        <v>14</v>
      </c>
      <c r="W10" s="702">
        <f t="shared" si="2"/>
        <v>117</v>
      </c>
      <c r="X10" s="703"/>
      <c r="Y10" s="3541"/>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345.92</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345.92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45321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66"/>
      <c r="Q10" s="1343" t="str">
        <f t="shared" si="6"/>
        <v>土地使用年限（年）</v>
      </c>
      <c r="R10" s="701" t="s">
        <v>14</v>
      </c>
      <c r="S10" s="702">
        <f t="shared" si="0"/>
        <v>117</v>
      </c>
      <c r="T10" s="701" t="s">
        <v>14</v>
      </c>
      <c r="U10" s="702">
        <f t="shared" si="1"/>
        <v>117</v>
      </c>
      <c r="V10" s="701" t="s">
        <v>14</v>
      </c>
      <c r="W10" s="702">
        <f t="shared" si="2"/>
        <v>117</v>
      </c>
      <c r="X10" s="703"/>
      <c r="Y10" s="354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345.92</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6"/>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3258</v>
      </c>
      <c r="B20" s="167" t="s">
        <v>1994</v>
      </c>
      <c r="C20" s="3325" t="e">
        <f>ROUND(IF(F21="与级别开发程度一致",0,(G21-E21)/C21),0)</f>
        <v>#DIV/0!</v>
      </c>
      <c r="D20" s="3341" t="s">
        <v>1998</v>
      </c>
      <c r="E20" s="3342"/>
      <c r="F20" s="3757" t="s">
        <v>1995</v>
      </c>
      <c r="G20" s="375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45321</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3" t="s">
        <v>3298</v>
      </c>
      <c r="B103" s="3753"/>
      <c r="C103" s="3753"/>
      <c r="D103" s="3753"/>
      <c r="E103" s="3753"/>
      <c r="F103" s="3753"/>
      <c r="G103" s="3753"/>
      <c r="H103" s="3753"/>
      <c r="I103" s="3753"/>
      <c r="J103" s="3753"/>
      <c r="K103" s="3390"/>
      <c r="L103" s="3390"/>
      <c r="M103" s="3390"/>
      <c r="N103" s="3390"/>
    </row>
    <row r="104" spans="1:14">
      <c r="A104" s="3754" t="s">
        <v>3299</v>
      </c>
      <c r="B104" s="3754" t="s">
        <v>3300</v>
      </c>
      <c r="C104" s="3391" t="s">
        <v>3301</v>
      </c>
      <c r="D104" s="3392"/>
      <c r="E104" s="3392"/>
      <c r="F104" s="3392"/>
      <c r="G104" s="3392"/>
      <c r="H104" s="3392"/>
      <c r="I104" s="3392"/>
      <c r="J104" s="3393"/>
      <c r="K104" s="3394"/>
      <c r="L104" s="3394"/>
      <c r="M104" s="3394"/>
      <c r="N104" s="3394"/>
    </row>
    <row r="105" spans="1:14">
      <c r="A105" s="3754"/>
      <c r="B105" s="3754"/>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0"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3" t="s">
        <v>3315</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3"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5" t="s">
        <v>2635</v>
      </c>
      <c r="B27" s="3763" t="s">
        <v>2616</v>
      </c>
      <c r="C27" s="3103" t="s">
        <v>2456</v>
      </c>
      <c r="D27" s="3104"/>
      <c r="E27" s="3105">
        <v>1</v>
      </c>
      <c r="F27" s="3106" t="s">
        <v>2457</v>
      </c>
      <c r="G27" s="3106"/>
    </row>
    <row r="28" spans="1:13" ht="19.5" customHeight="1">
      <c r="A28" s="3766"/>
      <c r="B28" s="3762"/>
      <c r="C28" s="3107" t="s">
        <v>2458</v>
      </c>
      <c r="D28" s="3108"/>
      <c r="E28" s="3109">
        <v>1</v>
      </c>
      <c r="F28" s="3106" t="s">
        <v>2459</v>
      </c>
      <c r="G28" s="3106"/>
    </row>
    <row r="29" spans="1:13" ht="19.5" customHeight="1">
      <c r="A29" s="3766"/>
      <c r="B29" s="3762"/>
      <c r="C29" s="3107" t="s">
        <v>2460</v>
      </c>
      <c r="D29" s="3108"/>
      <c r="E29" s="3109">
        <v>0.8</v>
      </c>
      <c r="F29" s="3106" t="s">
        <v>2461</v>
      </c>
      <c r="G29" s="3106"/>
    </row>
    <row r="30" spans="1:13" ht="19.5" customHeight="1">
      <c r="A30" s="3766"/>
      <c r="B30" s="3762"/>
      <c r="C30" s="3107" t="s">
        <v>2462</v>
      </c>
      <c r="D30" s="3108"/>
      <c r="E30" s="3109">
        <v>0.8</v>
      </c>
      <c r="F30" s="3106" t="s">
        <v>2463</v>
      </c>
      <c r="G30" s="3106"/>
    </row>
    <row r="31" spans="1:13" ht="19.5" customHeight="1">
      <c r="A31" s="3766"/>
      <c r="B31" s="3762"/>
      <c r="C31" s="3107" t="s">
        <v>2464</v>
      </c>
      <c r="D31" s="3108"/>
      <c r="E31" s="3109">
        <v>0.8</v>
      </c>
      <c r="F31" s="3106" t="s">
        <v>2465</v>
      </c>
      <c r="G31" s="3106"/>
    </row>
    <row r="32" spans="1:13" ht="19.5" customHeight="1">
      <c r="A32" s="3766"/>
      <c r="B32" s="3762"/>
      <c r="C32" s="3107" t="s">
        <v>2466</v>
      </c>
      <c r="D32" s="3108"/>
      <c r="E32" s="3109">
        <v>0.7</v>
      </c>
      <c r="F32" s="3106" t="s">
        <v>2467</v>
      </c>
      <c r="G32" s="3106"/>
    </row>
    <row r="33" spans="1:7" ht="19.5" customHeight="1">
      <c r="A33" s="3766"/>
      <c r="B33" s="3762"/>
      <c r="C33" s="3107" t="s">
        <v>2468</v>
      </c>
      <c r="D33" s="3108"/>
      <c r="E33" s="3109">
        <v>0.8</v>
      </c>
      <c r="F33" s="3106" t="s">
        <v>2469</v>
      </c>
      <c r="G33" s="3106"/>
    </row>
    <row r="34" spans="1:7" ht="19.5" customHeight="1">
      <c r="A34" s="3766"/>
      <c r="B34" s="3762"/>
      <c r="C34" s="3107" t="s">
        <v>2470</v>
      </c>
      <c r="D34" s="3108"/>
      <c r="E34" s="3109">
        <v>0.6</v>
      </c>
      <c r="F34" s="3106" t="s">
        <v>2471</v>
      </c>
      <c r="G34" s="3106"/>
    </row>
    <row r="35" spans="1:7" ht="19.5" customHeight="1">
      <c r="A35" s="3766"/>
      <c r="B35" s="3762"/>
      <c r="C35" s="3107" t="s">
        <v>2472</v>
      </c>
      <c r="D35" s="3108"/>
      <c r="E35" s="3109">
        <v>0.2</v>
      </c>
      <c r="F35" s="3106" t="s">
        <v>2473</v>
      </c>
      <c r="G35" s="3106"/>
    </row>
    <row r="36" spans="1:7" ht="19.5" customHeight="1">
      <c r="A36" s="3766"/>
      <c r="B36" s="3762"/>
      <c r="C36" s="3107" t="s">
        <v>2474</v>
      </c>
      <c r="D36" s="3108"/>
      <c r="E36" s="3109">
        <v>0.2</v>
      </c>
      <c r="F36" s="3106" t="s">
        <v>2475</v>
      </c>
      <c r="G36" s="3106"/>
    </row>
    <row r="37" spans="1:7" ht="19.5" customHeight="1">
      <c r="A37" s="3766"/>
      <c r="B37" s="3760" t="s">
        <v>2636</v>
      </c>
      <c r="C37" s="3107" t="s">
        <v>2476</v>
      </c>
      <c r="D37" s="3108"/>
      <c r="E37" s="3109">
        <v>0.6</v>
      </c>
      <c r="F37" s="3106" t="s">
        <v>2477</v>
      </c>
      <c r="G37" s="3106"/>
    </row>
    <row r="38" spans="1:7" ht="19.5" customHeight="1">
      <c r="A38" s="3766"/>
      <c r="B38" s="3762"/>
      <c r="C38" s="3107" t="s">
        <v>2478</v>
      </c>
      <c r="D38" s="3108"/>
      <c r="E38" s="3109">
        <v>0.6</v>
      </c>
      <c r="F38" s="3106" t="s">
        <v>2479</v>
      </c>
      <c r="G38" s="3106"/>
    </row>
    <row r="39" spans="1:7" ht="19.5" customHeight="1" thickBot="1">
      <c r="A39" s="3767"/>
      <c r="B39" s="376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3"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6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0"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0"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61"/>
      <c r="C89" s="3092" t="s">
        <v>2688</v>
      </c>
      <c r="D89" s="3092" t="s">
        <v>2689</v>
      </c>
      <c r="E89" s="3118">
        <v>0.1</v>
      </c>
      <c r="F89" s="3118">
        <v>15</v>
      </c>
    </row>
    <row r="90" spans="1:6" ht="13.5">
      <c r="A90" s="3118">
        <v>18</v>
      </c>
      <c r="B90" s="3760"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61"/>
      <c r="C106" s="3092" t="s">
        <v>2723</v>
      </c>
      <c r="D106" s="3092" t="s">
        <v>2724</v>
      </c>
      <c r="E106" s="3118">
        <v>0.1</v>
      </c>
      <c r="F106" s="3118">
        <v>15</v>
      </c>
    </row>
    <row r="107" spans="1:6" ht="24">
      <c r="A107" s="3118">
        <v>35</v>
      </c>
      <c r="B107" s="3760"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61"/>
      <c r="C112" s="3118" t="s">
        <v>2736</v>
      </c>
      <c r="D112" s="3092" t="s">
        <v>2737</v>
      </c>
      <c r="E112" s="3118">
        <v>0.1</v>
      </c>
      <c r="F112" s="3118">
        <v>15</v>
      </c>
    </row>
    <row r="113" spans="1:6" ht="13.5">
      <c r="A113" s="3118">
        <v>41</v>
      </c>
      <c r="B113" s="3759" t="s">
        <v>2738</v>
      </c>
      <c r="C113" s="3118" t="s">
        <v>2739</v>
      </c>
      <c r="D113" s="3092" t="s">
        <v>2740</v>
      </c>
      <c r="E113" s="3118">
        <v>0.1</v>
      </c>
      <c r="F113" s="3118">
        <v>15</v>
      </c>
    </row>
    <row r="114" spans="1:6" ht="13.5">
      <c r="A114" s="3118">
        <v>42</v>
      </c>
      <c r="B114" s="3759"/>
      <c r="C114" s="3118" t="s">
        <v>2741</v>
      </c>
      <c r="D114" s="3092" t="s">
        <v>2742</v>
      </c>
      <c r="E114" s="3118">
        <v>0.1</v>
      </c>
      <c r="F114" s="3118">
        <v>15</v>
      </c>
    </row>
    <row r="115" spans="1:6" ht="24">
      <c r="A115" s="3118">
        <v>43</v>
      </c>
      <c r="B115" s="3759"/>
      <c r="C115" s="3118" t="s">
        <v>2743</v>
      </c>
      <c r="D115" s="3092" t="s">
        <v>2744</v>
      </c>
      <c r="E115" s="3118">
        <v>0.1</v>
      </c>
      <c r="F115" s="3118">
        <v>15</v>
      </c>
    </row>
    <row r="116" spans="1:6" ht="13.5">
      <c r="A116" s="3118">
        <v>44</v>
      </c>
      <c r="B116" s="3760" t="s">
        <v>2745</v>
      </c>
      <c r="C116" s="3118" t="s">
        <v>2746</v>
      </c>
      <c r="D116" s="3092" t="s">
        <v>2747</v>
      </c>
      <c r="E116" s="3118">
        <v>0.1</v>
      </c>
      <c r="F116" s="3118">
        <v>15</v>
      </c>
    </row>
    <row r="117" spans="1:6" ht="24">
      <c r="A117" s="3118">
        <v>45</v>
      </c>
      <c r="B117" s="3761"/>
      <c r="C117" s="3092" t="s">
        <v>2748</v>
      </c>
      <c r="D117" s="3092" t="s">
        <v>2749</v>
      </c>
      <c r="E117" s="3118">
        <v>0.1</v>
      </c>
      <c r="F117" s="3118">
        <v>15</v>
      </c>
    </row>
    <row r="118" spans="1:6" ht="24">
      <c r="A118" s="3118">
        <v>46</v>
      </c>
      <c r="B118" s="3760" t="s">
        <v>2750</v>
      </c>
      <c r="C118" s="3118" t="s">
        <v>2751</v>
      </c>
      <c r="D118" s="3092" t="s">
        <v>2752</v>
      </c>
      <c r="E118" s="3118">
        <v>0.1</v>
      </c>
      <c r="F118" s="3118">
        <v>15</v>
      </c>
    </row>
    <row r="119" spans="1:6" ht="24">
      <c r="A119" s="3118">
        <v>47</v>
      </c>
      <c r="B119" s="3761"/>
      <c r="C119" s="3118" t="s">
        <v>2753</v>
      </c>
      <c r="D119" s="3092" t="s">
        <v>2754</v>
      </c>
      <c r="E119" s="3118">
        <v>0.1</v>
      </c>
      <c r="F119" s="3118">
        <v>15</v>
      </c>
    </row>
    <row r="120" spans="1:6" ht="13.5">
      <c r="A120" s="3118">
        <v>48</v>
      </c>
      <c r="B120" s="3760" t="s">
        <v>2755</v>
      </c>
      <c r="C120" s="3118" t="s">
        <v>2756</v>
      </c>
      <c r="D120" s="3092" t="s">
        <v>2757</v>
      </c>
      <c r="E120" s="3118">
        <v>0.1</v>
      </c>
      <c r="F120" s="3118">
        <v>15</v>
      </c>
    </row>
    <row r="121" spans="1:6" ht="13.5">
      <c r="A121" s="3118">
        <v>49</v>
      </c>
      <c r="B121" s="3761"/>
      <c r="C121" s="3118" t="s">
        <v>2758</v>
      </c>
      <c r="D121" s="3092" t="s">
        <v>2759</v>
      </c>
      <c r="E121" s="3118">
        <v>0.1</v>
      </c>
      <c r="F121" s="3118">
        <v>15</v>
      </c>
    </row>
    <row r="122" spans="1:6" ht="24">
      <c r="A122" s="3118">
        <v>50</v>
      </c>
      <c r="B122" s="3759" t="s">
        <v>2760</v>
      </c>
      <c r="C122" s="3118" t="s">
        <v>2761</v>
      </c>
      <c r="D122" s="3092" t="s">
        <v>2762</v>
      </c>
      <c r="E122" s="3118">
        <v>0.1</v>
      </c>
      <c r="F122" s="3118">
        <v>15</v>
      </c>
    </row>
    <row r="123" spans="1:6" ht="24">
      <c r="A123" s="3118">
        <v>51</v>
      </c>
      <c r="B123" s="3759"/>
      <c r="C123" s="3118" t="s">
        <v>2763</v>
      </c>
      <c r="D123" s="3092" t="s">
        <v>2764</v>
      </c>
      <c r="E123" s="3118">
        <v>0.1</v>
      </c>
      <c r="F123" s="3118">
        <v>15</v>
      </c>
    </row>
    <row r="124" spans="1:6" ht="24">
      <c r="A124" s="3118">
        <v>52</v>
      </c>
      <c r="B124" s="3759" t="s">
        <v>2765</v>
      </c>
      <c r="C124" s="3118" t="s">
        <v>2766</v>
      </c>
      <c r="D124" s="3092" t="s">
        <v>2767</v>
      </c>
      <c r="E124" s="3118">
        <v>0.1</v>
      </c>
      <c r="F124" s="3118">
        <v>15</v>
      </c>
    </row>
    <row r="125" spans="1:6" ht="24">
      <c r="A125" s="3118">
        <v>53</v>
      </c>
      <c r="B125" s="375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9" t="s">
        <v>2773</v>
      </c>
      <c r="C127" s="3118" t="s">
        <v>2774</v>
      </c>
      <c r="D127" s="3092" t="s">
        <v>2775</v>
      </c>
      <c r="E127" s="3118">
        <v>0.1</v>
      </c>
      <c r="F127" s="3118">
        <v>15</v>
      </c>
    </row>
    <row r="128" spans="1:6" ht="13.5">
      <c r="A128" s="3118">
        <v>56</v>
      </c>
      <c r="B128" s="3759"/>
      <c r="C128" s="3118" t="s">
        <v>2776</v>
      </c>
      <c r="D128" s="3092" t="s">
        <v>2777</v>
      </c>
      <c r="E128" s="3118">
        <v>0.1</v>
      </c>
      <c r="F128" s="3118">
        <v>15</v>
      </c>
    </row>
    <row r="129" spans="1:6" ht="24">
      <c r="A129" s="3118">
        <v>57</v>
      </c>
      <c r="B129" s="3759"/>
      <c r="C129" s="3118" t="s">
        <v>2778</v>
      </c>
      <c r="D129" s="3092" t="s">
        <v>2779</v>
      </c>
      <c r="E129" s="3118">
        <v>0.1</v>
      </c>
      <c r="F129" s="3118">
        <v>15</v>
      </c>
    </row>
    <row r="130" spans="1:6" ht="24">
      <c r="A130" s="3118">
        <v>58</v>
      </c>
      <c r="B130" s="3759" t="s">
        <v>2780</v>
      </c>
      <c r="C130" s="3118" t="s">
        <v>2781</v>
      </c>
      <c r="D130" s="3092" t="s">
        <v>2782</v>
      </c>
      <c r="E130" s="3118">
        <v>0.1</v>
      </c>
      <c r="F130" s="3118">
        <v>15</v>
      </c>
    </row>
    <row r="131" spans="1:6" ht="13.5">
      <c r="A131" s="3118">
        <v>59</v>
      </c>
      <c r="B131" s="3759"/>
      <c r="C131" s="3118" t="s">
        <v>2783</v>
      </c>
      <c r="D131" s="3092" t="s">
        <v>2784</v>
      </c>
      <c r="E131" s="3118">
        <v>0.1</v>
      </c>
      <c r="F131" s="3118">
        <v>15</v>
      </c>
    </row>
    <row r="132" spans="1:6" ht="13.5">
      <c r="A132" s="3118">
        <v>60</v>
      </c>
      <c r="B132" s="3760" t="s">
        <v>2785</v>
      </c>
      <c r="C132" s="3118" t="s">
        <v>2786</v>
      </c>
      <c r="D132" s="3092" t="s">
        <v>2787</v>
      </c>
      <c r="E132" s="3118">
        <v>0.1</v>
      </c>
      <c r="F132" s="3118">
        <v>15</v>
      </c>
    </row>
    <row r="133" spans="1:6" ht="13.5">
      <c r="A133" s="3118">
        <v>61</v>
      </c>
      <c r="B133" s="376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9" t="s">
        <v>2793</v>
      </c>
      <c r="C135" s="3118" t="s">
        <v>2794</v>
      </c>
      <c r="D135" s="3092" t="s">
        <v>2795</v>
      </c>
      <c r="E135" s="3118">
        <v>0.1</v>
      </c>
      <c r="F135" s="3118">
        <v>15</v>
      </c>
    </row>
    <row r="136" spans="1:6" ht="13.5">
      <c r="A136" s="3118">
        <v>64</v>
      </c>
      <c r="B136" s="375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29126</v>
      </c>
      <c r="C2" s="2" t="s">
        <v>106</v>
      </c>
      <c r="D2" s="199"/>
      <c r="E2" s="199"/>
      <c r="F2" s="199"/>
      <c r="G2" s="199"/>
    </row>
    <row r="3" spans="1:7" s="200" customFormat="1" ht="18" customHeight="1" thickBot="1">
      <c r="A3" s="203" t="s">
        <v>58</v>
      </c>
      <c r="B3" s="204">
        <f ca="1">ROUND(B2*10000/'数据-汇总表'!E3,0)</f>
        <v>841987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345.92</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345.92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156</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345.92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35</v>
      </c>
      <c r="D45" s="235">
        <f>C47</f>
        <v>4.0000000000000001E-3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235</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200</v>
      </c>
      <c r="D51" s="232"/>
      <c r="E51" s="232"/>
      <c r="F51" s="264"/>
      <c r="G51" s="234" t="s">
        <v>37</v>
      </c>
    </row>
    <row r="52" spans="1:7" s="208" customFormat="1" ht="16.5" thickBot="1">
      <c r="A52" s="265" t="s">
        <v>38</v>
      </c>
      <c r="B52" s="266"/>
      <c r="C52" s="267">
        <f ca="1">C31+C51</f>
        <v>29126</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706</v>
      </c>
      <c r="E5" s="1491"/>
    </row>
    <row r="6" spans="1:5" ht="15.75">
      <c r="A6" s="1491"/>
      <c r="B6" s="3453"/>
      <c r="C6" s="1494" t="s">
        <v>911</v>
      </c>
      <c r="D6" s="850" t="str">
        <f ca="1">NUMBERSTRING(INT(D5*10000),2)&amp;"元整"</f>
        <v>柒佰零陆万元整</v>
      </c>
      <c r="E6" s="1491"/>
    </row>
    <row r="7" spans="1:5" ht="15.75">
      <c r="A7" s="1491"/>
      <c r="B7" s="3458"/>
      <c r="C7" s="1495" t="s">
        <v>912</v>
      </c>
      <c r="D7" s="851">
        <f ca="1">结果表!H102</f>
        <v>20422</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706</v>
      </c>
      <c r="E13" s="1491"/>
    </row>
    <row r="14" spans="1:5" ht="15.75">
      <c r="A14" s="1491"/>
      <c r="B14" s="3453"/>
      <c r="C14" s="1494" t="s">
        <v>911</v>
      </c>
      <c r="D14" s="850" t="str">
        <f ca="1">NUMBERSTRING(INT(D13*10000),2)&amp;"元整"</f>
        <v>柒佰零陆万元整</v>
      </c>
      <c r="E14" s="1491"/>
    </row>
    <row r="15" spans="1:5" ht="15">
      <c r="A15" s="1491"/>
      <c r="B15" s="3458"/>
      <c r="C15" s="1495" t="s">
        <v>921</v>
      </c>
      <c r="D15" s="859">
        <f ca="1">结果表!H108</f>
        <v>20422</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2843</v>
      </c>
      <c r="B1" s="3773"/>
      <c r="C1" s="3773"/>
      <c r="D1" s="3773"/>
      <c r="E1" s="3773"/>
      <c r="F1" s="3773"/>
      <c r="G1" s="377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3185</v>
      </c>
      <c r="B1" s="377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3236</v>
      </c>
      <c r="B1" s="3776"/>
      <c r="C1" s="3776"/>
      <c r="D1" s="3776"/>
      <c r="E1" s="3776"/>
      <c r="F1" s="3777"/>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45321</v>
      </c>
      <c r="B1" s="3210" t="s">
        <v>3376</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8" t="s">
        <v>2831</v>
      </c>
      <c r="S23" s="3779"/>
      <c r="T23" s="3779"/>
      <c r="U23" s="3779"/>
      <c r="V23" s="3779"/>
      <c r="W23" s="3779"/>
      <c r="X23" s="3165"/>
      <c r="Y23" s="3778" t="s">
        <v>2832</v>
      </c>
      <c r="Z23" s="3779"/>
      <c r="AA23" s="3779"/>
      <c r="AB23" s="3779"/>
      <c r="AC23" s="3779"/>
      <c r="AD23" s="377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J42" sqref="J4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345.92</v>
      </c>
      <c r="C4" s="854">
        <f>项目基本情况!C18</f>
        <v>0</v>
      </c>
      <c r="D4" s="854">
        <f>结果表!D118</f>
        <v>0</v>
      </c>
      <c r="E4" s="854">
        <f>结果表!E118</f>
        <v>0</v>
      </c>
      <c r="F4" s="854">
        <f>结果表!F118</f>
        <v>0</v>
      </c>
      <c r="G4" s="854">
        <f>结果表!G118</f>
        <v>0</v>
      </c>
      <c r="H4" s="854">
        <f ca="1">结果表!H118</f>
        <v>706</v>
      </c>
      <c r="I4" s="854">
        <f ca="1">结果表!I118</f>
        <v>20422</v>
      </c>
    </row>
    <row r="5" spans="1:9" ht="30" customHeight="1">
      <c r="A5" s="3465" t="s">
        <v>927</v>
      </c>
      <c r="B5" s="3465"/>
      <c r="C5" s="3465"/>
      <c r="D5" s="3465" t="str">
        <f>结果表!D119</f>
        <v>零元整</v>
      </c>
      <c r="E5" s="3465"/>
      <c r="F5" s="3465" t="str">
        <f>结果表!F119</f>
        <v>零元整</v>
      </c>
      <c r="G5" s="3465"/>
      <c r="H5" s="3465" t="str">
        <f ca="1">结果表!H119</f>
        <v>柒佰零陆万元整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706</v>
      </c>
      <c r="E8" s="3464"/>
      <c r="F8" s="3464"/>
      <c r="G8" s="3464"/>
      <c r="H8" s="3464"/>
      <c r="I8" s="3464"/>
    </row>
    <row r="9" spans="1:9" ht="15">
      <c r="A9" s="3465" t="s">
        <v>927</v>
      </c>
      <c r="B9" s="3465"/>
      <c r="C9" s="3465"/>
      <c r="D9" s="3465" t="str">
        <f ca="1">结果表!D123</f>
        <v>柒佰零陆万元整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2024-03-24T04:56:32Z</dcterms:modified>
</cp:coreProperties>
</file>