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1" i="12" l="1"/>
  <c r="P10" i="12"/>
  <c r="P12" i="12" l="1"/>
  <c r="A3" i="3"/>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F9" i="59" s="1"/>
  <c r="P9" i="59"/>
  <c r="O9" i="59"/>
  <c r="C9" i="59" s="1"/>
  <c r="T9" i="59" s="1"/>
  <c r="N9" i="59"/>
  <c r="N10" i="59"/>
  <c r="Q10" i="59"/>
  <c r="P10" i="59"/>
  <c r="O10" i="59"/>
  <c r="K59" i="15"/>
  <c r="P62" i="15" s="1"/>
  <c r="Q74" i="44"/>
  <c r="Q61" i="44"/>
  <c r="Q60" i="44"/>
  <c r="Q53" i="44"/>
  <c r="J51" i="44"/>
  <c r="J52" i="44" s="1"/>
  <c r="M48" i="44"/>
  <c r="A16" i="55"/>
  <c r="B67" i="63" s="1"/>
  <c r="A15" i="55"/>
  <c r="B66" i="63" s="1"/>
  <c r="A14" i="55"/>
  <c r="A11"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U9" i="59"/>
  <c r="S9" i="59"/>
  <c r="AD3" i="59"/>
  <c r="AE3" i="59"/>
  <c r="AF3" i="59" s="1"/>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3" i="65"/>
  <c r="C1" i="65"/>
  <c r="N1" i="65" s="1"/>
  <c r="H1" i="65"/>
  <c r="B76" i="63"/>
  <c r="M5" i="54"/>
  <c r="B41" i="63" s="1"/>
  <c r="A23" i="51"/>
  <c r="Y12" i="46"/>
  <c r="AA9" i="46"/>
  <c r="AA12" i="46" s="1"/>
  <c r="AB9" i="46"/>
  <c r="AC9" i="46"/>
  <c r="AC10" i="46" s="1"/>
  <c r="AD9" i="46"/>
  <c r="AE9" i="46"/>
  <c r="AE12" i="46" s="1"/>
  <c r="AF9" i="46"/>
  <c r="AF10" i="46" s="1"/>
  <c r="AG9" i="46"/>
  <c r="AG10" i="46" s="1"/>
  <c r="AH9" i="46"/>
  <c r="AI9" i="46"/>
  <c r="AI12" i="46" s="1"/>
  <c r="AJ9" i="46"/>
  <c r="Z9" i="46"/>
  <c r="Z10" i="46" s="1"/>
  <c r="AI10" i="46"/>
  <c r="AE10" i="46"/>
  <c r="AA10" i="46"/>
  <c r="Y10" i="46"/>
  <c r="Z12" i="46"/>
  <c r="AG12" i="46"/>
  <c r="AC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s="1"/>
  <c r="A14" i="51"/>
  <c r="B11" i="63" s="1"/>
  <c r="A4" i="55"/>
  <c r="B57" i="63" s="1"/>
  <c r="G5" i="54"/>
  <c r="B34" i="63" s="1"/>
  <c r="E5" i="54"/>
  <c r="B32" i="63" s="1"/>
  <c r="R2" i="54"/>
  <c r="B24" i="63" s="1"/>
  <c r="B49" i="50"/>
  <c r="B5" i="63" s="1"/>
  <c r="B40" i="50"/>
  <c r="B3" i="63" s="1"/>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s="1"/>
  <c r="C40" i="59" s="1"/>
  <c r="D40"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P26" i="59"/>
  <c r="E27" i="59" s="1"/>
  <c r="E28" i="59" s="1"/>
  <c r="E29" i="59" s="1"/>
  <c r="U29" i="59" s="1"/>
  <c r="O26" i="59"/>
  <c r="C27" i="59" s="1"/>
  <c r="D27" i="59" s="1"/>
  <c r="N26" i="59"/>
  <c r="B27" i="59" s="1"/>
  <c r="B28" i="59" s="1"/>
  <c r="B29" i="59" s="1"/>
  <c r="S29" i="59" s="1"/>
  <c r="D26" i="59"/>
  <c r="Q25" i="59"/>
  <c r="P25" i="59"/>
  <c r="O25" i="59"/>
  <c r="N25" i="59"/>
  <c r="Q24" i="59"/>
  <c r="AB24" i="59" s="1"/>
  <c r="P24" i="59"/>
  <c r="O24" i="59"/>
  <c r="Y24" i="59" s="1"/>
  <c r="Z24" i="59"/>
  <c r="N24" i="59"/>
  <c r="X24" i="59"/>
  <c r="Q23" i="59"/>
  <c r="P23" i="59"/>
  <c r="AA23" i="59" s="1"/>
  <c r="O23" i="59"/>
  <c r="Y23" i="59" s="1"/>
  <c r="N23" i="59"/>
  <c r="X23" i="59" s="1"/>
  <c r="Q22" i="59"/>
  <c r="F23" i="59"/>
  <c r="P22" i="59"/>
  <c r="E23" i="59"/>
  <c r="E24" i="59" s="1"/>
  <c r="E25" i="59" s="1"/>
  <c r="U25" i="59" s="1"/>
  <c r="O22" i="59"/>
  <c r="N22" i="59"/>
  <c r="D22" i="59"/>
  <c r="Q21" i="59"/>
  <c r="AB21" i="59" s="1"/>
  <c r="P21" i="59"/>
  <c r="O21" i="59"/>
  <c r="N21" i="59"/>
  <c r="Q20" i="59"/>
  <c r="AB20" i="59" s="1"/>
  <c r="P20" i="59"/>
  <c r="O20" i="59"/>
  <c r="N20" i="59"/>
  <c r="Q19" i="59"/>
  <c r="AB19" i="59" s="1"/>
  <c r="P19" i="59"/>
  <c r="O19" i="59"/>
  <c r="N19" i="59"/>
  <c r="Q18" i="59"/>
  <c r="AB11" i="59" s="1"/>
  <c r="P18" i="59"/>
  <c r="O18" i="59"/>
  <c r="C19" i="59" s="1"/>
  <c r="N18" i="59"/>
  <c r="B19" i="59" s="1"/>
  <c r="B20" i="59" s="1"/>
  <c r="B21" i="59" s="1"/>
  <c r="S21" i="59" s="1"/>
  <c r="D18" i="59"/>
  <c r="Q17" i="59"/>
  <c r="P17" i="59"/>
  <c r="AA17" i="59" s="1"/>
  <c r="O17" i="59"/>
  <c r="N17" i="59"/>
  <c r="X17" i="59" s="1"/>
  <c r="Q16" i="59"/>
  <c r="P16" i="59"/>
  <c r="AA16" i="59" s="1"/>
  <c r="O16" i="59"/>
  <c r="N16" i="59"/>
  <c r="X16" i="59" s="1"/>
  <c r="Q15" i="59"/>
  <c r="P15" i="59"/>
  <c r="AA3" i="59" s="1"/>
  <c r="O15" i="59"/>
  <c r="N15" i="59"/>
  <c r="X15" i="59" s="1"/>
  <c r="Q14" i="59"/>
  <c r="F15" i="59"/>
  <c r="F16" i="59" s="1"/>
  <c r="F17" i="59" s="1"/>
  <c r="V17" i="59" s="1"/>
  <c r="P14" i="59"/>
  <c r="O14" i="59"/>
  <c r="N14" i="59"/>
  <c r="D14" i="59"/>
  <c r="AA11" i="59"/>
  <c r="E15" i="59"/>
  <c r="E16" i="59" s="1"/>
  <c r="E17" i="59" s="1"/>
  <c r="U17" i="59" s="1"/>
  <c r="Z23" i="59"/>
  <c r="AA24" i="59"/>
  <c r="F24" i="59"/>
  <c r="F25" i="59" s="1"/>
  <c r="V25" i="59" s="1"/>
  <c r="F29" i="59"/>
  <c r="V29" i="59" s="1"/>
  <c r="F32" i="59"/>
  <c r="F33" i="59" s="1"/>
  <c r="V33" i="59"/>
  <c r="F41" i="59"/>
  <c r="V41" i="59" s="1"/>
  <c r="F49" i="59"/>
  <c r="V49" i="59" s="1"/>
  <c r="C32" i="59"/>
  <c r="D32" i="59" s="1"/>
  <c r="D31" i="59"/>
  <c r="D35" i="59"/>
  <c r="D43" i="59"/>
  <c r="T53" i="59"/>
  <c r="O53" i="59"/>
  <c r="D53" i="59"/>
  <c r="C52" i="59"/>
  <c r="O52" i="59" s="1"/>
  <c r="U53" i="59"/>
  <c r="C56" i="59"/>
  <c r="C55" i="59" s="1"/>
  <c r="D55" i="59" s="1"/>
  <c r="E56" i="59"/>
  <c r="E55" i="59"/>
  <c r="D57" i="59"/>
  <c r="C60" i="59"/>
  <c r="D60" i="59" s="1"/>
  <c r="C64" i="59"/>
  <c r="D64" i="59" s="1"/>
  <c r="E64" i="59"/>
  <c r="E63" i="59" s="1"/>
  <c r="D65" i="59"/>
  <c r="C68" i="59"/>
  <c r="C67" i="59" s="1"/>
  <c r="D67" i="59" s="1"/>
  <c r="C72" i="59"/>
  <c r="D72" i="59" s="1"/>
  <c r="U16" i="4"/>
  <c r="S16" i="4"/>
  <c r="Q16" i="4"/>
  <c r="O16" i="4"/>
  <c r="N16" i="4" s="1"/>
  <c r="M16" i="4"/>
  <c r="K16" i="4"/>
  <c r="C71" i="59"/>
  <c r="D71" i="59" s="1"/>
  <c r="C63" i="59"/>
  <c r="D63" i="59" s="1"/>
  <c r="D68" i="59"/>
  <c r="D44" i="59"/>
  <c r="C37" i="59"/>
  <c r="D37"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J26" i="21"/>
  <c r="W26" i="21" s="1"/>
  <c r="F26" i="21"/>
  <c r="AA26" i="21" s="1"/>
  <c r="AB41" i="21"/>
  <c r="S41" i="21"/>
  <c r="W41" i="21"/>
  <c r="S10" i="39"/>
  <c r="U30" i="37"/>
  <c r="F39" i="37"/>
  <c r="S39" i="37"/>
  <c r="W39" i="37"/>
  <c r="F29" i="36"/>
  <c r="AA29" i="36" s="1"/>
  <c r="F16" i="36"/>
  <c r="AA16" i="36" s="1"/>
  <c r="U22" i="36"/>
  <c r="W22" i="36"/>
  <c r="U26" i="36"/>
  <c r="AC31" i="36"/>
  <c r="AC27" i="35"/>
  <c r="U31" i="35"/>
  <c r="W36" i="35"/>
  <c r="S31" i="35"/>
  <c r="W31" i="35"/>
  <c r="U34" i="35"/>
  <c r="F36" i="34"/>
  <c r="S36" i="34" s="1"/>
  <c r="W9" i="34"/>
  <c r="S34" i="34"/>
  <c r="W39" i="34"/>
  <c r="H39" i="33"/>
  <c r="AB39" i="33" s="1"/>
  <c r="F26" i="33"/>
  <c r="AA26" i="33" s="1"/>
  <c r="U9" i="33"/>
  <c r="W38" i="33"/>
  <c r="S40" i="33"/>
  <c r="S33" i="33"/>
  <c r="U38" i="33"/>
  <c r="S8" i="21"/>
  <c r="W8" i="21"/>
  <c r="H39" i="37"/>
  <c r="AB39" i="37" s="1"/>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E113" i="33"/>
  <c r="F36" i="33"/>
  <c r="S36" i="33"/>
  <c r="F19" i="33"/>
  <c r="S19" i="33" s="1"/>
  <c r="J19" i="33"/>
  <c r="S10" i="21"/>
  <c r="F125" i="21"/>
  <c r="G125" i="21" s="1"/>
  <c r="G86" i="40"/>
  <c r="AC34" i="36"/>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J40" i="37"/>
  <c r="AC40" i="37" s="1"/>
  <c r="AA40" i="37"/>
  <c r="H14" i="33"/>
  <c r="U14" i="33" s="1"/>
  <c r="F14" i="33"/>
  <c r="AA14" i="33" s="1"/>
  <c r="J14" i="33"/>
  <c r="AC14" i="33" s="1"/>
  <c r="H30" i="33"/>
  <c r="AB30" i="33" s="1"/>
  <c r="F30" i="33"/>
  <c r="S30" i="33" s="1"/>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J36" i="37"/>
  <c r="AC36" i="37" s="1"/>
  <c r="G105" i="37"/>
  <c r="AB28" i="36"/>
  <c r="AB31" i="21"/>
  <c r="AB30" i="21"/>
  <c r="AA28" i="21"/>
  <c r="W14" i="21"/>
  <c r="W42"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AZ545" i="3" s="1"/>
  <c r="BL535" i="3"/>
  <c r="BL527" i="3"/>
  <c r="BL519" i="3"/>
  <c r="BL511" i="3"/>
  <c r="BL501" i="3"/>
  <c r="BL491" i="3"/>
  <c r="BL483" i="3"/>
  <c r="G16"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31" i="3"/>
  <c r="BA521" i="3"/>
  <c r="BA509" i="3"/>
  <c r="BA505" i="3"/>
  <c r="BA501" i="3"/>
  <c r="BA493" i="3"/>
  <c r="BA487" i="3"/>
  <c r="BA19" i="3"/>
  <c r="BA572" i="3"/>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s="1"/>
  <c r="BA20" i="3"/>
  <c r="G566" i="3"/>
  <c r="G562" i="3"/>
  <c r="G560" i="3"/>
  <c r="G558" i="3"/>
  <c r="G556" i="3"/>
  <c r="G554" i="3"/>
  <c r="G550" i="3"/>
  <c r="G546" i="3"/>
  <c r="BL543" i="3"/>
  <c r="AC542" i="3"/>
  <c r="G542" i="3" s="1"/>
  <c r="BQ542" i="3"/>
  <c r="BQ568" i="3"/>
  <c r="BQ566" i="3"/>
  <c r="BQ564" i="3"/>
  <c r="BL564" i="3" s="1"/>
  <c r="BQ562" i="3"/>
  <c r="BL562" i="3" s="1"/>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s="1"/>
  <c r="AZ534" i="3" s="1"/>
  <c r="BQ532" i="3"/>
  <c r="BL532" i="3" s="1"/>
  <c r="AZ532" i="3" s="1"/>
  <c r="BQ530" i="3"/>
  <c r="BQ528" i="3"/>
  <c r="BL528" i="3" s="1"/>
  <c r="BQ526" i="3"/>
  <c r="BL526" i="3" s="1"/>
  <c r="AZ526" i="3" s="1"/>
  <c r="BQ524" i="3"/>
  <c r="BL524" i="3" s="1"/>
  <c r="AZ524" i="3" s="1"/>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BQ500" i="3"/>
  <c r="BL500" i="3" s="1"/>
  <c r="BQ498" i="3"/>
  <c r="BL498" i="3" s="1"/>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s="1"/>
  <c r="F17" i="37"/>
  <c r="AA17" i="37" s="1"/>
  <c r="AB43" i="33"/>
  <c r="D3" i="21"/>
  <c r="AC12" i="35"/>
  <c r="W23" i="35"/>
  <c r="AC23" i="37"/>
  <c r="U39" i="37"/>
  <c r="AC8" i="37"/>
  <c r="S25" i="37"/>
  <c r="AC36" i="34"/>
  <c r="AB8" i="34"/>
  <c r="AA13" i="33"/>
  <c r="AC45" i="33"/>
  <c r="U19" i="21"/>
  <c r="AA36" i="21"/>
  <c r="S39" i="33"/>
  <c r="F43" i="33"/>
  <c r="AA43" i="33" s="1"/>
  <c r="AA23" i="37"/>
  <c r="H107" i="37"/>
  <c r="I107" i="37" s="1"/>
  <c r="J107" i="37" s="1"/>
  <c r="K107" i="37" s="1"/>
  <c r="L107" i="37" s="1"/>
  <c r="M107" i="37" s="1"/>
  <c r="F37" i="21"/>
  <c r="S37" i="21"/>
  <c r="J37" i="21"/>
  <c r="W37" i="21"/>
  <c r="H19" i="34"/>
  <c r="AB19" i="34"/>
  <c r="J10" i="37"/>
  <c r="W10" i="37"/>
  <c r="F36" i="35"/>
  <c r="S36" i="35"/>
  <c r="J9" i="37"/>
  <c r="W9" i="37"/>
  <c r="H9" i="37"/>
  <c r="U9" i="37"/>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BA327" i="3"/>
  <c r="BL327" i="3"/>
  <c r="AZ327" i="3"/>
  <c r="G328" i="3"/>
  <c r="BA329" i="3"/>
  <c r="AZ329" i="3" s="1"/>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BL115" i="3"/>
  <c r="AZ115" i="3"/>
  <c r="G116" i="3"/>
  <c r="BA118" i="3"/>
  <c r="AZ118" i="3" s="1"/>
  <c r="BL119" i="3"/>
  <c r="AZ119" i="3" s="1"/>
  <c r="G120" i="3"/>
  <c r="BA122" i="3"/>
  <c r="AZ122" i="3"/>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27" i="3"/>
  <c r="AZ35" i="3"/>
  <c r="AZ43" i="3"/>
  <c r="AZ51"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0" i="3"/>
  <c r="AZ78" i="3"/>
  <c r="AZ201" i="3"/>
  <c r="AZ90" i="3"/>
  <c r="AZ98" i="3"/>
  <c r="AZ106"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AZ344" i="3" s="1"/>
  <c r="BA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83" i="3"/>
  <c r="AZ191"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29" i="3"/>
  <c r="AZ233" i="3"/>
  <c r="AZ245" i="3"/>
  <c r="AZ309" i="3"/>
  <c r="AZ317" i="3"/>
  <c r="AZ321" i="3"/>
  <c r="AZ325" i="3"/>
  <c r="AZ333" i="3"/>
  <c r="AZ353" i="3"/>
  <c r="AZ363" i="3"/>
  <c r="G368" i="3"/>
  <c r="BA370" i="3"/>
  <c r="BL371" i="3"/>
  <c r="AZ371" i="3" s="1"/>
  <c r="G372" i="3"/>
  <c r="BA374" i="3"/>
  <c r="AZ374" i="3" s="1"/>
  <c r="BL375" i="3"/>
  <c r="G376" i="3"/>
  <c r="BA378" i="3"/>
  <c r="AZ378" i="3" s="1"/>
  <c r="BL379" i="3"/>
  <c r="G380" i="3"/>
  <c r="BA382" i="3"/>
  <c r="AZ382" i="3"/>
  <c r="BL383" i="3"/>
  <c r="G384" i="3"/>
  <c r="AZ249" i="3"/>
  <c r="AZ261" i="3"/>
  <c r="AZ265" i="3"/>
  <c r="AZ375" i="3"/>
  <c r="AZ383" i="3"/>
  <c r="AZ274" i="3"/>
  <c r="AZ278" i="3"/>
  <c r="AZ290" i="3"/>
  <c r="AZ295" i="3"/>
  <c r="AZ311" i="3"/>
  <c r="AZ313" i="3"/>
  <c r="AZ335" i="3"/>
  <c r="AZ394" i="3"/>
  <c r="AZ410" i="3"/>
  <c r="AZ418" i="3"/>
  <c r="AZ426" i="3"/>
  <c r="AZ430" i="3"/>
  <c r="AZ442" i="3"/>
  <c r="AZ446" i="3"/>
  <c r="AZ455" i="3"/>
  <c r="AZ467" i="3"/>
  <c r="AZ471"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c r="U42" i="21"/>
  <c r="AC26" i="36"/>
  <c r="AZ322" i="3"/>
  <c r="H13" i="39"/>
  <c r="AB13" i="39" s="1"/>
  <c r="F13" i="39"/>
  <c r="S13" i="39" s="1"/>
  <c r="J13" i="39"/>
  <c r="AC13" i="39" s="1"/>
  <c r="AA36" i="35"/>
  <c r="H11" i="37"/>
  <c r="AB11" i="37" s="1"/>
  <c r="AA30" i="33"/>
  <c r="AB17" i="37"/>
  <c r="AZ546" i="3"/>
  <c r="AA45" i="33"/>
  <c r="AC10" i="36"/>
  <c r="AC14" i="37"/>
  <c r="S25" i="35"/>
  <c r="AC30" i="33"/>
  <c r="W30" i="33"/>
  <c r="AC29" i="37"/>
  <c r="W32" i="36"/>
  <c r="AC32" i="36"/>
  <c r="J33" i="34"/>
  <c r="AC33"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AA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F43" i="39"/>
  <c r="S43" i="39" s="1"/>
  <c r="H43" i="39"/>
  <c r="U43" i="39"/>
  <c r="J43" i="39"/>
  <c r="F99" i="37"/>
  <c r="G99" i="37" s="1"/>
  <c r="H99" i="37" s="1"/>
  <c r="I99" i="37" s="1"/>
  <c r="J99" i="37" s="1"/>
  <c r="K99" i="37" s="1"/>
  <c r="L99" i="37" s="1"/>
  <c r="M99" i="37" s="1"/>
  <c r="U31" i="34"/>
  <c r="W40" i="37"/>
  <c r="AC45" i="21"/>
  <c r="S28" i="33"/>
  <c r="S14" i="21"/>
  <c r="AB29" i="35"/>
  <c r="AC19" i="33"/>
  <c r="W19" i="33"/>
  <c r="U43" i="34"/>
  <c r="AB43" i="34"/>
  <c r="AC34" i="37"/>
  <c r="AA35" i="37"/>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BL554" i="3"/>
  <c r="BA553" i="3"/>
  <c r="BA552" i="3"/>
  <c r="BL549" i="3"/>
  <c r="BA549" i="3"/>
  <c r="BL548" i="3"/>
  <c r="AZ548" i="3" s="1"/>
  <c r="BA548" i="3"/>
  <c r="BL547" i="3"/>
  <c r="BA547" i="3"/>
  <c r="BL539" i="3"/>
  <c r="BA539" i="3"/>
  <c r="AZ539" i="3"/>
  <c r="BA538" i="3"/>
  <c r="AZ538" i="3"/>
  <c r="BL537" i="3"/>
  <c r="BA537" i="3"/>
  <c r="AZ537" i="3" s="1"/>
  <c r="BA535" i="3"/>
  <c r="AZ535" i="3"/>
  <c r="BA534" i="3"/>
  <c r="BA533" i="3"/>
  <c r="AZ533" i="3" s="1"/>
  <c r="BL531" i="3"/>
  <c r="AZ531" i="3" s="1"/>
  <c r="BL530" i="3"/>
  <c r="BA530" i="3"/>
  <c r="BL529" i="3"/>
  <c r="BA529" i="3"/>
  <c r="AZ528" i="3"/>
  <c r="BA527" i="3"/>
  <c r="AZ527" i="3"/>
  <c r="BA526" i="3"/>
  <c r="BA525" i="3"/>
  <c r="AZ525" i="3"/>
  <c r="BL523" i="3"/>
  <c r="BA523" i="3"/>
  <c r="AZ523" i="3" s="1"/>
  <c r="BL522" i="3"/>
  <c r="BA522" i="3"/>
  <c r="AZ522" i="3" s="1"/>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s="1"/>
  <c r="BA506" i="3"/>
  <c r="BL505" i="3"/>
  <c r="BL504" i="3"/>
  <c r="BA504" i="3"/>
  <c r="BA503" i="3"/>
  <c r="BA500" i="3"/>
  <c r="AZ500" i="3" s="1"/>
  <c r="BL499" i="3"/>
  <c r="BA499" i="3"/>
  <c r="AZ499" i="3"/>
  <c r="AZ498" i="3"/>
  <c r="BL497" i="3"/>
  <c r="BA497" i="3"/>
  <c r="BL496" i="3"/>
  <c r="BA496" i="3"/>
  <c r="BA495" i="3"/>
  <c r="AZ495" i="3" s="1"/>
  <c r="BL494" i="3"/>
  <c r="BA494" i="3"/>
  <c r="AZ494" i="3" s="1"/>
  <c r="BA491" i="3"/>
  <c r="BL490" i="3"/>
  <c r="BA490" i="3"/>
  <c r="AZ490" i="3" s="1"/>
  <c r="BL489" i="3"/>
  <c r="BA489" i="3"/>
  <c r="BL487" i="3"/>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B41" i="1"/>
  <c r="F34" i="44" s="1"/>
  <c r="J42" i="40"/>
  <c r="AC42" i="40"/>
  <c r="J40" i="40"/>
  <c r="AC40" i="40"/>
  <c r="J34" i="40"/>
  <c r="AC34" i="40"/>
  <c r="H16" i="40"/>
  <c r="AB16" i="40"/>
  <c r="H14" i="40"/>
  <c r="U14" i="40"/>
  <c r="F32" i="40"/>
  <c r="AA32" i="40"/>
  <c r="AZ428" i="3"/>
  <c r="AZ444" i="3"/>
  <c r="AZ449" i="3"/>
  <c r="M1" i="46"/>
  <c r="M6" i="46"/>
  <c r="M10" i="46"/>
  <c r="N2" i="46"/>
  <c r="N5" i="46"/>
  <c r="F58" i="46"/>
  <c r="H58" i="46" s="1"/>
  <c r="F47" i="46"/>
  <c r="H49" i="46"/>
  <c r="N7" i="46"/>
  <c r="AZ466" i="3"/>
  <c r="AZ469" i="3"/>
  <c r="AZ388" i="3"/>
  <c r="AZ207" i="3"/>
  <c r="AZ228" i="3"/>
  <c r="AZ231" i="3"/>
  <c r="AZ244" i="3"/>
  <c r="AZ247" i="3"/>
  <c r="AZ260" i="3"/>
  <c r="AZ263" i="3"/>
  <c r="AZ276" i="3"/>
  <c r="AZ281" i="3"/>
  <c r="AZ124" i="3"/>
  <c r="AZ140" i="3"/>
  <c r="M7" i="46"/>
  <c r="M11" i="46"/>
  <c r="N3" i="46"/>
  <c r="N6" i="46"/>
  <c r="N10" i="46"/>
  <c r="AZ167" i="3"/>
  <c r="AZ177" i="3"/>
  <c r="AZ24" i="3"/>
  <c r="AZ40" i="3"/>
  <c r="AZ63" i="3"/>
  <c r="AZ79" i="3"/>
  <c r="AZ99" i="3"/>
  <c r="H47" i="46"/>
  <c r="J13" i="40"/>
  <c r="W13" i="40"/>
  <c r="AB14" i="40"/>
  <c r="W40" i="40"/>
  <c r="F72" i="9"/>
  <c r="W35" i="40"/>
  <c r="AB32" i="40"/>
  <c r="AC47" i="39"/>
  <c r="S47" i="39"/>
  <c r="AB25" i="39"/>
  <c r="U37" i="34"/>
  <c r="AC41" i="40"/>
  <c r="W41" i="40"/>
  <c r="U41" i="40"/>
  <c r="J23" i="40"/>
  <c r="AC23" i="40"/>
  <c r="F23" i="40"/>
  <c r="S23" i="40" s="1"/>
  <c r="AC15" i="40"/>
  <c r="W27" i="39"/>
  <c r="S23" i="39"/>
  <c r="AB16" i="39"/>
  <c r="W14" i="39"/>
  <c r="U23" i="35"/>
  <c r="AB23" i="35"/>
  <c r="H20" i="35"/>
  <c r="U20" i="35" s="1"/>
  <c r="F20" i="35"/>
  <c r="S20" i="35" s="1"/>
  <c r="H15" i="34"/>
  <c r="AB15"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21" i="39"/>
  <c r="U21" i="39"/>
  <c r="AB17" i="39"/>
  <c r="AB33" i="36"/>
  <c r="AA11" i="36"/>
  <c r="S14" i="35"/>
  <c r="F33" i="37"/>
  <c r="S33" i="37" s="1"/>
  <c r="AB19" i="39"/>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s="1"/>
  <c r="U40" i="21"/>
  <c r="U11" i="37"/>
  <c r="U13" i="39"/>
  <c r="AC16" i="35"/>
  <c r="AC13" i="40"/>
  <c r="J11" i="34"/>
  <c r="W11" i="34"/>
  <c r="S17" i="34"/>
  <c r="AC36" i="33"/>
  <c r="F25" i="40"/>
  <c r="AA25" i="40" s="1"/>
  <c r="J11" i="33"/>
  <c r="W11" i="33" s="1"/>
  <c r="H33" i="37"/>
  <c r="AB33" i="37" s="1"/>
  <c r="W15" i="34"/>
  <c r="AC15" i="34"/>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M22" i="44"/>
  <c r="F29" i="12"/>
  <c r="F31" i="43"/>
  <c r="S8" i="36"/>
  <c r="AA26" i="36"/>
  <c r="AA28" i="36"/>
  <c r="U25" i="36"/>
  <c r="H20" i="36"/>
  <c r="U20" i="36" s="1"/>
  <c r="F68" i="36"/>
  <c r="G68" i="36" s="1"/>
  <c r="J20" i="36"/>
  <c r="AC20" i="36" s="1"/>
  <c r="F20" i="36"/>
  <c r="S20" i="36" s="1"/>
  <c r="F62" i="36"/>
  <c r="G62" i="36" s="1"/>
  <c r="J14" i="36"/>
  <c r="H14" i="36"/>
  <c r="U14" i="36" s="1"/>
  <c r="F14" i="36"/>
  <c r="AA14" i="36" s="1"/>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s="1"/>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39" i="21"/>
  <c r="AC34" i="21"/>
  <c r="W32" i="21"/>
  <c r="U35" i="21"/>
  <c r="W43" i="21"/>
  <c r="AA37" i="21"/>
  <c r="S42"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AA21" i="40"/>
  <c r="U21" i="40"/>
  <c r="U25" i="40"/>
  <c r="W42" i="40"/>
  <c r="U35" i="40"/>
  <c r="F37" i="40"/>
  <c r="J37" i="40"/>
  <c r="AC37" i="40" s="1"/>
  <c r="H37" i="40"/>
  <c r="AB37" i="40" s="1"/>
  <c r="G113" i="40"/>
  <c r="H113" i="40" s="1"/>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H19" i="40"/>
  <c r="U19" i="40" s="1"/>
  <c r="J19" i="40"/>
  <c r="W17" i="40"/>
  <c r="AC17" i="40"/>
  <c r="F17" i="40"/>
  <c r="AA17" i="40" s="1"/>
  <c r="H17" i="40"/>
  <c r="AB17" i="40" s="1"/>
  <c r="W21" i="40"/>
  <c r="AB40" i="40"/>
  <c r="U10" i="40"/>
  <c r="U27" i="40"/>
  <c r="AB27" i="40"/>
  <c r="AC44" i="39"/>
  <c r="W13" i="39"/>
  <c r="S11" i="39"/>
  <c r="AB45" i="39"/>
  <c r="AA21" i="39"/>
  <c r="AC19" i="39"/>
  <c r="AC38" i="39"/>
  <c r="S29" i="39"/>
  <c r="AC17" i="39"/>
  <c r="S14" i="39"/>
  <c r="AB15" i="39"/>
  <c r="U11" i="39"/>
  <c r="U41" i="39"/>
  <c r="U23" i="39"/>
  <c r="AB38" i="39"/>
  <c r="U31" i="39"/>
  <c r="AB31" i="39"/>
  <c r="S25" i="39"/>
  <c r="S38" i="39"/>
  <c r="D18" i="9"/>
  <c r="M44" i="9" s="1"/>
  <c r="M43" i="9"/>
  <c r="M20" i="15"/>
  <c r="D96" i="9"/>
  <c r="M18" i="15"/>
  <c r="A18" i="64"/>
  <c r="B74" i="63" s="1"/>
  <c r="C53" i="10"/>
  <c r="A25" i="64" s="1"/>
  <c r="A18" i="51"/>
  <c r="B14" i="63"/>
  <c r="BA16" i="3"/>
  <c r="BA17" i="3"/>
  <c r="AZ17" i="3" s="1"/>
  <c r="F3" i="35"/>
  <c r="K1" i="43"/>
  <c r="K1" i="12"/>
  <c r="G1" i="44"/>
  <c r="AZ15" i="3"/>
  <c r="BK5" i="3"/>
  <c r="BO5" i="3"/>
  <c r="BP5" i="3"/>
  <c r="G29" i="6" s="1"/>
  <c r="BN5" i="3"/>
  <c r="BL18" i="3"/>
  <c r="AZ18" i="3" s="1"/>
  <c r="BC5" i="3"/>
  <c r="E8" i="6"/>
  <c r="E53" i="40" s="1"/>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K10" i="1"/>
  <c r="M10" i="1" s="1"/>
  <c r="S11" i="1"/>
  <c r="R11" i="1"/>
  <c r="S13" i="1"/>
  <c r="R13" i="1"/>
  <c r="B6" i="1"/>
  <c r="E6" i="1" s="1"/>
  <c r="B10" i="1"/>
  <c r="E10" i="1" s="1"/>
  <c r="S10" i="1"/>
  <c r="B8" i="1"/>
  <c r="E8" i="1"/>
  <c r="B12" i="1"/>
  <c r="E12" i="1"/>
  <c r="S12" i="1"/>
  <c r="K6" i="1"/>
  <c r="M6" i="1" s="1"/>
  <c r="O12" i="1"/>
  <c r="P12" i="1" s="1"/>
  <c r="G1" i="15"/>
  <c r="F66" i="36"/>
  <c r="H18" i="36"/>
  <c r="AB18" i="36" s="1"/>
  <c r="U16" i="36"/>
  <c r="S25" i="36"/>
  <c r="AA34"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C37" i="21"/>
  <c r="AA29" i="21"/>
  <c r="W31"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E58" i="39"/>
  <c r="F27" i="6"/>
  <c r="E5" i="6"/>
  <c r="D21" i="12" s="1"/>
  <c r="C21" i="12" s="1"/>
  <c r="AZ16" i="3"/>
  <c r="H70" i="46"/>
  <c r="H72" i="46"/>
  <c r="A9" i="64"/>
  <c r="A9" i="51"/>
  <c r="B9" i="63" s="1"/>
  <c r="A25" i="51"/>
  <c r="B18" i="63" s="1"/>
  <c r="A3" i="55"/>
  <c r="B56" i="63" s="1"/>
  <c r="G59" i="34"/>
  <c r="H59" i="34" s="1"/>
  <c r="I59" i="34"/>
  <c r="J59" i="34" s="1"/>
  <c r="K59" i="34" s="1"/>
  <c r="F46" i="36"/>
  <c r="G46" i="36" s="1"/>
  <c r="H46" i="36" s="1"/>
  <c r="I46" i="36" s="1"/>
  <c r="J46" i="36" s="1"/>
  <c r="G66" i="36"/>
  <c r="J18" i="36"/>
  <c r="AE8" i="1"/>
  <c r="AE7" i="1"/>
  <c r="W18" i="36"/>
  <c r="AC18" i="36"/>
  <c r="AG6" i="1"/>
  <c r="L20" i="6"/>
  <c r="L19" i="6"/>
  <c r="F7" i="21"/>
  <c r="S7" i="21" s="1"/>
  <c r="J7" i="21"/>
  <c r="AC7" i="21" s="1"/>
  <c r="V48" i="21" s="1"/>
  <c r="I48" i="21" s="1"/>
  <c r="I52" i="21" s="1"/>
  <c r="J52" i="21" s="1"/>
  <c r="H7" i="21"/>
  <c r="U7" i="21" s="1"/>
  <c r="J22" i="46"/>
  <c r="S7" i="1"/>
  <c r="S8" i="1"/>
  <c r="S9" i="1"/>
  <c r="R9" i="1"/>
  <c r="R7" i="1"/>
  <c r="R8" i="1"/>
  <c r="C45" i="9"/>
  <c r="O40" i="9"/>
  <c r="K31" i="9" s="1"/>
  <c r="K32" i="9" s="1"/>
  <c r="N76" i="9"/>
  <c r="C46" i="9"/>
  <c r="I14" i="66" s="1"/>
  <c r="B8" i="66" s="1"/>
  <c r="F16" i="15"/>
  <c r="E10" i="67"/>
  <c r="F13" i="67"/>
  <c r="I5" i="65"/>
  <c r="E12" i="67"/>
  <c r="L48" i="15"/>
  <c r="J4" i="65"/>
  <c r="E11" i="67"/>
  <c r="F13" i="15"/>
  <c r="B12" i="67"/>
  <c r="B9" i="67"/>
  <c r="B10" i="67"/>
  <c r="N3" i="65"/>
  <c r="M9" i="15"/>
  <c r="J5" i="65"/>
  <c r="N5" i="65"/>
  <c r="F38" i="44"/>
  <c r="L47" i="15"/>
  <c r="M30" i="44"/>
  <c r="F8" i="15"/>
  <c r="M28" i="15"/>
  <c r="F10" i="44"/>
  <c r="M26" i="15"/>
  <c r="F10" i="67"/>
  <c r="M23" i="15"/>
  <c r="F26" i="15"/>
  <c r="I6" i="65"/>
  <c r="F40" i="44"/>
  <c r="F8" i="67"/>
  <c r="F9" i="44"/>
  <c r="F36" i="15"/>
  <c r="J6" i="65"/>
  <c r="M8" i="15"/>
  <c r="M22" i="15"/>
  <c r="F6" i="15"/>
  <c r="M27" i="15"/>
  <c r="F40" i="15"/>
  <c r="J36" i="15"/>
  <c r="I4" i="65"/>
  <c r="F14" i="67"/>
  <c r="M23" i="44"/>
  <c r="B13" i="67"/>
  <c r="B14" i="67"/>
  <c r="J17" i="44"/>
  <c r="E14" i="67"/>
  <c r="M10" i="44"/>
  <c r="F37" i="44"/>
  <c r="F9" i="67"/>
  <c r="J15" i="15"/>
  <c r="F45" i="44"/>
  <c r="M8" i="44"/>
  <c r="I7" i="65"/>
  <c r="M24" i="44"/>
  <c r="M29" i="15"/>
  <c r="F43" i="15"/>
  <c r="I3" i="65"/>
  <c r="M6" i="15"/>
  <c r="F9" i="15"/>
  <c r="F15" i="44"/>
  <c r="F46" i="44"/>
  <c r="F18" i="44"/>
  <c r="F37" i="15"/>
  <c r="M24" i="15"/>
  <c r="F12" i="67"/>
  <c r="E9" i="67"/>
  <c r="F11" i="44"/>
  <c r="F7" i="15"/>
  <c r="N4" i="65"/>
  <c r="N6" i="65"/>
  <c r="J7" i="65"/>
  <c r="B11" i="67"/>
  <c r="E8" i="67"/>
  <c r="N7" i="65"/>
  <c r="F11" i="67"/>
  <c r="M29" i="44"/>
  <c r="J3" i="65"/>
  <c r="F38" i="15"/>
  <c r="E13" i="67"/>
  <c r="F42" i="15"/>
  <c r="B8" i="67"/>
  <c r="R7" i="54" l="1"/>
  <c r="B52" i="63" s="1"/>
  <c r="W31" i="39"/>
  <c r="AZ345" i="3"/>
  <c r="AZ300" i="3"/>
  <c r="AZ555" i="3"/>
  <c r="BL572" i="3"/>
  <c r="AZ572" i="3" s="1"/>
  <c r="BH5" i="3"/>
  <c r="BF5" i="3"/>
  <c r="F9" i="21"/>
  <c r="J9" i="21"/>
  <c r="AZ486" i="3"/>
  <c r="AZ489" i="3"/>
  <c r="AZ496" i="3"/>
  <c r="AZ564" i="3"/>
  <c r="AZ370" i="3"/>
  <c r="AZ338" i="3"/>
  <c r="AZ502" i="3"/>
  <c r="AZ521" i="3"/>
  <c r="U30" i="33"/>
  <c r="AA38" i="37"/>
  <c r="AC23" i="36"/>
  <c r="W23" i="36"/>
  <c r="BA570" i="3"/>
  <c r="AZ570" i="3" s="1"/>
  <c r="BT5" i="3"/>
  <c r="G28" i="6" s="1"/>
  <c r="G30" i="6" s="1"/>
  <c r="G31" i="6" s="1"/>
  <c r="BI5" i="3"/>
  <c r="BG5" i="3"/>
  <c r="F34" i="35"/>
  <c r="AA34" i="35" s="1"/>
  <c r="F23" i="36"/>
  <c r="H23" i="36"/>
  <c r="G567" i="3"/>
  <c r="G563" i="3"/>
  <c r="G552" i="3"/>
  <c r="G531" i="3"/>
  <c r="G525" i="3"/>
  <c r="G487" i="3"/>
  <c r="G19" i="3"/>
  <c r="BL563" i="3"/>
  <c r="AZ563" i="3" s="1"/>
  <c r="BL553" i="3"/>
  <c r="AZ553" i="3" s="1"/>
  <c r="BA542" i="3"/>
  <c r="BA541" i="3"/>
  <c r="AZ541" i="3" s="1"/>
  <c r="BA540" i="3"/>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AZ144" i="3" s="1"/>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AZ296" i="3"/>
  <c r="AZ125" i="3"/>
  <c r="AZ128" i="3"/>
  <c r="AZ141" i="3"/>
  <c r="AZ155" i="3"/>
  <c r="AZ168" i="3"/>
  <c r="C20" i="59"/>
  <c r="D19" i="59"/>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C31" i="39"/>
  <c r="S21" i="21"/>
  <c r="BL110" i="3"/>
  <c r="AZ110" i="3" s="1"/>
  <c r="BA111" i="3"/>
  <c r="AZ111" i="3" s="1"/>
  <c r="BA112" i="3"/>
  <c r="AZ112" i="3" s="1"/>
  <c r="K13" i="1"/>
  <c r="M13" i="1" s="1"/>
  <c r="O13" i="1" s="1"/>
  <c r="P13" i="1" s="1"/>
  <c r="I15" i="57"/>
  <c r="C59" i="59"/>
  <c r="D59" i="59" s="1"/>
  <c r="L16" i="4"/>
  <c r="K17" i="4" s="1"/>
  <c r="A22" i="51" s="1"/>
  <c r="B16" i="63" s="1"/>
  <c r="X12" i="59"/>
  <c r="AB15" i="59"/>
  <c r="AB17" i="59"/>
  <c r="X19" i="59"/>
  <c r="AA20" i="59"/>
  <c r="X21" i="59"/>
  <c r="AB22" i="59"/>
  <c r="AB23" i="59"/>
  <c r="C28" i="59"/>
  <c r="B32" i="59"/>
  <c r="B33" i="59" s="1"/>
  <c r="S33" i="59" s="1"/>
  <c r="B36" i="59"/>
  <c r="B37" i="59" s="1"/>
  <c r="S37" i="59" s="1"/>
  <c r="E36" i="59"/>
  <c r="E37" i="59" s="1"/>
  <c r="U37" i="59" s="1"/>
  <c r="AB3" i="59"/>
  <c r="P75" i="15"/>
  <c r="C72" i="39"/>
  <c r="D70" i="39"/>
  <c r="AC7" i="33"/>
  <c r="V48" i="33" s="1"/>
  <c r="I48" i="33" s="1"/>
  <c r="J51" i="15"/>
  <c r="E14" i="52"/>
  <c r="F28" i="15"/>
  <c r="C28" i="15" s="1"/>
  <c r="D86" i="9"/>
  <c r="F32" i="15"/>
  <c r="F59" i="15" s="1"/>
  <c r="F27" i="43"/>
  <c r="C92" i="9"/>
  <c r="AZ13" i="3"/>
  <c r="H16" i="1"/>
  <c r="BQ5" i="3"/>
  <c r="F28" i="6" s="1"/>
  <c r="F30" i="6" s="1"/>
  <c r="E12" i="6"/>
  <c r="E11" i="6"/>
  <c r="E10" i="6"/>
  <c r="L27" i="6"/>
  <c r="E29" i="6"/>
  <c r="K15" i="1" s="1"/>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F31" i="6"/>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M11" i="44"/>
  <c r="L49" i="44"/>
  <c r="F43" i="44"/>
  <c r="M25" i="44"/>
  <c r="C19" i="44"/>
  <c r="F39" i="44"/>
  <c r="M26" i="44"/>
  <c r="M28" i="44"/>
  <c r="E2" i="65"/>
  <c r="C18" i="44"/>
  <c r="M31" i="44"/>
  <c r="L48" i="44"/>
  <c r="C16" i="15"/>
  <c r="E3" i="65"/>
  <c r="F8" i="44"/>
  <c r="F28" i="44"/>
  <c r="D20" i="59" l="1"/>
  <c r="C21" i="59"/>
  <c r="AB23" i="36"/>
  <c r="U23" i="36"/>
  <c r="W9" i="21"/>
  <c r="AC9" i="21"/>
  <c r="AZ21" i="3"/>
  <c r="BA5" i="3"/>
  <c r="E27" i="6" s="1"/>
  <c r="AA23" i="36"/>
  <c r="S23" i="36"/>
  <c r="S9" i="21"/>
  <c r="AA9" i="21"/>
  <c r="E70" i="39"/>
  <c r="D72" i="39"/>
  <c r="E28" i="6"/>
  <c r="E58" i="40"/>
  <c r="E63" i="39"/>
  <c r="E61" i="40"/>
  <c r="E66" i="39"/>
  <c r="K24" i="6"/>
  <c r="M24" i="6" s="1"/>
  <c r="I24" i="6" s="1"/>
  <c r="S24"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L47" i="44"/>
  <c r="F17" i="11"/>
  <c r="C17" i="11" s="1"/>
  <c r="B40" i="1"/>
  <c r="O17" i="46"/>
  <c r="P17" i="46"/>
  <c r="M17" i="46"/>
  <c r="N17" i="46"/>
  <c r="Q61" i="15"/>
  <c r="Q74" i="15"/>
  <c r="F13" i="44"/>
  <c r="C12" i="44" s="1"/>
  <c r="M11" i="15"/>
  <c r="J10" i="15" s="1"/>
  <c r="J5" i="15" s="1"/>
  <c r="F11" i="15"/>
  <c r="M13" i="44"/>
  <c r="J12" i="44" s="1"/>
  <c r="F1" i="15"/>
  <c r="Q53" i="15"/>
  <c r="Q75" i="15"/>
  <c r="Q62" i="15"/>
  <c r="Q62" i="44"/>
  <c r="F33" i="44"/>
  <c r="AE6" i="1"/>
  <c r="D21" i="59" l="1"/>
  <c r="T21" i="59"/>
  <c r="K23" i="6"/>
  <c r="M23" i="6" s="1"/>
  <c r="I23" i="6" s="1"/>
  <c r="S23" i="6" s="1"/>
  <c r="K25" i="6"/>
  <c r="M25" i="6" s="1"/>
  <c r="I25" i="6" s="1"/>
  <c r="S25" i="6" s="1"/>
  <c r="K21" i="6"/>
  <c r="M21" i="6" s="1"/>
  <c r="I21" i="6" s="1"/>
  <c r="S21" i="6" s="1"/>
  <c r="E30" i="6"/>
  <c r="E31" i="6" s="1"/>
  <c r="K22" i="6"/>
  <c r="M22" i="6" s="1"/>
  <c r="I22" i="6" s="1"/>
  <c r="S22" i="6" s="1"/>
  <c r="K26" i="6"/>
  <c r="M26" i="6" s="1"/>
  <c r="I26" i="6" s="1"/>
  <c r="S26" i="6" s="1"/>
  <c r="E72" i="39"/>
  <c r="F70" i="39"/>
  <c r="F1" i="44"/>
  <c r="C19" i="11"/>
  <c r="J7" i="44"/>
  <c r="J26" i="44" s="1"/>
  <c r="K20" i="6"/>
  <c r="M20" i="6" s="1"/>
  <c r="I20" i="6" s="1"/>
  <c r="S20" i="6" s="1"/>
  <c r="K19" i="6"/>
  <c r="S6" i="1" s="1"/>
  <c r="K14" i="1"/>
  <c r="S6" i="46"/>
  <c r="S2" i="46"/>
  <c r="S3" i="46"/>
  <c r="S7" i="46"/>
  <c r="S4" i="46"/>
  <c r="S5" i="46"/>
  <c r="C7" i="44"/>
  <c r="C40" i="44" s="1"/>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J28" i="44"/>
  <c r="J31" i="44" s="1"/>
  <c r="F21" i="43"/>
  <c r="C23" i="43" s="1"/>
  <c r="D21" i="43" s="1"/>
  <c r="F24" i="15"/>
  <c r="C24" i="15" s="1"/>
  <c r="F26" i="44"/>
  <c r="C26" i="44" s="1"/>
  <c r="F26" i="12"/>
  <c r="C20" i="11"/>
  <c r="C21" i="11" s="1"/>
  <c r="C22" i="11" s="1"/>
  <c r="C23" i="11" s="1"/>
  <c r="B2" i="11" s="1"/>
  <c r="C52" i="15"/>
  <c r="C47" i="15" s="1"/>
  <c r="C10" i="15"/>
  <c r="C5" i="15" s="1"/>
  <c r="J26" i="15"/>
  <c r="J24" i="15"/>
  <c r="J18" i="15"/>
  <c r="C17" i="15"/>
  <c r="F41" i="15"/>
  <c r="L52" i="44"/>
  <c r="S16" i="1" l="1"/>
  <c r="F72" i="39"/>
  <c r="G70"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Q67" i="44"/>
  <c r="Q58" i="44"/>
  <c r="H40" i="39" l="1"/>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Q64" i="44" s="1"/>
  <c r="C14" i="15"/>
  <c r="C16" i="44"/>
  <c r="R24" i="6" l="1"/>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s="1"/>
  <c r="C17" i="12" l="1"/>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F35" i="15"/>
  <c r="M21" i="15"/>
  <c r="F7" i="67"/>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H9"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F9" i="39" l="1"/>
  <c r="J9" i="39"/>
  <c r="U9" i="39"/>
  <c r="AB9" i="39"/>
  <c r="T49" i="39" s="1"/>
  <c r="G49" i="39" s="1"/>
  <c r="G53" i="39" s="1"/>
  <c r="H53" i="39" s="1"/>
  <c r="B3" i="15"/>
  <c r="C10" i="12" s="1"/>
  <c r="Q9" i="12" s="1"/>
  <c r="Q76" i="15"/>
  <c r="B4" i="44"/>
  <c r="C46" i="15"/>
  <c r="B5" i="44"/>
  <c r="Q63" i="15"/>
  <c r="J9" i="40"/>
  <c r="H9" i="40"/>
  <c r="F9" i="40"/>
  <c r="Q10" i="12" l="1"/>
  <c r="Q11" i="12"/>
  <c r="C6" i="12"/>
  <c r="C29" i="12" s="1"/>
  <c r="W9" i="39"/>
  <c r="AC9" i="39"/>
  <c r="V49" i="39" s="1"/>
  <c r="I49" i="39" s="1"/>
  <c r="I53" i="39" s="1"/>
  <c r="J53" i="39" s="1"/>
  <c r="AA9" i="39"/>
  <c r="R49" i="39" s="1"/>
  <c r="S9" i="39"/>
  <c r="S9" i="40"/>
  <c r="AA9" i="40"/>
  <c r="R44" i="40" s="1"/>
  <c r="U9" i="40"/>
  <c r="AB9" i="40"/>
  <c r="T44" i="40" s="1"/>
  <c r="G44" i="40" s="1"/>
  <c r="W9" i="40"/>
  <c r="AC9" i="40"/>
  <c r="V44" i="40" s="1"/>
  <c r="I44" i="40" s="1"/>
  <c r="C24" i="12" l="1"/>
  <c r="C28" i="12" s="1"/>
  <c r="C26" i="12" s="1"/>
  <c r="C31" i="12" s="1"/>
  <c r="C30" i="12" s="1"/>
  <c r="R50" i="39"/>
  <c r="E49" i="39"/>
  <c r="G54" i="39"/>
  <c r="H54" i="39" s="1"/>
  <c r="I48" i="40"/>
  <c r="J48" i="40" s="1"/>
  <c r="G49" i="40"/>
  <c r="H49" i="40" s="1"/>
  <c r="G48" i="40"/>
  <c r="H48" i="40" s="1"/>
  <c r="R45" i="40"/>
  <c r="E44" i="40"/>
  <c r="I49" i="40" s="1"/>
  <c r="J49" i="40" s="1"/>
  <c r="C35" i="12" l="1"/>
  <c r="C33" i="12" s="1"/>
  <c r="C36" i="12" s="1"/>
  <c r="B2" i="12" s="1"/>
  <c r="C49" i="39"/>
  <c r="C50" i="39"/>
  <c r="E53" i="39"/>
  <c r="F53" i="39" s="1"/>
  <c r="E54" i="39"/>
  <c r="F54" i="39" s="1"/>
  <c r="I54" i="39"/>
  <c r="J54" i="39"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L43" i="9"/>
  <c r="D22" i="9"/>
  <c r="B3" i="39"/>
  <c r="B4" i="39"/>
  <c r="B5" i="39"/>
  <c r="C20" i="9"/>
  <c r="C21"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<sst xmlns="http://schemas.openxmlformats.org/spreadsheetml/2006/main" count="7292" uniqueCount="3226">
  <si>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</si>
  <si>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</si>
  <si>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</si>
  <si>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</si>
  <si>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</si>
  <si>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</si>
  <si>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</si>
  <si>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</si>
  <si>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</si>
  <si>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</si>
  <si>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</si>
  <si>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</si>
  <si>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</si>
  <si>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</si>
  <si>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</si>
  <si>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</si>
  <si>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</si>
  <si>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</si>
  <si>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</si>
  <si>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</si>
  <si>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</si>
  <si>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</si>
  <si>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</si>
  <si>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</si>
  <si>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</si>
  <si>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</si>
  <si>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</si>
  <si>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</si>
  <si>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</si>
  <si>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</si>
  <si>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</si>
  <si>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</si>
  <si>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</si>
  <si>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</si>
  <si>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</si>
  <si>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</si>
  <si>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</si>
  <si>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</si>
  <si>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</si>
  <si>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</si>
  <si>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</si>
  <si>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</si>
  <si>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</si>
  <si>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</si>
  <si>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</si>
  <si>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</si>
  <si>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</si>
  <si>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</si>
  <si>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</si>
  <si>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</si>
  <si>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</si>
  <si>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</si>
  <si>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</si>
  <si>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</si>
  <si>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</si>
  <si>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</si>
  <si>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</si>
  <si>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</si>
  <si>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</si>
  <si>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</si>
  <si>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</si>
  <si>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</si>
  <si>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</si>
  <si>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</si>
  <si>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</si>
  <si>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</si>
  <si>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</si>
  <si>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</si>
  <si>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</si>
  <si>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</si>
  <si>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</si>
  <si>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</si>
  <si>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</si>
  <si>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</si>
  <si>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</si>
  <si>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</si>
  <si>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</si>
  <si>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</si>
  <si>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</si>
  <si>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</si>
  <si>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</si>
  <si>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</si>
  <si>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</si>
  <si>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</si>
  <si>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</si>
  <si>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</si>
  <si>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</si>
  <si>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</si>
  <si>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</si>
  <si>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</si>
  <si>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</si>
  <si>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</si>
  <si>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</si>
  <si>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</si>
  <si>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</si>
  <si>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</si>
  <si>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</si>
  <si>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</si>
  <si>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</si>
  <si>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</si>
  <si>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</si>
  <si>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</si>
  <si>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</si>
  <si>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</si>
  <si>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</si>
  <si>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</si>
  <si>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</si>
  <si>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</si>
  <si>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</si>
  <si>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</si>
  <si>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</si>
  <si>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</si>
  <si>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</si>
  <si>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</si>
  <si>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</si>
  <si>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</si>
  <si>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</si>
  <si>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</si>
  <si>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</si>
  <si>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</si>
  <si>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</si>
  <si>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</si>
  <si>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</si>
  <si>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</si>
  <si>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</si>
  <si>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</si>
  <si>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</si>
  <si>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</si>
  <si>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</si>
  <si>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</si>
  <si>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</si>
  <si>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</si>
  <si>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</si>
  <si>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</si>
  <si>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</si>
  <si>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</si>
  <si>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</si>
  <si>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</si>
  <si>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</si>
  <si>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</si>
  <si>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</si>
  <si>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</si>
  <si>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</si>
  <si>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</si>
  <si>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</si>
  <si>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</si>
  <si>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</si>
  <si>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</si>
  <si>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</si>
  <si>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</si>
  <si>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</si>
  <si>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</si>
  <si>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</si>
  <si>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</si>
  <si>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</si>
  <si>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</si>
  <si>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</si>
  <si>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</si>
  <si>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</si>
  <si>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</si>
  <si>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</si>
  <si>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</si>
  <si>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</si>
  <si>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</si>
  <si>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</si>
  <si>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</si>
  <si>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</si>
  <si>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</si>
  <si>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</si>
  <si>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</si>
  <si>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</si>
  <si>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</si>
  <si>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</si>
  <si>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</si>
  <si>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</si>
  <si>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</si>
  <si>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</si>
  <si>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</si>
  <si>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</si>
  <si>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</si>
  <si>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</si>
  <si>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</si>
  <si>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</si>
  <si>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</si>
  <si>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</si>
  <si>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</si>
  <si>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</si>
  <si>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</si>
  <si>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</si>
  <si>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</si>
  <si>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</si>
  <si>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</si>
  <si>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</si>
  <si>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</si>
  <si>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</si>
  <si>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</si>
  <si>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</si>
  <si>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</si>
  <si>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</si>
  <si>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</si>
  <si>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</si>
  <si>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</si>
  <si>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</si>
  <si>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</si>
  <si>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</si>
  <si>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</si>
  <si>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</si>
  <si>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</si>
  <si>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</si>
  <si>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</si>
  <si>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</si>
  <si>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</si>
  <si>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</si>
  <si>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</si>
  <si>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</si>
  <si>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</si>
  <si>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</si>
  <si>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</si>
  <si>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</si>
  <si>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</si>
  <si>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</si>
  <si>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</si>
  <si>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</si>
  <si>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</si>
  <si>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</si>
  <si>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</si>
  <si>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</si>
  <si>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</si>
  <si>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</si>
  <si>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</si>
  <si>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</si>
  <si>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</si>
  <si>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</si>
  <si>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</si>
  <si>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</si>
  <si>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</si>
  <si>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</si>
  <si>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</si>
  <si>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</si>
  <si>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</si>
  <si>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</si>
  <si>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</si>
  <si>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</si>
  <si>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</si>
  <si>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</si>
  <si>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</si>
  <si>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</si>
  <si>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</si>
  <si>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</si>
  <si>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</si>
  <si>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</si>
  <si>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</si>
  <si>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</si>
  <si>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</si>
  <si>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</si>
  <si>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</si>
  <si>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</si>
  <si>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</si>
  <si>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</si>
  <si>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</si>
  <si>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</si>
  <si>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</si>
  <si>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</si>
  <si>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</si>
  <si>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</si>
  <si>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</si>
  <si>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</si>
  <si>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</si>
  <si>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</si>
  <si>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</si>
  <si>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</si>
  <si>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</si>
  <si>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</si>
  <si>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</si>
  <si>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</si>
  <si>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</si>
  <si>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</si>
  <si>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</si>
  <si>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</si>
  <si>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</si>
  <si>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</si>
  <si>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</si>
  <si>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</si>
  <si>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</si>
  <si>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</si>
  <si>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</si>
  <si>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</si>
  <si>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</si>
  <si>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</si>
  <si>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</si>
  <si>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</si>
  <si>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</si>
  <si>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</si>
  <si>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</si>
  <si>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</si>
  <si>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</si>
  <si>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</si>
  <si>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</si>
  <si>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</si>
  <si>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</si>
  <si>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</si>
  <si>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</si>
  <si>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</si>
  <si>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</si>
  <si>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</si>
  <si>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</si>
  <si>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</si>
  <si>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</si>
  <si>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</si>
  <si>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</si>
  <si>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</si>
  <si>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</si>
  <si>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</si>
  <si>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</si>
  <si>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</si>
  <si>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</si>
  <si>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</si>
  <si>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</si>
  <si>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</si>
  <si>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</si>
  <si>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</si>
  <si>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</si>
  <si>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</si>
  <si>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</si>
  <si>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</si>
  <si>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</si>
  <si>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</si>
  <si>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</si>
  <si>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</si>
  <si>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</si>
  <si>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</si>
  <si>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</si>
  <si>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</si>
  <si>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</si>
  <si>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</si>
  <si>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</si>
  <si>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</si>
  <si>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</si>
  <si>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</si>
  <si>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</si>
  <si>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</si>
  <si>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</si>
  <si>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</si>
  <si>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</si>
  <si>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</si>
  <si>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</si>
  <si>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</si>
  <si>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</si>
  <si>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</si>
  <si>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</si>
  <si>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</si>
  <si>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</si>
  <si>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</si>
  <si>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</si>
  <si>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</si>
  <si>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</si>
  <si>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</si>
  <si>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</si>
  <si>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</si>
  <si>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</si>
  <si>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</si>
  <si>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</si>
  <si>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</si>
  <si>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</si>
  <si>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</si>
  <si>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</si>
  <si>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</si>
  <si>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</si>
  <si>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</si>
  <si>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</si>
  <si>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</si>
  <si>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</si>
  <si>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</si>
  <si>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</si>
  <si>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</si>
  <si>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</si>
  <si>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</si>
  <si>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</si>
  <si>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</si>
  <si>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</si>
  <si>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</si>
  <si>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</si>
  <si>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</si>
  <si>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</si>
  <si>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</si>
  <si>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</si>
  <si>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</si>
  <si>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</si>
  <si>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</si>
  <si>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</si>
  <si>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</si>
  <si>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</si>
  <si>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</si>
  <si>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</si>
  <si>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</si>
  <si>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</si>
  <si>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</si>
  <si>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</si>
  <si>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</si>
  <si>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</si>
  <si>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</si>
  <si>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</si>
  <si>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</si>
  <si>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</si>
  <si>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</si>
  <si>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</si>
  <si>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</si>
  <si>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</si>
  <si>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</si>
  <si>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</si>
  <si>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</si>
  <si>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</si>
  <si>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</si>
  <si>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</si>
  <si>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</si>
  <si>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</si>
  <si>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</si>
  <si>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</si>
  <si>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</si>
  <si>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</si>
  <si>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</si>
  <si>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</si>
  <si>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</si>
  <si>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</si>
  <si>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</si>
  <si>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</si>
  <si>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</si>
  <si>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</si>
  <si>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</si>
  <si>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</si>
  <si>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</si>
  <si>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</si>
  <si>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</si>
  <si>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</si>
  <si>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</si>
  <si>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</si>
  <si>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</si>
  <si>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</si>
  <si>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</si>
  <si>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</si>
  <si>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</si>
  <si>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</si>
  <si>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</si>
  <si>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</si>
  <si>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</si>
  <si>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</si>
  <si>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</si>
  <si>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</si>
  <si>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</si>
  <si>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</si>
  <si>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</si>
  <si>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</si>
  <si>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</si>
  <si>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</si>
  <si>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</si>
  <si>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</si>
  <si>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</si>
  <si>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</si>
  <si>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</si>
  <si>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</si>
  <si>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</si>
  <si>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</si>
  <si>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</si>
  <si>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</si>
  <si>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</si>
  <si>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</si>
  <si>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</si>
  <si>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</si>
  <si>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</si>
  <si>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</si>
  <si>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</si>
  <si>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</si>
  <si>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</si>
  <si>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</si>
  <si>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</si>
  <si>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</si>
  <si>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</si>
  <si>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</si>
  <si>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</si>
  <si>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</si>
  <si>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</si>
  <si>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</si>
  <si>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</si>
  <si>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</si>
  <si>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</si>
  <si>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</si>
  <si>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</si>
  <si>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</si>
  <si>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</si>
  <si>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</si>
  <si>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</si>
  <si>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</si>
  <si>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</si>
  <si>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</si>
  <si>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</si>
  <si>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</si>
  <si>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</si>
  <si>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</si>
  <si>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</si>
  <si>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</si>
  <si>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</si>
  <si>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</si>
  <si>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</si>
  <si>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</si>
  <si>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</si>
  <si>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</si>
  <si>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</si>
  <si>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</si>
  <si>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</si>
  <si>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</si>
  <si>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</si>
  <si>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</si>
  <si>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</si>
  <si>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</si>
  <si>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</si>
  <si>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</si>
  <si>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</si>
  <si>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</si>
  <si>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</si>
  <si>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</si>
  <si>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</si>
  <si>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</si>
  <si>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</si>
  <si>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</si>
  <si>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</si>
  <si>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</si>
  <si>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</si>
  <si>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</si>
  <si>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</si>
  <si>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</si>
  <si>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</si>
  <si>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</si>
  <si>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</si>
  <si>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</si>
  <si>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</si>
  <si>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</si>
  <si>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</si>
  <si>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</si>
  <si>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</si>
  <si>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</si>
  <si>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</si>
  <si>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</si>
  <si>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</si>
  <si>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</si>
  <si>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</si>
  <si>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</si>
  <si>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</si>
  <si>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</si>
  <si>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</si>
  <si>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</si>
  <si>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</si>
  <si>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</si>
  <si>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</si>
  <si>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</si>
  <si>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</si>
  <si>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</si>
  <si>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</si>
  <si>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</si>
  <si>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</si>
  <si>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</si>
  <si>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</si>
  <si>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</si>
  <si>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</si>
  <si>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</si>
  <si>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</si>
  <si>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</si>
  <si>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</si>
  <si>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</si>
  <si>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</si>
  <si>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</si>
  <si>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</si>
  <si>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</si>
  <si>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</si>
  <si>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</si>
  <si>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</si>
  <si>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</si>
  <si>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</si>
  <si>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</si>
  <si>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</si>
  <si>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</si>
  <si>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</si>
  <si>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</si>
  <si>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</si>
  <si>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</si>
  <si>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</si>
  <si>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</si>
  <si>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</si>
  <si>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</si>
  <si>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</si>
  <si>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</si>
  <si>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</si>
  <si>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</si>
  <si>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</si>
  <si>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</si>
  <si>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</si>
  <si>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</si>
  <si>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</si>
  <si>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</si>
  <si>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</si>
  <si>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</si>
  <si>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</si>
  <si>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</si>
  <si>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</si>
  <si>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</si>
  <si>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</si>
  <si>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</si>
  <si>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</si>
  <si>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</si>
  <si>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</si>
  <si>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</si>
  <si>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</si>
  <si>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</si>
  <si>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</si>
  <si>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</si>
  <si>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</si>
  <si>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</si>
  <si>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</si>
  <si>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</si>
  <si>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</si>
  <si>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</si>
  <si>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</si>
  <si>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</si>
  <si>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</si>
  <si>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</si>
  <si>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</si>
  <si>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</si>
  <si>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</si>
  <si>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</si>
  <si>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</si>
  <si>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</si>
  <si>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</si>
  <si>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</si>
  <si>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</si>
  <si>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</si>
  <si>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</si>
  <si>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</si>
  <si>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</si>
  <si>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</si>
  <si>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</si>
  <si>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</si>
  <si>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</si>
  <si>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</si>
  <si>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</si>
  <si>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</si>
  <si>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</si>
  <si>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</si>
  <si>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</si>
  <si>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</si>
  <si>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</si>
  <si>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</si>
  <si>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</si>
  <si>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</si>
  <si>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</si>
  <si>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</si>
  <si>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</si>
  <si>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</si>
  <si>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</si>
  <si>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</si>
  <si>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</si>
  <si>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</si>
  <si>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</si>
  <si>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</si>
  <si>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</si>
  <si>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</si>
  <si>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</si>
  <si>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</si>
  <si>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</si>
  <si>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</si>
  <si>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</si>
  <si>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</si>
  <si>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</si>
  <si>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</si>
  <si>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</si>
  <si>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</si>
  <si>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</si>
  <si>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</si>
  <si>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</si>
  <si>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</si>
  <si>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</si>
  <si>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</si>
  <si>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</si>
  <si>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</si>
  <si>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</si>
  <si>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</si>
  <si>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</si>
  <si>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</si>
  <si>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</si>
  <si>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</si>
  <si>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</si>
  <si>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</si>
  <si>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</si>
  <si>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</si>
  <si>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</si>
  <si>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</si>
  <si>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</si>
  <si>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</si>
  <si>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</si>
  <si>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</si>
  <si>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</si>
  <si>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</si>
  <si>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</si>
  <si>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</si>
  <si>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</si>
  <si>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</si>
  <si>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</si>
  <si>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</si>
  <si>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</si>
  <si>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</si>
  <si>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</si>
  <si>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</si>
  <si>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</si>
  <si>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</si>
  <si>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</si>
  <si>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</si>
  <si>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</si>
  <si>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</si>
  <si>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</si>
  <si>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</si>
  <si>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</si>
  <si>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</si>
  <si>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</si>
  <si>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</si>
  <si>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</si>
  <si>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</si>
  <si>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</si>
  <si>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</si>
  <si>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</si>
  <si>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</si>
  <si>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</si>
  <si>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</si>
  <si>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</si>
  <si>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</si>
  <si>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</si>
  <si>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</si>
  <si>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</si>
  <si>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</si>
  <si>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</si>
  <si>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</si>
  <si>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</si>
  <si>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</si>
  <si>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</si>
  <si>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</si>
  <si>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</si>
  <si>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</si>
  <si>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</si>
  <si>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</si>
  <si>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</si>
  <si>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</si>
  <si>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</si>
  <si>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</si>
  <si>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</si>
  <si>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</si>
  <si>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</si>
  <si>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</si>
  <si>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</si>
  <si>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</si>
  <si>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</si>
  <si>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</si>
  <si>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</si>
  <si>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</si>
  <si>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</si>
  <si>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</si>
  <si>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</si>
  <si>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</si>
  <si>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</si>
  <si>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</si>
  <si>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</si>
  <si>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</si>
  <si>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</si>
  <si>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</si>
  <si>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</si>
  <si>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</si>
  <si>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</si>
  <si>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</si>
  <si>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</si>
  <si>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</si>
  <si>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</si>
  <si>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</si>
  <si>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</si>
  <si>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</si>
  <si>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</si>
  <si>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</si>
  <si>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</si>
  <si>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</si>
  <si>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</si>
  <si>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</si>
  <si>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</si>
  <si>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</si>
  <si>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</si>
  <si>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</si>
  <si>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</si>
  <si>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</si>
  <si>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</si>
  <si>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</si>
  <si>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</si>
  <si>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</si>
  <si>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</si>
  <si>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</si>
  <si>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</si>
  <si>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</si>
  <si>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</si>
  <si>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</si>
  <si>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</si>
  <si>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</si>
  <si>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</si>
  <si>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</si>
  <si>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</si>
  <si>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</si>
  <si>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</si>
  <si>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</si>
  <si>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</si>
  <si>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</si>
  <si>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</si>
  <si>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</si>
  <si>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</si>
  <si>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</si>
  <si>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</si>
  <si>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</si>
  <si>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</si>
  <si>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</si>
  <si>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</si>
  <si>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</si>
  <si>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</si>
  <si>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</si>
  <si>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</si>
  <si>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</si>
  <si>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</si>
  <si>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</si>
  <si>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</si>
  <si>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</si>
  <si>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</si>
  <si>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</si>
  <si>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</si>
  <si>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</si>
  <si>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</si>
  <si>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</si>
  <si>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</si>
  <si>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</si>
  <si>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</si>
  <si>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</si>
  <si>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</si>
  <si>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</si>
  <si>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</si>
  <si>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</si>
  <si>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</si>
  <si>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</si>
  <si>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</si>
  <si>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</si>
  <si>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</si>
  <si>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</si>
  <si>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</si>
  <si>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</si>
  <si>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</si>
  <si>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</si>
  <si>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</si>
  <si>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</si>
  <si>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</si>
  <si>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</si>
  <si>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</si>
  <si>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</si>
  <si>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</si>
  <si>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</si>
  <si>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</si>
  <si>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</si>
  <si>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</si>
  <si>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</si>
  <si>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</si>
  <si>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</si>
  <si>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</si>
  <si>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</si>
  <si>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</si>
  <si>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</si>
  <si>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</si>
  <si>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</si>
  <si>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</si>
  <si>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</si>
  <si>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</si>
  <si>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</si>
  <si>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</si>
  <si>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</si>
  <si>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</si>
  <si>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</si>
  <si>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</si>
  <si>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</si>
  <si>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</si>
  <si>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</si>
  <si>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</si>
  <si>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</si>
  <si>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</si>
  <si>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</si>
  <si>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</si>
  <si>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</si>
  <si>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</si>
  <si>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</si>
  <si>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</si>
  <si>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</si>
  <si>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</si>
  <si>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</si>
  <si>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</si>
  <si>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</si>
  <si>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</si>
  <si>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</si>
  <si>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</si>
  <si>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</si>
  <si>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</si>
  <si>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</si>
  <si>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</si>
  <si>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</si>
  <si>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</si>
  <si>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</si>
  <si>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</si>
  <si>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</si>
  <si>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</si>
  <si>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</si>
  <si>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</si>
  <si>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</si>
  <si>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</si>
  <si>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</si>
  <si>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</si>
  <si>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</si>
  <si>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</si>
  <si>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</si>
  <si>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</si>
  <si>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</si>
  <si>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</si>
  <si>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</si>
  <si>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</si>
  <si>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</si>
  <si>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</si>
  <si>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</si>
  <si>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</si>
  <si>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</si>
  <si>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</si>
  <si>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</si>
  <si>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</si>
  <si>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</si>
  <si>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</si>
  <si>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</si>
  <si>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</si>
  <si>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</si>
  <si>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</si>
  <si>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</si>
  <si>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</si>
  <si>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</si>
  <si>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</si>
  <si>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</si>
  <si>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</si>
  <si>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</si>
  <si>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</si>
  <si>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</si>
  <si>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</si>
  <si>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</si>
  <si>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</si>
  <si>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</si>
  <si>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</si>
  <si>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</si>
  <si>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</si>
  <si>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</si>
  <si>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</si>
  <si>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</si>
  <si>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</si>
  <si>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</si>
  <si>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</si>
  <si>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</si>
  <si>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</si>
  <si>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</si>
  <si>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</si>
  <si>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</si>
  <si>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</si>
  <si>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</si>
  <si>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</si>
  <si>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</si>
  <si>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</si>
  <si>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</si>
  <si>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</si>
  <si>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</si>
  <si>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</si>
  <si>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</si>
  <si>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</si>
  <si>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</si>
  <si>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</si>
  <si>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</si>
  <si>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</si>
  <si>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</si>
  <si>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</si>
  <si>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</si>
  <si>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</si>
  <si>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</si>
  <si>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</si>
  <si>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</si>
  <si>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</si>
  <si>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</si>
  <si>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</si>
  <si>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</si>
  <si>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</si>
  <si>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</si>
  <si>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</si>
  <si>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</si>
  <si>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</si>
  <si>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</si>
  <si>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</si>
  <si>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</si>
  <si>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</si>
  <si>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</si>
  <si>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</si>
  <si>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</si>
  <si>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</si>
  <si>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</si>
  <si>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</si>
  <si>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</si>
  <si>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</si>
  <si>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</si>
  <si>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</si>
  <si>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</si>
  <si>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</si>
  <si>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</si>
  <si>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</si>
  <si>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</si>
  <si>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</si>
  <si>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</si>
  <si>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</si>
  <si>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</si>
  <si>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</si>
  <si>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</si>
  <si>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</si>
  <si>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</si>
  <si>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</si>
  <si>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</si>
  <si>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</si>
  <si>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</si>
  <si>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</si>
  <si>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</si>
  <si>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</si>
  <si>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</si>
  <si>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</si>
  <si>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</si>
  <si>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</si>
  <si>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</si>
  <si>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</si>
  <si>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</si>
  <si>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</si>
  <si>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</si>
  <si>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</si>
  <si>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</si>
  <si>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</si>
  <si>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</si>
  <si>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</si>
  <si>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</si>
  <si>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</si>
  <si>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</si>
  <si>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</si>
  <si>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</si>
  <si>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</si>
  <si>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</si>
  <si>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</si>
  <si>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</si>
  <si>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</si>
  <si>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</si>
  <si>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</si>
  <si>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</si>
  <si>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</si>
  <si>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</si>
  <si>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</si>
  <si>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</si>
  <si>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</si>
  <si>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</si>
  <si>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</si>
  <si>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</si>
  <si>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</si>
  <si>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</si>
  <si>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</si>
  <si>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</si>
  <si>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</si>
  <si>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</si>
  <si>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</si>
  <si>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</si>
  <si>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</si>
  <si>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</si>
  <si>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</si>
  <si>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</si>
  <si>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</si>
  <si>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</si>
  <si>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</si>
  <si>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</si>
  <si>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</si>
  <si>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</si>
  <si>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</si>
  <si>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</si>
  <si>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</si>
  <si>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</si>
  <si>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</si>
  <si>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</si>
  <si>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</si>
  <si>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</si>
  <si>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</si>
  <si>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</si>
  <si>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</si>
  <si>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</si>
  <si>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</si>
  <si>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</si>
  <si>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</si>
  <si>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</si>
  <si>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</si>
  <si>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</si>
  <si>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</si>
  <si>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</si>
  <si>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</si>
  <si>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</si>
  <si>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</si>
  <si>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</si>
  <si>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</si>
  <si>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</si>
  <si>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</si>
  <si>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</si>
  <si>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</si>
  <si>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</si>
  <si>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</si>
  <si>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</si>
  <si>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</si>
  <si>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</si>
  <si>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</si>
  <si>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</si>
  <si>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</si>
  <si>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</si>
  <si>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</si>
  <si>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</si>
  <si>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</si>
  <si>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</si>
  <si>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</si>
  <si>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</si>
  <si>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</si>
  <si>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</si>
  <si>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</si>
  <si>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</si>
  <si>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</si>
  <si>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</si>
  <si>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</si>
  <si>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</si>
  <si>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</si>
  <si>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</si>
  <si>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</si>
  <si>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</si>
  <si>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</si>
  <si>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</si>
  <si>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</si>
  <si>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</si>
  <si>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</si>
  <si>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</si>
  <si>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</si>
  <si>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</si>
  <si>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</si>
  <si>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</si>
  <si>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</si>
  <si>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</si>
  <si>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</si>
  <si>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</si>
  <si>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</si>
  <si>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</si>
  <si>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</si>
  <si>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</si>
  <si>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</si>
  <si>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</si>
  <si>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</si>
  <si>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</si>
  <si>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</si>
  <si>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</si>
  <si>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</si>
  <si>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</si>
  <si>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</si>
  <si>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</si>
  <si>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</si>
  <si>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</si>
  <si>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</si>
  <si>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</si>
  <si>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</si>
  <si>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</si>
  <si>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</si>
  <si>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</si>
  <si>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</si>
  <si>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</si>
  <si>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</si>
  <si>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</si>
  <si>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</si>
  <si>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</si>
  <si>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</si>
  <si>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</si>
  <si>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</si>
  <si>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</si>
  <si>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</si>
  <si>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</si>
  <si>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</si>
  <si>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</si>
  <si>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</si>
  <si>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</si>
  <si>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</si>
  <si>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</si>
  <si>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</si>
  <si>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</si>
  <si>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</si>
  <si>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</si>
  <si>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</si>
  <si>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</si>
  <si>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</si>
  <si>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</si>
  <si>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</si>
  <si>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</si>
  <si>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</si>
  <si>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</si>
  <si>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</si>
  <si>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</si>
  <si>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</si>
  <si>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</si>
  <si>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</si>
  <si>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</si>
  <si>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</si>
  <si>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</si>
  <si>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</si>
  <si>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</si>
  <si>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</si>
  <si>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</si>
  <si>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</si>
  <si>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</si>
  <si>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</si>
  <si>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</si>
  <si>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</si>
  <si>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</si>
  <si>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</si>
  <si>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</si>
  <si>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</si>
  <si>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</si>
  <si>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</si>
  <si>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</si>
  <si>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</si>
  <si>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</si>
  <si>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</si>
  <si>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</si>
  <si>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</si>
  <si>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</si>
  <si>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</si>
  <si>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</si>
  <si>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</si>
  <si>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</si>
  <si>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</si>
  <si>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</si>
  <si>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</si>
  <si>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</si>
  <si>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</si>
  <si>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</si>
  <si>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</si>
  <si>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</si>
  <si>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</si>
  <si>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</si>
  <si>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</si>
  <si>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</si>
  <si>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</si>
  <si>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</si>
  <si>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</si>
  <si>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</si>
  <si>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</si>
  <si>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</si>
  <si>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</si>
  <si>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</si>
  <si>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</si>
  <si>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</si>
  <si>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</si>
  <si>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</si>
  <si>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</si>
  <si>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</si>
  <si>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</si>
  <si>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</si>
  <si>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</si>
  <si>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</si>
  <si>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</si>
  <si>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</si>
  <si>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</si>
  <si>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</si>
  <si>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</si>
  <si>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</si>
  <si>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</si>
  <si>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</si>
  <si>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</si>
  <si>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</si>
  <si>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</si>
  <si>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</si>
  <si>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</si>
  <si>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</si>
  <si>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</si>
  <si>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</si>
  <si>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</si>
  <si>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</si>
  <si>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</si>
  <si>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</si>
  <si>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</si>
  <si>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</si>
  <si>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</si>
  <si>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</si>
  <si>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</si>
  <si>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</si>
  <si>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</si>
  <si>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</si>
  <si>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</si>
  <si>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</si>
  <si>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</si>
  <si>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</si>
  <si>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</si>
  <si>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</si>
  <si>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</si>
  <si>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</si>
  <si>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</si>
  <si>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</si>
  <si>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</si>
  <si>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</si>
  <si>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</si>
  <si>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</si>
  <si>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</si>
  <si>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</si>
  <si>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</si>
  <si>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</si>
  <si>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</si>
  <si>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</si>
  <si>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</si>
  <si>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</si>
  <si>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</si>
  <si>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</si>
  <si>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</si>
  <si>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</si>
  <si>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</si>
  <si>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</si>
  <si>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</si>
  <si>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</si>
  <si>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</si>
  <si>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</si>
  <si>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</si>
  <si>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</si>
  <si>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</si>
  <si>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</si>
  <si>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</si>
  <si>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</si>
  <si>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</si>
  <si>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</si>
  <si>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</si>
  <si>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</si>
  <si>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</si>
  <si>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</si>
  <si>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</si>
  <si>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</si>
  <si>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</si>
  <si>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</si>
  <si>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</si>
  <si>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</si>
  <si>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</si>
  <si>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</si>
  <si>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</si>
  <si>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</si>
  <si>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</si>
  <si>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</si>
  <si>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</si>
  <si>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</si>
  <si>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</si>
  <si>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</si>
  <si>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</si>
  <si>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</si>
  <si>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</si>
  <si>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</si>
  <si>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</si>
  <si>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</si>
  <si>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</si>
  <si>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</si>
  <si>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</si>
  <si>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</si>
  <si>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</si>
  <si>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</si>
  <si>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</si>
  <si>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</si>
  <si>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</si>
  <si>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</si>
  <si>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</si>
  <si>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</si>
  <si>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</si>
  <si>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</si>
  <si>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</si>
  <si>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</si>
  <si>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</si>
  <si>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</si>
  <si>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</si>
  <si>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</si>
  <si>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</si>
  <si>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</si>
  <si>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</si>
  <si>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</si>
  <si>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</si>
  <si>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</si>
  <si>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</si>
  <si>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</si>
  <si>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</si>
  <si>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</si>
  <si>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</si>
  <si>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</si>
  <si>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</si>
  <si>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</si>
  <si>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</si>
  <si>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</si>
  <si>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</si>
  <si>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</si>
  <si>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</si>
  <si>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</si>
  <si>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</si>
  <si>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</si>
  <si>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</si>
  <si>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</si>
  <si>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</si>
  <si>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</si>
  <si>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</si>
  <si>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</si>
  <si>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</si>
  <si>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</si>
  <si>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</si>
  <si>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</si>
  <si>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</si>
  <si>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</si>
  <si>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</si>
  <si>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</si>
  <si>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</si>
  <si>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</si>
  <si>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</si>
  <si>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</si>
  <si>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</si>
  <si>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</si>
  <si>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</si>
  <si>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</si>
  <si>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</si>
  <si>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</si>
  <si>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</si>
  <si>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</si>
  <si>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</si>
  <si>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</si>
  <si>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</si>
  <si>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</si>
  <si>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</si>
  <si>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</si>
  <si>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</si>
  <si>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</si>
  <si>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</si>
  <si>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</si>
  <si>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</si>
  <si>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</si>
  <si>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</si>
  <si>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</si>
  <si>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</si>
  <si>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</si>
  <si>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</si>
  <si>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</si>
  <si>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</si>
  <si>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</si>
  <si>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</si>
  <si>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</si>
  <si>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</si>
  <si>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</si>
  <si>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</si>
  <si>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</si>
  <si>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</si>
  <si>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</si>
  <si>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</si>
  <si>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</si>
  <si>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</si>
  <si>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</si>
  <si>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</si>
  <si>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</si>
  <si>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</si>
  <si>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</si>
  <si>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</si>
  <si>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</si>
  <si>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</si>
  <si>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</si>
  <si>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</si>
  <si>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</si>
  <si>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</si>
  <si>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</si>
  <si>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</si>
  <si>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</si>
  <si>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</si>
  <si>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</si>
  <si>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</si>
  <si>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</si>
  <si>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</si>
  <si>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</si>
  <si>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</si>
  <si>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</si>
  <si>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</si>
  <si>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</si>
  <si>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</si>
  <si>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</si>
  <si>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</si>
  <si>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</si>
  <si>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</si>
  <si>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</si>
  <si>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</si>
  <si>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</si>
  <si>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</si>
  <si>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</si>
  <si>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</si>
  <si>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</si>
  <si>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</si>
  <si>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</si>
  <si>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</si>
  <si>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</si>
  <si>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</si>
  <si>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</si>
  <si>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</si>
  <si>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</si>
  <si>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</si>
  <si>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</si>
  <si>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</si>
  <si>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</si>
  <si>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</si>
  <si>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</si>
  <si>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</si>
  <si>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</si>
  <si>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</si>
  <si>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</si>
  <si>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</si>
  <si>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</si>
  <si>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</si>
  <si>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</si>
  <si>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</si>
  <si>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</si>
  <si>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</si>
  <si>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</si>
  <si>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</si>
  <si>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</si>
  <si>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</si>
  <si>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</si>
  <si>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</si>
  <si>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</si>
  <si>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</si>
  <si>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</si>
  <si>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</si>
  <si>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</si>
  <si>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</si>
  <si>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</si>
  <si>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</si>
  <si>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</si>
  <si>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</si>
  <si>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</si>
  <si>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</si>
  <si>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</si>
  <si>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</si>
  <si>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</si>
  <si>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</si>
  <si>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</si>
  <si>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</si>
  <si>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</si>
  <si>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</si>
  <si>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</si>
  <si>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</si>
  <si>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</si>
  <si>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</si>
  <si>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</si>
  <si>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</si>
  <si>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</si>
  <si>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</si>
  <si>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</si>
  <si>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</si>
  <si>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</si>
  <si>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</si>
  <si>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</si>
  <si>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</si>
  <si>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</si>
  <si>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</si>
  <si>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</si>
  <si>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</si>
  <si>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</si>
  <si>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</si>
  <si>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</si>
  <si>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</si>
  <si>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</si>
  <si>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</si>
  <si>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</si>
  <si>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</si>
  <si>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</si>
  <si>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</si>
  <si>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</si>
  <si>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</si>
  <si>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</si>
  <si>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</si>
  <si>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</si>
  <si>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</si>
  <si>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</si>
  <si>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</si>
  <si>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</si>
  <si>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</si>
  <si>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</si>
  <si>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</si>
  <si>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</si>
  <si>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</si>
  <si>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</si>
  <si>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</si>
  <si>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</si>
  <si>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</si>
  <si>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</si>
  <si>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</si>
  <si>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</si>
  <si>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</si>
  <si>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</si>
  <si>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</si>
  <si>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</si>
  <si>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</si>
  <si>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</si>
  <si>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</si>
  <si>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</si>
  <si>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</si>
  <si>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</si>
  <si>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</si>
  <si>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</si>
  <si>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</si>
  <si>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</si>
  <si>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</si>
  <si>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</si>
  <si>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</si>
  <si>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</si>
  <si>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</si>
  <si>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</si>
  <si>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</si>
  <si>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</si>
  <si>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</si>
  <si>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</si>
  <si>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</si>
  <si>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</si>
  <si>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</si>
  <si>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</si>
  <si>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</si>
  <si>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</si>
  <si>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</si>
  <si>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</si>
  <si>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</si>
  <si>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</si>
  <si>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</si>
  <si>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</si>
  <si>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</si>
  <si>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</si>
  <si>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</si>
  <si>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</si>
  <si>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</si>
  <si>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</si>
  <si>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</si>
  <si>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</si>
  <si>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</si>
  <si>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</si>
  <si>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</si>
  <si>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</si>
  <si>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</si>
  <si>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</si>
  <si>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</si>
  <si>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</si>
  <si>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</si>
  <si>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</si>
  <si>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</si>
  <si>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</si>
  <si>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</si>
  <si>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</si>
  <si>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</si>
  <si>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</si>
  <si>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</si>
  <si>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</si>
  <si>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</si>
  <si>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</si>
  <si>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</si>
  <si>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</si>
  <si>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</si>
  <si>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</si>
  <si>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</si>
  <si>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</si>
  <si>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</si>
  <si>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</si>
  <si>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</si>
  <si>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</si>
  <si>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</si>
  <si>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</si>
  <si>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</si>
  <si>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</si>
  <si>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</si>
  <si>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</si>
  <si>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</si>
  <si>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</si>
  <si>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</si>
  <si>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</si>
  <si>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</si>
  <si>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</si>
  <si>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</si>
  <si>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</si>
  <si>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</si>
  <si>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</si>
  <si>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</si>
  <si>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</si>
  <si>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</si>
  <si>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</si>
  <si>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</si>
  <si>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</si>
  <si>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</si>
  <si>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</si>
  <si>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</si>
  <si>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</si>
  <si>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</si>
  <si>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</si>
  <si>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</si>
  <si>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</si>
  <si>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</si>
  <si>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</si>
  <si>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</si>
  <si>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</si>
  <si>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</si>
  <si>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</si>
  <si>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</si>
  <si>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</si>
  <si>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</si>
  <si>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</si>
  <si>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</si>
  <si>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</si>
  <si>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</si>
  <si>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</si>
  <si>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</si>
  <si>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</si>
  <si>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</si>
  <si>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</si>
  <si>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</si>
  <si>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</si>
  <si>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</si>
  <si>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</si>
  <si>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</si>
  <si>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</si>
  <si>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</si>
  <si>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</si>
  <si>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</si>
  <si>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</si>
  <si>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</si>
  <si>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</si>
  <si>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</si>
  <si>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</si>
  <si>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</si>
  <si>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</si>
  <si>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</si>
  <si>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</si>
  <si>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</si>
  <si>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</si>
  <si>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</si>
  <si>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</si>
  <si>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</si>
  <si>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</si>
  <si>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</si>
  <si>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</si>
  <si>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</si>
  <si>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</si>
  <si>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</si>
  <si>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</si>
  <si>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</si>
  <si>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</si>
  <si>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</si>
  <si>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</si>
  <si>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</si>
  <si>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</si>
  <si>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</si>
  <si>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</si>
  <si>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</si>
  <si>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</si>
  <si>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</si>
  <si>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</si>
  <si>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</si>
  <si>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</si>
  <si>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</si>
  <si>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</si>
  <si>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</si>
  <si>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</si>
  <si>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</si>
  <si>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</si>
  <si>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</si>
  <si>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</si>
  <si>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</si>
  <si>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</si>
  <si>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</si>
  <si>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</si>
  <si>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</si>
  <si>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</si>
  <si>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</si>
  <si>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</si>
  <si>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</si>
  <si>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</si>
  <si>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</si>
  <si>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</si>
  <si>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</si>
  <si>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</si>
  <si>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</si>
  <si>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</si>
  <si>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</si>
  <si>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</si>
  <si>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</si>
  <si>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</si>
  <si>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</si>
  <si>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</si>
  <si>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</si>
  <si>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</si>
  <si>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</si>
  <si>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</si>
  <si>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</si>
  <si>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</si>
  <si>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</si>
  <si>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</si>
  <si>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</si>
  <si>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</si>
  <si>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</si>
  <si>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</si>
  <si>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</si>
  <si>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</si>
  <si>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</si>
  <si>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</si>
  <si>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</si>
  <si>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</si>
  <si>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</si>
  <si>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</si>
  <si>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</si>
  <si>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</si>
  <si>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</si>
  <si>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</si>
  <si>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</si>
  <si>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</si>
  <si>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</si>
  <si>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</si>
  <si>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</si>
  <si>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</si>
  <si>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</si>
  <si>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</si>
  <si>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</si>
  <si>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</si>
  <si>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</si>
  <si>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</si>
  <si>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</si>
  <si>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</si>
  <si>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</si>
  <si>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</si>
  <si>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</si>
  <si>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</si>
  <si>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</si>
  <si>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</si>
  <si>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</si>
  <si>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</si>
  <si>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</si>
  <si>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</si>
  <si>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</si>
  <si>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</si>
  <si>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</si>
  <si>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</si>
  <si>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</si>
  <si>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</si>
  <si>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</si>
  <si>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</si>
  <si>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</si>
  <si>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</si>
  <si>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</si>
  <si>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</si>
  <si>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</si>
  <si>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</si>
  <si>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</si>
  <si>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</si>
  <si>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</si>
  <si>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</si>
  <si>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</si>
  <si>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</si>
  <si>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</si>
  <si>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</si>
  <si>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</si>
  <si>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</si>
  <si>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</si>
  <si>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</si>
  <si>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</si>
  <si>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</si>
  <si>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</si>
  <si>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</si>
  <si>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</si>
  <si>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</si>
  <si>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</si>
  <si>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</si>
  <si>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</si>
  <si>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</si>
  <si>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</si>
  <si>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</si>
  <si>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</si>
  <si>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</si>
  <si>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</si>
  <si>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</si>
  <si>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</si>
  <si>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</si>
  <si>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</si>
  <si>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</si>
  <si>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</si>
  <si>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</si>
  <si>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</si>
  <si>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</si>
  <si>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</si>
  <si>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</si>
  <si>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</si>
  <si>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</si>
  <si>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</si>
  <si>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</si>
  <si>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</si>
  <si>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</si>
  <si>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</si>
  <si>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</si>
  <si>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</si>
  <si>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</si>
  <si>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</si>
  <si>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</si>
  <si>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</si>
  <si>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</si>
  <si>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</si>
  <si>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</si>
  <si>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</si>
  <si>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</si>
  <si>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</si>
  <si>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</si>
  <si>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</si>
  <si>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</si>
  <si>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</si>
  <si>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</si>
  <si>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</si>
  <si>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</si>
  <si>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</si>
  <si>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</si>
  <si>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</si>
  <si>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</si>
  <si>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</si>
  <si>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</si>
  <si>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</si>
  <si>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</si>
  <si>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</si>
  <si>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</si>
  <si>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</si>
  <si>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</si>
  <si>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</si>
  <si>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</si>
  <si>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</si>
  <si>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</si>
  <si>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</si>
  <si>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</si>
  <si>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</si>
  <si>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</si>
  <si>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</si>
  <si>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</si>
  <si>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</si>
  <si>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</si>
  <si>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</si>
  <si>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</si>
  <si>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</si>
  <si>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</si>
  <si>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</si>
  <si>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</si>
  <si>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</si>
  <si>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</si>
  <si>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</si>
  <si>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</si>
  <si>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</si>
  <si>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</si>
  <si>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</si>
  <si>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</si>
  <si>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</si>
  <si>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</si>
  <si>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</si>
  <si>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</si>
  <si>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</si>
  <si>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</si>
  <si>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</si>
  <si>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</si>
  <si>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</si>
  <si>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</si>
  <si>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</si>
  <si>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</si>
  <si>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</si>
  <si>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</si>
  <si>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</si>
  <si>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</si>
  <si>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</si>
  <si>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</si>
  <si>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</si>
  <si>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</si>
  <si>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</si>
  <si>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</si>
  <si>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</si>
  <si>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</si>
  <si>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</si>
  <si>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</si>
  <si>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</si>
  <si>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</si>
  <si>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</si>
  <si>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</si>
  <si>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</si>
  <si>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</si>
  <si>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</si>
  <si>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</si>
  <si>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</si>
  <si>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</si>
  <si>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</si>
  <si>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</si>
  <si>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</si>
  <si>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</si>
  <si>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</si>
  <si>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</si>
  <si>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</si>
  <si>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</si>
  <si>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</si>
  <si>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</si>
  <si>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</si>
  <si>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</si>
  <si>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</si>
  <si>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</si>
  <si>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</si>
  <si>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</si>
  <si>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</si>
  <si>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</si>
  <si>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</si>
  <si>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</si>
  <si>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</si>
  <si>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</si>
  <si>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</si>
  <si>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</si>
  <si>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</si>
  <si>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</si>
  <si>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</si>
  <si>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</si>
  <si>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</si>
  <si>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</si>
  <si>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</si>
  <si>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</si>
  <si>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</si>
  <si>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</si>
  <si>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</si>
  <si>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</si>
  <si>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</si>
  <si>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</si>
  <si>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</si>
  <si>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</si>
  <si>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</si>
  <si>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</si>
  <si>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</si>
  <si>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</si>
  <si>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</si>
  <si>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</si>
  <si>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</si>
  <si>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</si>
  <si>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</si>
  <si>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</si>
  <si>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</si>
  <si>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</si>
  <si>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</si>
  <si>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</si>
  <si>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</si>
  <si>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</si>
  <si>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</si>
  <si>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</si>
  <si>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</si>
  <si>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</si>
  <si>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</si>
  <si>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</si>
  <si>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</si>
  <si>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</si>
  <si>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</si>
  <si>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</si>
  <si>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</si>
  <si>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</si>
  <si>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</si>
  <si>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</si>
  <si>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</si>
  <si>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</si>
  <si>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</si>
  <si>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</si>
  <si>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</si>
  <si>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</si>
  <si>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</si>
  <si>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</si>
  <si>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</si>
  <si>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</si>
  <si>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</si>
  <si>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</si>
  <si>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</si>
  <si>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</si>
  <si>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</si>
  <si>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</si>
  <si>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</si>
  <si>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</si>
  <si>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</si>
  <si>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</si>
  <si>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</si>
  <si>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</si>
  <si>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</si>
  <si>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</si>
  <si>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</si>
  <si>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</si>
  <si>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</si>
  <si>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</si>
  <si>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</si>
  <si>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</si>
  <si>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</si>
  <si>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</si>
  <si>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</si>
  <si>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</si>
  <si>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</si>
  <si>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</si>
  <si>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</si>
  <si>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</si>
  <si>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</si>
  <si>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</si>
  <si>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</si>
  <si>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</si>
  <si>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</si>
  <si>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</si>
  <si>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</si>
  <si>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</si>
  <si>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</si>
  <si>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</si>
  <si>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</si>
  <si>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</si>
  <si>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</si>
  <si>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</si>
  <si>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</si>
  <si>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</si>
  <si>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</si>
  <si>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</si>
  <si>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</si>
  <si>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</si>
  <si>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</si>
  <si>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</si>
  <si>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</si>
  <si>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</si>
  <si>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</si>
  <si>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</si>
  <si>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</si>
  <si>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</si>
  <si>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</si>
  <si>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</si>
  <si>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</si>
  <si>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</si>
  <si>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</si>
  <si>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</si>
  <si>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</si>
  <si>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</si>
  <si>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</si>
  <si>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</si>
  <si>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</si>
  <si>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</si>
  <si>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</si>
  <si>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</si>
  <si>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</si>
  <si>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</si>
  <si>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</si>
  <si>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</si>
  <si>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</si>
  <si>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</si>
  <si>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</si>
  <si>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</si>
  <si>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</si>
  <si>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</si>
  <si>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</si>
  <si>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</si>
  <si>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</si>
  <si>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</si>
  <si>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</si>
  <si>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</si>
  <si>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</si>
  <si>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</si>
  <si>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</si>
  <si>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</si>
  <si>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</si>
  <si>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</si>
  <si>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</si>
  <si>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</si>
  <si>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</si>
  <si>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</si>
  <si>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</si>
  <si>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</si>
  <si>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</si>
  <si>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</si>
  <si>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</si>
  <si>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</si>
  <si>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</si>
  <si>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</si>
  <si>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</si>
  <si>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</si>
  <si>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</si>
  <si>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</si>
  <si>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</si>
  <si>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</si>
  <si>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</si>
  <si>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</si>
  <si>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</si>
  <si>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</si>
  <si>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</si>
  <si>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</si>
  <si>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</si>
  <si>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</si>
  <si>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</si>
  <si>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</si>
  <si>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</si>
  <si>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</si>
  <si>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</si>
  <si>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</si>
  <si>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</si>
  <si>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</si>
  <si>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</si>
  <si>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</si>
  <si>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</si>
  <si>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</si>
  <si>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</si>
  <si>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</si>
  <si>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</si>
  <si>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</si>
  <si>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</si>
  <si>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</si>
  <si>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</si>
  <si>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</si>
  <si>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</si>
  <si>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</si>
  <si>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</si>
  <si>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</si>
  <si>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</si>
  <si>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</si>
  <si>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</si>
  <si>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</si>
  <si>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</si>
  <si>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</si>
  <si>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</si>
  <si>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</si>
  <si>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</si>
  <si>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</si>
  <si>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</si>
  <si>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</si>
  <si>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</si>
  <si>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</si>
  <si>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</si>
  <si>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</si>
  <si>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</si>
  <si>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</si>
  <si>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</si>
  <si>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</si>
  <si>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</si>
  <si>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</si>
  <si>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</si>
  <si>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</si>
  <si>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</si>
  <si>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</si>
  <si>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</si>
  <si>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</si>
  <si>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</si>
  <si>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</si>
  <si>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</si>
  <si>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</si>
  <si>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</si>
  <si>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</si>
  <si>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</si>
  <si>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</si>
  <si>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</si>
  <si>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</si>
  <si>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</si>
  <si>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</si>
  <si>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</si>
  <si>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</si>
  <si>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</si>
  <si>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</si>
  <si>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</si>
  <si>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</si>
  <si>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</si>
  <si>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</si>
  <si>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</si>
  <si>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</si>
  <si>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</si>
  <si>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</si>
  <si>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</si>
  <si>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</si>
  <si>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</si>
  <si>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</si>
  <si>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</si>
  <si>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</si>
  <si>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</si>
  <si>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</si>
  <si>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</si>
  <si>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</si>
  <si>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</si>
  <si>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</si>
  <si>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</si>
  <si>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</si>
  <si>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</si>
  <si>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</si>
  <si>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</si>
  <si>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</si>
  <si>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</si>
  <si>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</si>
  <si>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</si>
  <si>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</si>
  <si>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</si>
  <si>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</si>
  <si>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</si>
  <si>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</si>
  <si>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</si>
  <si>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</si>
  <si>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</si>
  <si>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</si>
  <si>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</si>
  <si>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</si>
  <si>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</si>
  <si>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</si>
  <si>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</si>
  <si>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</si>
  <si>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</si>
  <si>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</si>
  <si>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</si>
  <si>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</si>
  <si>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</si>
  <si>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</si>
  <si>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</si>
  <si>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</si>
  <si>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</si>
  <si>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</si>
  <si>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</si>
  <si>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</si>
  <si>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</si>
  <si>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</si>
  <si>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</si>
  <si>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</si>
  <si>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</si>
  <si>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</si>
  <si>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</si>
  <si>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</si>
  <si>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</si>
  <si>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</si>
  <si>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</si>
  <si>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</si>
  <si>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</si>
  <si>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</si>
  <si>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</si>
  <si>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</si>
  <si>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</si>
  <si>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</si>
  <si>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</si>
  <si>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</si>
  <si>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</si>
  <si>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</si>
  <si>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</si>
  <si>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</si>
  <si>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</si>
  <si>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</si>
  <si>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</si>
  <si>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</si>
  <si>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</si>
  <si>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</si>
  <si>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</si>
  <si>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</si>
  <si>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</si>
  <si>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</si>
  <si>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</si>
  <si>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</si>
  <si>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</si>
  <si>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</si>
  <si>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</si>
  <si>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</si>
  <si>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</si>
  <si>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</si>
  <si>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</si>
  <si>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</si>
  <si>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</si>
  <si>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</si>
  <si>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</si>
  <si>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</si>
  <si>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</si>
  <si>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</si>
  <si>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</si>
  <si>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</si>
  <si>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</si>
  <si>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</si>
  <si>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</si>
  <si>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</si>
  <si>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</si>
  <si>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</si>
  <si>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</si>
  <si>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</si>
  <si>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</si>
  <si>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</si>
  <si>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</si>
  <si>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</si>
  <si>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</si>
  <si>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</si>
  <si>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</si>
  <si>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</si>
  <si>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</si>
  <si>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</si>
  <si>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</si>
  <si>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</si>
  <si>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</si>
  <si>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</si>
  <si>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</si>
  <si>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</si>
  <si>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</si>
  <si>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</si>
  <si>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</si>
  <si>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</si>
  <si>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</si>
  <si>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</si>
  <si>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</si>
  <si>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</si>
  <si>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</si>
  <si>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</si>
  <si>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</si>
  <si>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</si>
  <si>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</si>
  <si>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</si>
  <si>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</si>
  <si>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</si>
  <si>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</si>
  <si>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</si>
  <si>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</si>
  <si>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</si>
  <si>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</si>
  <si>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</si>
  <si>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</si>
  <si>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</si>
  <si>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</si>
  <si>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</si>
  <si>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</si>
  <si>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</si>
  <si>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</si>
  <si>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</si>
  <si>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</si>
  <si>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</si>
  <si>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</si>
  <si>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</si>
  <si>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</si>
  <si>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</si>
  <si>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</si>
  <si>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</si>
  <si>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</si>
  <si>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</si>
  <si>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</si>
  <si>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</si>
  <si>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</si>
  <si>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</si>
  <si>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</si>
  <si>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</si>
  <si>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</si>
  <si>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</si>
  <si>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</si>
  <si>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</si>
  <si>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</si>
  <si>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</si>
  <si>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</si>
  <si>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</si>
  <si>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</si>
  <si>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</si>
  <si>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</si>
  <si>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</si>
  <si>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</si>
  <si>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</si>
  <si>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</si>
  <si>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</si>
  <si>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</si>
  <si>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</si>
  <si>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</si>
  <si>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</si>
  <si>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</si>
  <si>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</si>
  <si>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</si>
  <si>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</si>
  <si>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</si>
  <si>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</si>
  <si>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</si>
  <si>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</si>
  <si>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</si>
  <si>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</si>
  <si>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</si>
  <si>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</si>
  <si>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</si>
  <si>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</si>
  <si>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</si>
  <si>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</si>
  <si>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</si>
  <si>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</si>
  <si>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</si>
  <si>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</si>
  <si>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</si>
  <si>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</si>
  <si>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</si>
  <si>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</si>
  <si>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</si>
  <si>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</si>
  <si>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</si>
  <si>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</si>
  <si>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</si>
  <si>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</si>
  <si>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</si>
  <si>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</si>
  <si>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</si>
  <si>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</si>
  <si>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</si>
  <si>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</si>
  <si>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</si>
  <si>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</si>
  <si>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</si>
  <si>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</si>
  <si>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</si>
  <si>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</si>
  <si>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</si>
  <si>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</si>
  <si>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</si>
  <si>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</si>
  <si>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</si>
  <si>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</si>
  <si>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</si>
  <si>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</si>
  <si>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</si>
  <si>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</si>
  <si>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</si>
  <si>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</si>
  <si>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</si>
  <si>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</si>
  <si>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</si>
  <si>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</si>
  <si>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</si>
  <si>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</si>
  <si>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</si>
  <si>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</si>
  <si>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</si>
  <si>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</si>
  <si>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</si>
  <si>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</si>
  <si>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</si>
  <si>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</si>
  <si>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</si>
  <si>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</si>
  <si>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</si>
  <si>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</si>
  <si>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</si>
  <si>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</si>
  <si>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</si>
  <si>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</si>
  <si>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</si>
  <si>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</si>
  <si>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</si>
  <si>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</si>
  <si>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</si>
  <si>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</si>
  <si>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</si>
  <si>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</si>
  <si>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</si>
  <si>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</si>
  <si>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</si>
  <si>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</si>
  <si>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</si>
  <si>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</si>
  <si>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</si>
  <si>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</si>
  <si>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</si>
  <si>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</si>
  <si>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</si>
  <si>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</si>
  <si>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</si>
  <si>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</si>
  <si>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</si>
  <si>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</si>
  <si>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</si>
  <si>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</si>
  <si>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</si>
  <si>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</si>
  <si>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</si>
  <si>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</si>
  <si>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</si>
  <si>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</si>
  <si>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</si>
  <si>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</si>
  <si>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</si>
  <si>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</si>
  <si>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</si>
  <si>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</si>
  <si>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</si>
  <si>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</si>
  <si>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</si>
  <si>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</si>
  <si>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</si>
  <si>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</si>
  <si>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</si>
  <si>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</si>
  <si>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</si>
  <si>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</si>
  <si>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</si>
  <si>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</si>
  <si>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</si>
  <si>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</si>
  <si>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</si>
  <si>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</si>
  <si>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</si>
  <si>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</si>
  <si>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</si>
  <si>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</si>
  <si>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</si>
  <si>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</si>
  <si>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</si>
  <si>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</si>
  <si>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</si>
  <si>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</si>
  <si>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</si>
  <si>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</si>
  <si>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</si>
  <si>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</si>
  <si>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</si>
  <si>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</si>
  <si>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</si>
  <si>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</si>
  <si>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</si>
  <si>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</si>
  <si>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</si>
  <si>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</si>
  <si>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</si>
  <si>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</si>
  <si>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</si>
  <si>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</si>
  <si>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</si>
  <si>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</si>
  <si>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</si>
  <si>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</si>
  <si>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</si>
  <si>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</si>
  <si>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</si>
  <si>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</si>
  <si>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</si>
  <si>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</si>
  <si>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</si>
  <si>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</si>
  <si>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</si>
  <si>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</si>
  <si>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</si>
  <si>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</si>
  <si>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</si>
  <si>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</si>
  <si>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</si>
  <si>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</si>
  <si>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</si>
  <si>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</si>
  <si>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</si>
  <si>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</si>
  <si>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</si>
  <si>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</si>
  <si>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</si>
  <si>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</si>
  <si>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</si>
  <si>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</si>
  <si>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</si>
  <si>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</si>
  <si>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</si>
  <si>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</si>
  <si>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</si>
  <si>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</si>
  <si>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</si>
  <si>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</si>
  <si>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</si>
  <si>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</si>
  <si>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</si>
  <si>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</si>
  <si>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</si>
  <si>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</si>
  <si>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</si>
  <si>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</si>
  <si>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</si>
  <si>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</si>
  <si>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</si>
  <si>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</si>
  <si>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</si>
  <si>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</si>
  <si>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</si>
  <si>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</si>
  <si>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</si>
  <si>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</si>
  <si>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</si>
  <si>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</si>
  <si>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</si>
  <si>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</si>
  <si>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</si>
  <si>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</si>
  <si>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</si>
  <si>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</si>
  <si>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</si>
  <si>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</si>
  <si>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</si>
  <si>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</si>
  <si>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</si>
  <si>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</si>
  <si>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</si>
  <si>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</si>
  <si>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</si>
  <si>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</si>
  <si>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</si>
  <si>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</si>
  <si>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</si>
  <si>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</si>
  <si>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</si>
  <si>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</si>
  <si>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</si>
  <si>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</si>
  <si>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</si>
  <si>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</si>
  <si>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</si>
  <si>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</si>
  <si>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</si>
  <si>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</si>
  <si>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</si>
  <si>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</si>
  <si>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</si>
  <si>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</si>
  <si>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</si>
  <si>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</si>
  <si>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</si>
  <si>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</si>
  <si>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</si>
  <si>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</si>
  <si>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</si>
  <si>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</si>
  <si>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</si>
  <si>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</si>
  <si>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</si>
  <si>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</si>
  <si>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</si>
  <si>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</si>
  <si>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</si>
  <si>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</si>
  <si>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</si>
  <si>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</si>
  <si>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</si>
  <si>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</si>
  <si>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</si>
  <si>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</si>
  <si>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</si>
  <si>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</si>
  <si>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</si>
  <si>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</si>
  <si>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</si>
  <si>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</si>
  <si>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</si>
  <si>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</si>
  <si>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</si>
  <si>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</si>
  <si>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</si>
  <si>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</si>
  <si>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</si>
  <si>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</si>
  <si>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</si>
  <si>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</si>
  <si>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</si>
  <si>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</si>
  <si>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</si>
  <si>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</si>
  <si>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</si>
  <si>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</si>
  <si>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</si>
  <si>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</si>
  <si>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</si>
  <si>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</si>
  <si>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</si>
  <si>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</si>
  <si>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</si>
  <si>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</si>
  <si>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</si>
  <si>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</si>
  <si>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</si>
  <si>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</si>
  <si>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</si>
  <si>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</si>
  <si>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</si>
  <si>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</si>
  <si>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</si>
  <si>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</si>
  <si>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</si>
  <si>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</si>
  <si>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</si>
  <si>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</si>
  <si>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</si>
  <si>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</si>
  <si>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</si>
  <si>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</si>
  <si>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</si>
  <si>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</si>
  <si>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</si>
  <si>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</si>
  <si>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</si>
  <si>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</si>
  <si>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</si>
  <si>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</si>
  <si>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</si>
  <si>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</si>
  <si>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</si>
  <si>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</si>
  <si>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</si>
  <si>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</si>
  <si>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</si>
  <si>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</si>
  <si>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</si>
  <si>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</si>
  <si>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</si>
  <si>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</si>
  <si>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</si>
  <si>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</si>
  <si>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</si>
  <si>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</si>
  <si>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</si>
  <si>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</si>
  <si>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</si>
  <si>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</si>
  <si>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</si>
  <si>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</si>
  <si>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</si>
  <si>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</si>
  <si>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</si>
  <si>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</si>
  <si>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</si>
  <si>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</si>
  <si>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</si>
  <si>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</si>
  <si>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</si>
  <si>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</si>
  <si>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</si>
  <si>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</si>
  <si>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</si>
  <si>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</si>
  <si>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</si>
  <si>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</si>
  <si>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</si>
  <si>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</si>
  <si>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</si>
  <si>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</si>
  <si>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</si>
  <si>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</si>
  <si>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</si>
  <si>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</si>
  <si>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</si>
  <si>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</si>
  <si>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</si>
  <si>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</si>
  <si>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</si>
  <si>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</si>
  <si>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</si>
  <si>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</si>
  <si>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</si>
  <si>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</si>
  <si>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</si>
  <si>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</si>
  <si>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</si>
  <si>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</si>
  <si>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</si>
  <si>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</si>
  <si>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</si>
  <si>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</si>
  <si>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</si>
  <si>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</si>
  <si>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</si>
  <si>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</si>
  <si>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</si>
  <si>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</si>
  <si>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</si>
  <si>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</si>
  <si>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</si>
  <si>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</si>
  <si>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</si>
  <si>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</si>
  <si>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</si>
  <si>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</si>
  <si>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</si>
  <si>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</si>
  <si>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</si>
  <si>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</si>
  <si>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</si>
  <si>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</si>
  <si>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</si>
  <si>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</si>
  <si>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</si>
  <si>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</si>
  <si>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</si>
  <si>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</si>
  <si>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</si>
  <si>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</si>
  <si>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</si>
  <si>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</si>
  <si>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</si>
  <si>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</si>
  <si>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</si>
  <si>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</si>
  <si>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</si>
  <si>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</si>
  <si>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</si>
  <si>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</si>
  <si>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</si>
  <si>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</si>
  <si>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</si>
  <si>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</si>
  <si>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</si>
  <si>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</si>
  <si>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</si>
  <si>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</si>
  <si>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</si>
  <si>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</si>
  <si>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</si>
  <si>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</si>
  <si>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</si>
  <si>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</si>
  <si>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</si>
  <si>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</si>
  <si>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</si>
  <si>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</si>
  <si>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</si>
  <si>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</si>
  <si>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</si>
  <si>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</si>
  <si>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</si>
  <si>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</si>
  <si>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</si>
  <si>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</si>
  <si>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</si>
  <si>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</si>
  <si>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</si>
  <si>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</si>
  <si>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</si>
  <si>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</si>
  <si>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</si>
  <si>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</si>
  <si>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</si>
  <si>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</si>
  <si>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</si>
  <si>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</si>
  <si>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</si>
  <si>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</si>
  <si>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</si>
  <si>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</si>
  <si>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</si>
  <si>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</si>
  <si>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</si>
  <si>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</si>
  <si>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</si>
  <si>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</si>
  <si>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</si>
  <si>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</si>
  <si>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</si>
  <si>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</si>
  <si>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</si>
  <si>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</si>
  <si>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</si>
  <si>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</si>
  <si>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</si>
  <si>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</si>
  <si>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</si>
  <si>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</si>
  <si>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</si>
  <si>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</si>
  <si>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</si>
  <si>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</si>
  <si>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</si>
  <si>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</si>
  <si>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</si>
  <si>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</si>
  <si>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</si>
  <si>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</si>
  <si>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</si>
  <si>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</si>
  <si>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</si>
  <si>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</si>
  <si>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</si>
  <si>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</si>
  <si>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</si>
  <si>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</si>
  <si>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</si>
  <si>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</si>
  <si>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</si>
  <si>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</si>
  <si>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</si>
  <si>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</si>
  <si>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</si>
  <si>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</si>
  <si>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</si>
  <si>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</si>
  <si>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</si>
  <si>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</si>
  <si>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</si>
  <si>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</si>
  <si>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</si>
  <si>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</si>
  <si>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</si>
  <si>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</si>
  <si>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</si>
  <si>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</si>
  <si>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</si>
  <si>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</si>
  <si>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</si>
  <si>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</si>
  <si>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</si>
  <si>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</si>
  <si>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</si>
  <si>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</si>
  <si>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</si>
  <si>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</si>
  <si>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</si>
  <si>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</si>
  <si>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</si>
  <si>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</si>
  <si>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</si>
  <si>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</si>
  <si>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</si>
  <si>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</si>
  <si>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</si>
  <si>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</si>
  <si>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</si>
  <si>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</si>
  <si>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</si>
  <si>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</si>
  <si>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</si>
  <si>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</si>
  <si>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</si>
  <si>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</si>
  <si>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</si>
  <si>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</si>
  <si>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</si>
  <si>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</si>
  <si>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</si>
  <si>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</si>
  <si>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</si>
  <si>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</si>
  <si>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</si>
  <si>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</si>
  <si>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</si>
  <si>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</si>
  <si>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</si>
  <si>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</si>
  <si>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</si>
  <si>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</si>
  <si>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</si>
  <si>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</si>
  <si>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</si>
  <si>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</si>
  <si>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</si>
  <si>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</si>
  <si>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</si>
  <si>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</si>
  <si>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</si>
  <si>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</si>
  <si>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</si>
  <si>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</si>
  <si>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</si>
  <si>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</si>
  <si>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</si>
  <si>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</si>
  <si>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</si>
  <si>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</si>
  <si>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</si>
  <si>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</si>
  <si>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</si>
  <si>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</si>
  <si>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</si>
  <si>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</si>
  <si>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</si>
  <si>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</si>
  <si>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</si>
  <si>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</si>
  <si>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</si>
  <si>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</si>
  <si>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</si>
  <si>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</si>
  <si>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</si>
  <si>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</si>
  <si>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</si>
  <si>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</si>
  <si>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</si>
  <si>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</si>
  <si>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</si>
  <si>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</si>
  <si>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</si>
  <si>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</si>
  <si>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</si>
  <si>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</si>
  <si>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</si>
  <si>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</si>
  <si>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</si>
  <si>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</si>
  <si>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</si>
  <si>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</si>
  <si>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</si>
  <si>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</si>
  <si>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</si>
  <si>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</si>
  <si>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</si>
  <si>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</si>
  <si>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</si>
  <si>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</si>
  <si>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</si>
  <si>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</si>
  <si>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</si>
  <si>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</si>
  <si>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</si>
  <si>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</si>
  <si>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</si>
  <si>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</si>
  <si>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</si>
  <si>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</si>
  <si>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</si>
  <si>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</si>
  <si>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</si>
  <si>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</si>
  <si>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</si>
  <si>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</si>
  <si>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</si>
  <si>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</si>
  <si>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</si>
  <si>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</si>
  <si>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</si>
  <si>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</si>
  <si>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</si>
  <si>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</si>
  <si>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</si>
  <si>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</si>
  <si>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</si>
  <si>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</si>
  <si>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</si>
  <si>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</si>
  <si>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</si>
  <si>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</si>
  <si>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</si>
  <si>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</si>
  <si>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</si>
  <si>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</si>
  <si>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</si>
  <si>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</si>
  <si>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</si>
  <si>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</si>
  <si>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</si>
  <si>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</si>
  <si>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</si>
  <si>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</si>
  <si>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</si>
  <si>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</si>
  <si>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</si>
  <si>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</si>
  <si>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</si>
  <si>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</si>
  <si>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</si>
  <si>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</si>
  <si>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</si>
  <si>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</si>
  <si>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</si>
  <si>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</si>
  <si>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</si>
  <si>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</si>
  <si>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</si>
  <si>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</si>
  <si>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</si>
  <si>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</si>
  <si>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</si>
  <si>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</si>
  <si>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</si>
  <si>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</si>
  <si>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</si>
  <si>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</si>
  <si>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</si>
  <si>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</si>
  <si>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</si>
  <si>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</si>
  <si>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</si>
  <si>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</si>
  <si>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</si>
  <si>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</si>
  <si>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</si>
  <si>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</si>
  <si>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</si>
  <si>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</si>
  <si>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</si>
  <si>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</si>
  <si>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</si>
  <si>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</si>
  <si>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</si>
  <si>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</si>
  <si>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</si>
  <si>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</si>
  <si>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</si>
  <si>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</si>
  <si>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</si>
  <si>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</si>
  <si>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</si>
  <si>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</si>
  <si>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</si>
  <si>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</si>
  <si>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</si>
  <si>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</si>
  <si>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</si>
  <si>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</si>
  <si>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</si>
  <si>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</si>
  <si>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</si>
  <si>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</si>
  <si>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</si>
  <si>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</si>
  <si>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</si>
  <si>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</si>
  <si>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</si>
  <si>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</si>
  <si>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</si>
  <si>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</si>
  <si>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</si>
  <si>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</si>
  <si>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</si>
  <si>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</si>
  <si>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</si>
  <si>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</si>
  <si>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</si>
  <si>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</si>
  <si>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</si>
  <si>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</si>
  <si>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</si>
  <si>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</si>
  <si>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</si>
  <si>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</si>
  <si>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</si>
  <si>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</si>
  <si>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</si>
  <si>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</si>
  <si>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</si>
  <si>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</si>
  <si>
    <r>
      <t>3</t>
    </r>
    <r>
      <rPr>
        <sz val="12"/>
        <color indexed="8"/>
        <rFont val="Arial"/>
        <family val="2"/>
      </rPr>
      <t>~10</t>
    </r>
    <phoneticPr fontId="15" type="noConversion"/>
  </si>
  <si>
    <t>3~10</t>
  </si>
  <si>
    <r>
      <t>2</t>
    </r>
    <r>
      <rPr>
        <sz val="11"/>
        <color indexed="10"/>
        <rFont val="宋体"/>
        <family val="3"/>
        <charset val="134"/>
      </rPr>
      <t>亿</t>
    </r>
    <phoneticPr fontId="15" type="noConversion"/>
  </si>
  <si>
    <r>
      <t>2.5</t>
    </r>
    <r>
      <rPr>
        <sz val="11"/>
        <color indexed="10"/>
        <rFont val="宋体"/>
        <family val="3"/>
        <charset val="134"/>
      </rPr>
      <t>亿</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</si>
</sst>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15" fillId="0"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58" fontId="92" fillId="8" borderId="0" xfId="0" applyNumberFormat="1" applyFont="1" applyFill="1" applyAlignment="1" applyProtection="1">
      <protection locked="0"/>
    </xf>
    <xf numFmtId="178" fontId="76" fillId="8" borderId="0" xfId="0" applyNumberFormat="1" applyFont="1" applyFill="1" applyAlignment="1" applyProtection="1">
      <protection locked="0"/>
    </xf>
    <xf numFmtId="179" fontId="76" fillId="8" borderId="0" xfId="0" applyNumberFormat="1" applyFont="1" applyFill="1" applyAlignment="1" applyProtection="1">
      <protection locked="0"/>
    </xf>
    <xf numFmtId="178" fontId="80" fillId="8" borderId="0" xfId="0" applyNumberFormat="1" applyFont="1" applyFill="1" applyProtection="1">
      <alignment vertical="center"/>
      <protection locked="0"/>
    </xf>
    <xf numFmtId="179" fontId="80" fillId="8" borderId="0" xfId="0" applyNumberFormat="1" applyFont="1" applyFill="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4" customWidth="1"/>
    <col min="2" max="2" width="78.21875" style="2865" customWidth="1"/>
    <col min="3" max="18" width="9" style="2859"/>
    <col min="19" max="19" width="17.88671875" style="2859" customWidth="1"/>
    <col min="20" max="51" width="9" style="2859"/>
    <col min="52" max="52" width="13.21875" style="2859" customWidth="1"/>
    <col min="53" max="53" width="13.44140625" style="2859" bestFit="1" customWidth="1"/>
    <col min="54" max="54" width="11.6640625" style="2859" bestFit="1" customWidth="1"/>
    <col min="55" max="55" width="13.44140625" style="2859" bestFit="1" customWidth="1"/>
    <col min="56" max="16384" width="9" style="2859"/>
  </cols>
  <sheetData>
    <row r="1" spans="1:55" s="2870" customFormat="1" ht="16.2" thickBot="1">
      <c r="A1" s="2868" t="s">
        <v>2653</v>
      </c>
      <c r="B1" s="2869" t="s">
        <v>2750</v>
      </c>
    </row>
    <row r="2" spans="1:55" s="2873" customFormat="1" ht="16.2"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6.2" thickBot="1">
      <c r="A5" s="2877" t="s">
        <v>2660</v>
      </c>
      <c r="B5" s="2878" t="str">
        <f>'预评函-封皮'!B49</f>
        <v>康正预评字号</v>
      </c>
    </row>
    <row r="6" spans="1:55" s="2879" customFormat="1" ht="16.2"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6.2" thickBot="1">
      <c r="A21" s="2877" t="s">
        <v>2671</v>
      </c>
      <c r="B21" s="2878" t="str">
        <f>'预评函-1'!A28</f>
        <v>——</v>
      </c>
    </row>
    <row r="22" spans="1:48" ht="16.2"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18033</v>
      </c>
    </row>
    <row r="47" spans="1:2">
      <c r="A47" s="2855" t="s">
        <v>2721</v>
      </c>
      <c r="B47" s="2856">
        <f ca="1">'预评函-2'!Q5</f>
        <v>7514</v>
      </c>
    </row>
    <row r="48" spans="1:2">
      <c r="A48" s="2855" t="s">
        <v>2722</v>
      </c>
      <c r="B48" s="2856">
        <f ca="1">'预评函-2'!R5</f>
        <v>24997</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6.2" thickBot="1">
      <c r="A54" s="2877" t="s">
        <v>2725</v>
      </c>
      <c r="B54" s="2878" t="str">
        <f>'预评函-2'!R8</f>
        <v>——</v>
      </c>
    </row>
    <row r="55" spans="1:2" ht="16.2"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6.2" thickBot="1">
      <c r="A58" s="2877" t="s">
        <v>2726</v>
      </c>
      <c r="B58" s="2878" t="str">
        <f>'预评函-3'!A5</f>
        <v>4.影响价格的其他限定条件：无。</v>
      </c>
    </row>
    <row r="59" spans="1:2" ht="16.2"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6.2" thickBot="1">
      <c r="A68" s="2877" t="s">
        <v>2689</v>
      </c>
      <c r="B68" s="2881">
        <f>'预评函-3'!D30</f>
        <v>42558</v>
      </c>
    </row>
    <row r="69" spans="1:2" ht="16.2"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6.2" thickBot="1">
      <c r="A72" s="2877" t="s">
        <v>2688</v>
      </c>
      <c r="B72" s="2883">
        <f ca="1">'预评函-3'!B21</f>
        <v>2014110011</v>
      </c>
    </row>
    <row r="73" spans="1:2" ht="16.2"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6.2"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1937</v>
      </c>
      <c r="B1" s="3225" t="str">
        <f>IF(B10="北京市","北京市",C10)&amp;F10&amp;B16&amp;"国有建设用地使用权"&amp;B9&amp;"预评估"</f>
        <v>出让国有建设用地使用权市场价格预评估</v>
      </c>
      <c r="C1" s="3226"/>
      <c r="D1" s="3226"/>
      <c r="E1" s="3226"/>
      <c r="F1" s="3226"/>
      <c r="G1" s="3226"/>
      <c r="H1" s="3226"/>
      <c r="I1" s="3227"/>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6.2"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6.2"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31" t="s">
        <v>1944</v>
      </c>
      <c r="E8" s="1843"/>
      <c r="F8" s="1671"/>
      <c r="G8" s="1659"/>
      <c r="H8" s="1659"/>
      <c r="I8" s="1706"/>
      <c r="J8" s="1693"/>
      <c r="K8" s="1773"/>
      <c r="L8" s="1722"/>
      <c r="M8" s="1722"/>
      <c r="N8" s="1693"/>
      <c r="O8" s="1694"/>
      <c r="P8" s="1693"/>
      <c r="Q8" s="1693"/>
      <c r="R8" s="1693"/>
      <c r="S8" s="1693"/>
      <c r="T8" s="1693"/>
      <c r="U8" s="1693"/>
    </row>
    <row r="9" spans="1:21" ht="16.2" thickBot="1">
      <c r="A9" s="1672" t="s">
        <v>1943</v>
      </c>
      <c r="B9" s="1673" t="s">
        <v>3209</v>
      </c>
      <c r="C9" s="1674"/>
      <c r="D9" s="3232"/>
      <c r="E9" s="1673" t="s">
        <v>951</v>
      </c>
      <c r="F9" s="1746"/>
      <c r="G9" s="1741"/>
      <c r="H9" s="1741"/>
      <c r="I9" s="1742"/>
      <c r="J9" s="1693"/>
      <c r="K9" s="1773"/>
      <c r="L9" s="1722"/>
      <c r="M9" s="1722"/>
      <c r="N9" s="1693"/>
      <c r="O9" s="1694"/>
      <c r="P9" s="1693"/>
      <c r="Q9" s="1693"/>
      <c r="R9" s="1693"/>
      <c r="S9" s="1693"/>
      <c r="T9" s="1693"/>
      <c r="U9" s="1693"/>
    </row>
    <row r="10" spans="1:21" ht="16.2"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28"/>
      <c r="C12" s="3229"/>
      <c r="D12" s="3230"/>
      <c r="E12" s="1698" t="s">
        <v>2061</v>
      </c>
      <c r="F12" s="3246" t="s">
        <v>2885</v>
      </c>
      <c r="G12" s="3247"/>
      <c r="H12" s="3247"/>
      <c r="I12" s="3248"/>
      <c r="J12" s="1693"/>
      <c r="K12" s="1773"/>
      <c r="L12" s="1722"/>
      <c r="M12" s="1722"/>
      <c r="N12" s="1693"/>
      <c r="O12" s="1694"/>
      <c r="P12" s="1693"/>
      <c r="Q12" s="1693"/>
      <c r="R12" s="1693"/>
      <c r="S12" s="1693"/>
      <c r="T12" s="1693"/>
      <c r="U12" s="1693"/>
    </row>
    <row r="13" spans="1:21">
      <c r="A13" s="1686" t="s">
        <v>2059</v>
      </c>
      <c r="B13" s="3228"/>
      <c r="C13" s="3229"/>
      <c r="D13" s="3230"/>
      <c r="E13" s="1698" t="s">
        <v>2061</v>
      </c>
      <c r="F13" s="3246" t="s">
        <v>2886</v>
      </c>
      <c r="G13" s="3247"/>
      <c r="H13" s="3247"/>
      <c r="I13" s="3248"/>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46.8">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3"/>
      <c r="E20" s="3244"/>
      <c r="F20" s="3244"/>
      <c r="G20" s="3244"/>
      <c r="H20" s="3244"/>
      <c r="I20" s="3245"/>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33" t="s">
        <v>1998</v>
      </c>
      <c r="F21" s="3234"/>
      <c r="G21" s="3234"/>
      <c r="H21" s="3234"/>
      <c r="I21" s="3235"/>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33" t="s">
        <v>2887</v>
      </c>
      <c r="F22" s="3234"/>
      <c r="G22" s="3234"/>
      <c r="H22" s="3234"/>
      <c r="I22" s="3235"/>
      <c r="J22" s="1693"/>
      <c r="K22" s="1773"/>
      <c r="L22" s="1722"/>
      <c r="M22" s="1722"/>
      <c r="N22" s="1693"/>
      <c r="O22" s="1694"/>
      <c r="P22" s="1693"/>
      <c r="Q22" s="1693"/>
      <c r="R22" s="1693"/>
      <c r="S22" s="1693"/>
      <c r="T22" s="1693"/>
      <c r="U22" s="1693"/>
    </row>
    <row r="23" spans="1:21" ht="47.4"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36" t="s">
        <v>1966</v>
      </c>
      <c r="C24" s="3237"/>
      <c r="D24" s="3238" t="s">
        <v>1967</v>
      </c>
      <c r="E24" s="3239"/>
      <c r="F24" s="1707" t="s">
        <v>1968</v>
      </c>
      <c r="G24" s="1693"/>
      <c r="H24" s="1693"/>
      <c r="I24" s="1706"/>
      <c r="J24" s="1693"/>
      <c r="K24" s="3224"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2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47.4" thickBot="1">
      <c r="A26" s="1751"/>
      <c r="B26" s="1748" t="s">
        <v>1971</v>
      </c>
      <c r="C26" s="1708" t="s">
        <v>1970</v>
      </c>
      <c r="D26" s="1659"/>
      <c r="E26" s="1659"/>
      <c r="F26" s="1687"/>
      <c r="G26" s="1693"/>
      <c r="H26" s="1693"/>
      <c r="I26" s="1706"/>
      <c r="J26" s="1693"/>
      <c r="K26" s="322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6.2" thickTop="1">
      <c r="A31" s="3210" t="s">
        <v>2001</v>
      </c>
      <c r="B31" s="1763" t="s">
        <v>2002</v>
      </c>
      <c r="C31" s="3249"/>
      <c r="D31" s="3250"/>
      <c r="E31" s="1693"/>
      <c r="F31" s="1693"/>
      <c r="G31" s="1693"/>
      <c r="H31" s="1693"/>
      <c r="I31" s="1706"/>
      <c r="J31" s="1693"/>
      <c r="K31" s="2436"/>
      <c r="L31" s="1693"/>
      <c r="M31" s="1693"/>
      <c r="N31" s="1693"/>
      <c r="O31" s="1693"/>
      <c r="P31" s="1693"/>
      <c r="Q31" s="1693"/>
      <c r="R31" s="1693"/>
      <c r="S31" s="1693"/>
      <c r="T31" s="1693"/>
      <c r="U31" s="1693"/>
    </row>
    <row r="32" spans="1:21">
      <c r="A32" s="3210"/>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10"/>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11"/>
      <c r="B34" s="1660" t="s">
        <v>2005</v>
      </c>
      <c r="C34" s="3212"/>
      <c r="D34" s="3213"/>
      <c r="E34" s="1693"/>
      <c r="F34" s="1693"/>
      <c r="G34" s="1693"/>
      <c r="H34" s="1693"/>
      <c r="I34" s="1706"/>
      <c r="J34" s="1693"/>
      <c r="K34" s="2436"/>
      <c r="L34" s="1693"/>
      <c r="M34" s="1693"/>
      <c r="N34" s="1693"/>
      <c r="O34" s="1693"/>
      <c r="P34" s="1693"/>
      <c r="Q34" s="1693"/>
      <c r="R34" s="1693"/>
      <c r="S34" s="1693"/>
      <c r="T34" s="1693"/>
      <c r="U34" s="1693"/>
    </row>
    <row r="35" spans="1:21">
      <c r="A35" s="3214" t="s">
        <v>846</v>
      </c>
      <c r="B35" s="1721"/>
      <c r="C35" s="1775" t="str">
        <f>IF(B35="场地平整","——","具体情况：")</f>
        <v>具体情况：</v>
      </c>
      <c r="D35" s="3216"/>
      <c r="E35" s="3217"/>
      <c r="F35" s="3217"/>
      <c r="G35" s="3217"/>
      <c r="H35" s="3217"/>
      <c r="I35" s="3218"/>
      <c r="J35" s="1693"/>
      <c r="K35" s="1774"/>
      <c r="L35" s="1722"/>
      <c r="M35" s="1722"/>
      <c r="N35" s="1693"/>
      <c r="O35" s="1694"/>
      <c r="P35" s="1693"/>
      <c r="Q35" s="1693"/>
      <c r="R35" s="1693"/>
      <c r="S35" s="1693"/>
      <c r="T35" s="1693"/>
      <c r="U35" s="1693"/>
    </row>
    <row r="36" spans="1:21">
      <c r="A36" s="3210"/>
      <c r="B36" s="3219" t="s">
        <v>2054</v>
      </c>
      <c r="C36" s="3220"/>
      <c r="D36" s="1791"/>
      <c r="E36" s="3221"/>
      <c r="F36" s="3221"/>
      <c r="G36" s="1686" t="str">
        <f>IF(B35="场地未平整","估价结果处理","")</f>
        <v/>
      </c>
      <c r="H36" s="3222"/>
      <c r="I36" s="3222"/>
      <c r="J36" s="1693"/>
      <c r="K36" s="1774"/>
      <c r="L36" s="1722"/>
      <c r="M36" s="1722"/>
      <c r="N36" s="1693"/>
      <c r="O36" s="1694"/>
      <c r="P36" s="1693"/>
      <c r="Q36" s="1693"/>
      <c r="R36" s="1693"/>
      <c r="S36" s="1693"/>
      <c r="T36" s="1693"/>
      <c r="U36" s="1693"/>
    </row>
    <row r="37" spans="1:21" ht="31.2">
      <c r="A37" s="3210"/>
      <c r="B37" s="324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0"/>
      <c r="B38" s="3241"/>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11"/>
      <c r="B39" s="324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23" t="s">
        <v>1985</v>
      </c>
      <c r="T40" s="1730" t="str">
        <f>NUMBERSTRING(7-K40,1)&amp;"通"</f>
        <v>七通</v>
      </c>
      <c r="U40" s="1693"/>
    </row>
    <row r="41" spans="1:21">
      <c r="A41" s="1662"/>
      <c r="B41" s="3215" t="s">
        <v>1721</v>
      </c>
      <c r="C41" s="3215"/>
      <c r="D41" s="3215"/>
      <c r="E41" s="321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4.109375" style="15" customWidth="1"/>
    <col min="10" max="10" width="9.44140625" style="15" customWidth="1"/>
    <col min="11" max="11" width="11" style="15" hidden="1"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3.2">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3.2">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46.8">
      <c r="A3" s="3251"/>
      <c r="B3" s="3251"/>
      <c r="C3" s="3251"/>
      <c r="D3" s="3252"/>
      <c r="E3" s="325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262" t="s">
        <v>203</v>
      </c>
      <c r="B2" s="3262"/>
      <c r="C2" s="3262"/>
      <c r="D2" s="1975" t="s">
        <v>204</v>
      </c>
      <c r="E2" s="106" t="s">
        <v>205</v>
      </c>
      <c r="F2" s="1984"/>
      <c r="G2" s="1198"/>
      <c r="H2" s="1199"/>
      <c r="I2" s="1200" t="s">
        <v>856</v>
      </c>
      <c r="J2" s="1984"/>
      <c r="K2" s="1984"/>
      <c r="L2" s="1984"/>
    </row>
    <row r="3" spans="1:16" ht="15" thickBot="1">
      <c r="A3" s="3263" t="s">
        <v>206</v>
      </c>
      <c r="B3" s="3263"/>
      <c r="C3" s="3263"/>
      <c r="D3" s="107">
        <f>'数据-基础表'!AY6</f>
        <v>13862</v>
      </c>
      <c r="E3" s="107">
        <f>'数据-基础表'!AZ5</f>
        <v>33268.799999999996</v>
      </c>
      <c r="F3" s="1984"/>
      <c r="G3" s="280" t="s">
        <v>857</v>
      </c>
      <c r="H3" s="275" t="s">
        <v>858</v>
      </c>
      <c r="I3" s="1976">
        <f>ROUND('数据-基础表'!B3/'数据-基础表'!A3,2)</f>
        <v>2.4</v>
      </c>
      <c r="J3" s="1984"/>
      <c r="K3" s="1984"/>
      <c r="L3" s="1984"/>
    </row>
    <row r="4" spans="1:16" ht="14.4">
      <c r="A4" s="3264"/>
      <c r="B4" s="3265"/>
      <c r="C4" s="3266"/>
      <c r="D4" s="108" t="s">
        <v>204</v>
      </c>
      <c r="E4" s="109" t="s">
        <v>205</v>
      </c>
      <c r="F4" s="1984"/>
      <c r="G4" s="1201"/>
      <c r="H4" s="275" t="s">
        <v>859</v>
      </c>
      <c r="I4" s="1976">
        <f>ROUND(SUMIF('数据-基础表'!I9:AS9,"地上",'数据-基础表'!I5:AS5)/'数据-基础表'!A3,2)</f>
        <v>2.4</v>
      </c>
      <c r="J4" s="1984"/>
      <c r="K4" s="1984"/>
      <c r="L4" s="1984"/>
    </row>
    <row r="5" spans="1:16" ht="14.4">
      <c r="A5" s="110" t="s">
        <v>207</v>
      </c>
      <c r="B5" s="3267" t="s">
        <v>230</v>
      </c>
      <c r="C5" s="3267"/>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67" t="s">
        <v>208</v>
      </c>
      <c r="C6" s="3267"/>
      <c r="D6" s="111">
        <f>ROUND($D$3*E6/$E$3,2)</f>
        <v>13862</v>
      </c>
      <c r="E6" s="112">
        <f>E3-E5</f>
        <v>33268.799999999996</v>
      </c>
      <c r="F6" s="1984"/>
      <c r="G6" s="1201"/>
      <c r="H6" s="275" t="s">
        <v>859</v>
      </c>
      <c r="I6" s="1976">
        <f>ROUND(F31/D31,2)</f>
        <v>2.4</v>
      </c>
      <c r="J6" s="1984"/>
      <c r="K6" s="1984"/>
      <c r="L6" s="1984"/>
    </row>
    <row r="7" spans="1:16" ht="14.4">
      <c r="A7" s="3259"/>
      <c r="B7" s="3260"/>
      <c r="C7" s="3261"/>
      <c r="D7" s="108" t="s">
        <v>204</v>
      </c>
      <c r="E7" s="114" t="s">
        <v>231</v>
      </c>
      <c r="F7" s="1984"/>
      <c r="G7" s="1156" t="s">
        <v>1645</v>
      </c>
      <c r="H7" s="1157"/>
      <c r="I7" s="1846"/>
      <c r="J7" s="1984"/>
      <c r="K7" s="1984"/>
      <c r="L7" s="1984"/>
    </row>
    <row r="8" spans="1:16" ht="14.4">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13820.41</v>
      </c>
      <c r="E16" s="120">
        <f>SUM(E8:E15)</f>
        <v>33168.99</v>
      </c>
      <c r="F16" s="1984"/>
      <c r="G16" s="1986"/>
      <c r="H16" s="968" t="s">
        <v>219</v>
      </c>
      <c r="I16" s="969"/>
      <c r="J16" s="1984"/>
      <c r="K16" s="3253" t="s">
        <v>2563</v>
      </c>
      <c r="L16" s="3254"/>
      <c r="M16" s="3254"/>
      <c r="N16" s="3254"/>
      <c r="O16" s="3254"/>
      <c r="P16" s="3255"/>
    </row>
    <row r="17" spans="1:19" ht="14.4">
      <c r="A17" s="121" t="s">
        <v>216</v>
      </c>
      <c r="B17" s="122" t="s">
        <v>217</v>
      </c>
      <c r="C17" s="2298" t="s">
        <v>2313</v>
      </c>
      <c r="D17" s="108" t="s">
        <v>204</v>
      </c>
      <c r="E17" s="124" t="s">
        <v>205</v>
      </c>
      <c r="F17" s="125"/>
      <c r="G17" s="1366"/>
      <c r="H17" s="970" t="s">
        <v>218</v>
      </c>
      <c r="I17" s="971" t="s">
        <v>2312</v>
      </c>
      <c r="J17" s="1984"/>
      <c r="K17" s="3256" t="s">
        <v>2564</v>
      </c>
      <c r="L17" s="3257"/>
      <c r="M17" s="3258"/>
      <c r="N17" s="3256" t="s">
        <v>2565</v>
      </c>
      <c r="O17" s="3257"/>
      <c r="P17" s="3258"/>
      <c r="R17" s="2299" t="s">
        <v>2311</v>
      </c>
      <c r="S17" s="144"/>
    </row>
    <row r="18" spans="1:19" ht="14.4">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ht="14.4">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ht="14.4">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ht="14.4">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ht="14.4">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ht="14.4">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ht="14.4">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ht="14.4">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ht="14.4">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ht="14.4">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ht="14.4">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ht="14.4">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6.88671875" style="1203" customWidth="1"/>
    <col min="26" max="30" width="6.77734375" style="1203" hidden="1" customWidth="1"/>
    <col min="31" max="31" width="6.44140625" style="1203" hidden="1" customWidth="1"/>
    <col min="32" max="33" width="7.21875" style="1203" hidden="1" customWidth="1"/>
    <col min="34" max="34" width="7.21875" style="1203" customWidth="1"/>
    <col min="35" max="39" width="8" style="1203" customWidth="1"/>
    <col min="40" max="41" width="13.77734375" style="1998"/>
    <col min="42" max="42" width="0" style="1998" hidden="1" customWidth="1"/>
    <col min="43" max="83" width="13.77734375" style="1998"/>
    <col min="84" max="16384" width="13.77734375" style="1203"/>
  </cols>
  <sheetData>
    <row r="1" spans="1:83" ht="18"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180">
        <v>3000</v>
      </c>
      <c r="M6" s="177">
        <f t="shared" ref="M6:M14" si="0">ROUND(K6*L6/10000,0)</f>
        <v>9951</v>
      </c>
      <c r="N6" s="3002">
        <v>0</v>
      </c>
      <c r="O6" s="177">
        <f>IF($N$5="成新度","——",ROUND(M6*N6,0))</f>
        <v>0</v>
      </c>
      <c r="P6" s="178">
        <f>IF($N$5="成新度","——",M6-O6)</f>
        <v>9951</v>
      </c>
      <c r="Q6" s="3179">
        <v>0.1</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30</v>
      </c>
      <c r="U6" s="180">
        <v>2.6</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2314</v>
      </c>
      <c r="B14" s="2306" t="s">
        <v>1679</v>
      </c>
      <c r="C14" s="2307" t="s">
        <v>2314</v>
      </c>
      <c r="D14" s="2308"/>
      <c r="E14" s="2309"/>
      <c r="F14" s="174"/>
      <c r="G14" s="175"/>
      <c r="H14" s="2310"/>
      <c r="I14" s="2310"/>
      <c r="J14" s="2310"/>
      <c r="K14" s="179">
        <f>SUMIF('数据-汇总表'!C$19:C$33,'数据-取费表'!A14,'数据-汇总表'!E$19:E$33)</f>
        <v>99.81</v>
      </c>
      <c r="L14" s="3181">
        <v>3000</v>
      </c>
      <c r="M14" s="177">
        <f t="shared" si="0"/>
        <v>30</v>
      </c>
      <c r="N14" s="194">
        <v>0</v>
      </c>
      <c r="O14" s="177">
        <f t="shared" si="3"/>
        <v>0</v>
      </c>
      <c r="P14" s="178">
        <f t="shared" si="4"/>
        <v>30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3000</v>
      </c>
      <c r="M16" s="206">
        <f>SUM(M6:M14)</f>
        <v>9981</v>
      </c>
      <c r="N16" s="207">
        <f>ROUND(SUMPRODUCT(M6:M14,N6:N14)/M16,3)</f>
        <v>0</v>
      </c>
      <c r="O16" s="206">
        <f>SUM(O6:O14)</f>
        <v>0</v>
      </c>
      <c r="P16" s="206">
        <f>SUM(P6:P14)</f>
        <v>9981</v>
      </c>
      <c r="Q16" s="208">
        <f>ROUND(SUMPRODUCT(Q6:Q13,K6:K13)/SUMPRODUCT((Q6:Q13&gt;0)*(K6:K13)),2)</f>
        <v>0.1</v>
      </c>
      <c r="R16" s="2311">
        <f>SUM(R6:R13)</f>
        <v>13862</v>
      </c>
      <c r="S16" s="209">
        <f>SUM(S6:S13)</f>
        <v>99.81</v>
      </c>
      <c r="T16" s="210">
        <f>IF(SUMIF(T6:T13,"&lt;9E307")=M14,SUMIF(T6:T13,"&lt;9E307"),"有误，请检查")</f>
        <v>30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1.4999999999999999E-2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268" t="s">
        <v>1663</v>
      </c>
      <c r="B1" s="3269"/>
      <c r="C1" s="3269"/>
      <c r="D1" s="3269"/>
      <c r="E1" s="3269"/>
      <c r="F1" s="3269"/>
      <c r="G1" s="3269"/>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57.6">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3.2">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3.2">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7.6">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3.8"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8.8">
      <c r="A8" s="1229"/>
      <c r="B8" s="1231" t="s">
        <v>2544</v>
      </c>
      <c r="C8" s="3058" t="s">
        <v>2912</v>
      </c>
      <c r="D8" s="2010"/>
      <c r="E8" s="2010"/>
      <c r="F8" s="1554"/>
      <c r="G8" s="1554"/>
      <c r="H8" s="2008"/>
      <c r="I8" s="2008"/>
      <c r="J8" s="2008"/>
      <c r="K8" s="2008"/>
      <c r="L8" s="2008"/>
      <c r="M8" s="2008"/>
      <c r="N8" s="2008"/>
      <c r="O8" s="2008"/>
      <c r="P8" s="2008"/>
      <c r="Q8" s="2008"/>
      <c r="R8" s="2008"/>
    </row>
    <row r="9" spans="1:18" ht="43.2">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56"/>
      <c r="E12" s="2009"/>
      <c r="F12" s="2010"/>
      <c r="G12" s="2012"/>
      <c r="H12" s="2017"/>
      <c r="I12" s="2018"/>
      <c r="J12" s="2017"/>
      <c r="K12" s="2017"/>
      <c r="L12" s="2019"/>
      <c r="M12" s="2017"/>
      <c r="N12" s="2020"/>
      <c r="O12" s="2021"/>
      <c r="P12" s="2022"/>
      <c r="Q12" s="2020"/>
      <c r="R12" s="2006"/>
    </row>
    <row r="13" spans="1:18" ht="18" thickBot="1">
      <c r="A13" s="2555" t="s">
        <v>1672</v>
      </c>
      <c r="B13" s="2556"/>
      <c r="C13" s="2556"/>
      <c r="D13" s="1224"/>
      <c r="E13" s="2556"/>
      <c r="F13" s="2556"/>
      <c r="G13" s="2556"/>
    </row>
    <row r="14" spans="1:18" ht="15" thickBot="1">
      <c r="A14" s="1238"/>
      <c r="B14" s="1239"/>
      <c r="C14" s="1240" t="s">
        <v>1664</v>
      </c>
      <c r="D14" s="2009"/>
      <c r="E14" s="1241"/>
      <c r="F14" s="1241"/>
      <c r="G14" s="1223" t="s">
        <v>1665</v>
      </c>
    </row>
    <row r="15" spans="1:18" ht="57.6">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3.2">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3.2">
      <c r="A17" s="2567"/>
      <c r="B17" s="1245" t="s">
        <v>1669</v>
      </c>
      <c r="C17" s="1246" t="str">
        <f>C5</f>
        <v>估价对象位于XX商圈，周边办公楼项目较多，入驻率高，办公集聚程度较好</v>
      </c>
      <c r="D17" s="2010"/>
      <c r="E17" s="2564"/>
      <c r="F17" s="1247" t="s">
        <v>1674</v>
      </c>
      <c r="G17" s="2771"/>
    </row>
    <row r="18" spans="1:7" ht="57.6">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8.8">
      <c r="A19" s="2567"/>
      <c r="B19" s="1247" t="s">
        <v>1659</v>
      </c>
      <c r="C19" s="2771"/>
      <c r="D19" s="2009"/>
      <c r="E19" s="2564"/>
      <c r="F19" s="1231" t="s">
        <v>2543</v>
      </c>
      <c r="G19" s="1005" t="str">
        <f>G5</f>
        <v>估价对象所在区域公共配套设施齐备情况</v>
      </c>
    </row>
    <row r="20" spans="1:7" ht="43.2">
      <c r="A20" s="2567"/>
      <c r="B20" s="1247" t="s">
        <v>1660</v>
      </c>
      <c r="C20" s="1246" t="str">
        <f>C9</f>
        <v>区域自然环境：；人文环境；综合评价环境状况一般</v>
      </c>
      <c r="D20" s="2010"/>
      <c r="E20" s="2564"/>
      <c r="F20" s="1231" t="s">
        <v>2544</v>
      </c>
      <c r="G20" s="1005" t="str">
        <f>G6</f>
        <v>估价对象所在区域基础设施水平</v>
      </c>
    </row>
    <row r="21" spans="1:7" ht="28.8">
      <c r="A21" s="2567"/>
      <c r="B21" s="1231" t="s">
        <v>2543</v>
      </c>
      <c r="C21" s="1005" t="str">
        <f>C7</f>
        <v>估价对象所在区域公共配套设施齐备情况</v>
      </c>
      <c r="D21" s="2009"/>
      <c r="E21" s="2564"/>
      <c r="F21" s="1247" t="s">
        <v>1661</v>
      </c>
      <c r="G21" s="3062"/>
    </row>
    <row r="22" spans="1:7" ht="28.8">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20" t="s">
        <v>2840</v>
      </c>
      <c r="B1" s="3020">
        <f>SUM(B14:B23)</f>
        <v>33268.799999999996</v>
      </c>
      <c r="C1" s="3021"/>
      <c r="D1" s="3021"/>
      <c r="E1" s="3021"/>
      <c r="F1" s="3021"/>
    </row>
    <row r="2" spans="1:9" ht="15.6">
      <c r="A2" s="3020" t="s">
        <v>2841</v>
      </c>
      <c r="B2" s="3020">
        <f>SUM(C14:C23)</f>
        <v>13862</v>
      </c>
      <c r="C2" s="3021"/>
      <c r="D2" s="3021"/>
      <c r="E2" s="3021"/>
      <c r="F2" s="3021"/>
    </row>
    <row r="3" spans="1:9" ht="15.6">
      <c r="A3" s="3020" t="s">
        <v>2842</v>
      </c>
      <c r="B3" s="3022">
        <f>项目基本情况!D3</f>
        <v>43486</v>
      </c>
      <c r="C3" s="3021"/>
      <c r="D3" s="3021"/>
      <c r="E3" s="3021"/>
      <c r="F3" s="3021"/>
    </row>
    <row r="4" spans="1:9" ht="31.2">
      <c r="A4" s="3020" t="s">
        <v>2843</v>
      </c>
      <c r="B4" s="3020" t="s">
        <v>2844</v>
      </c>
      <c r="C4" s="3020" t="s">
        <v>2845</v>
      </c>
      <c r="D4" s="3020" t="s">
        <v>2846</v>
      </c>
      <c r="E4" s="3021"/>
      <c r="F4" s="3021"/>
    </row>
    <row r="5" spans="1:9" ht="15.6">
      <c r="A5" s="3020" t="s">
        <v>2847</v>
      </c>
      <c r="B5" s="3020">
        <f ca="1">SUM(D14:D23)</f>
        <v>24997</v>
      </c>
      <c r="C5" s="3020">
        <f ca="1">ROUND(B5*10000/$B$1,0)</f>
        <v>7514</v>
      </c>
      <c r="D5" s="3020">
        <f ca="1">ROUND(B5*10000/$B$2,0)</f>
        <v>18033</v>
      </c>
      <c r="E5" s="3021"/>
      <c r="F5" s="3021"/>
    </row>
    <row r="6" spans="1:9" ht="15.6">
      <c r="A6" s="3020" t="s">
        <v>2848</v>
      </c>
      <c r="B6" s="3020">
        <f>SUM(G14:G23)</f>
        <v>0</v>
      </c>
      <c r="C6" s="3020">
        <f t="shared" ref="C6:C8" si="0">ROUND(B6*10000/$B$1,0)</f>
        <v>0</v>
      </c>
      <c r="D6" s="3020">
        <f t="shared" ref="D6:D8" si="1">ROUND(B6*10000/$B$2,0)</f>
        <v>0</v>
      </c>
      <c r="E6" s="3021"/>
      <c r="F6" s="3021"/>
    </row>
    <row r="7" spans="1:9" ht="15.6">
      <c r="A7" s="3020" t="s">
        <v>2849</v>
      </c>
      <c r="B7" s="3020">
        <f>SUM(H14:H23)</f>
        <v>0</v>
      </c>
      <c r="C7" s="3020">
        <f t="shared" si="0"/>
        <v>0</v>
      </c>
      <c r="D7" s="3020">
        <f t="shared" si="1"/>
        <v>0</v>
      </c>
      <c r="E7" s="3021"/>
      <c r="F7" s="3021"/>
    </row>
    <row r="8" spans="1:9" ht="15.6">
      <c r="A8" s="3020" t="s">
        <v>2850</v>
      </c>
      <c r="B8" s="3020">
        <f>SUM(I14:I23)</f>
        <v>0</v>
      </c>
      <c r="C8" s="3020">
        <f t="shared" si="0"/>
        <v>0</v>
      </c>
      <c r="D8" s="3020">
        <f t="shared" si="1"/>
        <v>0</v>
      </c>
      <c r="E8" s="3021"/>
      <c r="F8" s="3021"/>
    </row>
    <row r="9" spans="1:9" ht="15.6">
      <c r="A9" s="3020" t="s">
        <v>2851</v>
      </c>
      <c r="B9" s="3023"/>
      <c r="C9" s="3021"/>
      <c r="D9" s="3021"/>
      <c r="E9" s="3021"/>
      <c r="F9" s="3021"/>
    </row>
    <row r="10" spans="1:9" ht="15.6">
      <c r="A10" s="3020" t="s">
        <v>2852</v>
      </c>
      <c r="B10" s="3023"/>
      <c r="C10" s="3021"/>
      <c r="D10" s="3021"/>
      <c r="E10" s="3021"/>
      <c r="F10" s="3021"/>
    </row>
    <row r="11" spans="1:9" ht="15.6">
      <c r="A11" s="3020" t="s">
        <v>2869</v>
      </c>
      <c r="B11" s="3023"/>
      <c r="C11" s="3021"/>
      <c r="D11" s="3021"/>
      <c r="E11" s="3021"/>
      <c r="F11" s="3021"/>
    </row>
    <row r="12" spans="1:9" ht="15.6">
      <c r="A12" s="3021"/>
      <c r="B12" s="3021"/>
      <c r="C12" s="3021"/>
      <c r="D12" s="3021"/>
      <c r="E12" s="3021"/>
      <c r="F12" s="3021"/>
    </row>
    <row r="13" spans="1:9" ht="31.2">
      <c r="A13" s="3026" t="s">
        <v>2868</v>
      </c>
      <c r="B13" s="3024" t="s">
        <v>2840</v>
      </c>
      <c r="C13" s="3024" t="s">
        <v>2841</v>
      </c>
      <c r="D13" s="3024" t="s">
        <v>2853</v>
      </c>
      <c r="E13" s="3020" t="s">
        <v>2867</v>
      </c>
      <c r="F13" s="3020" t="s">
        <v>2846</v>
      </c>
      <c r="G13" s="3024" t="s">
        <v>2854</v>
      </c>
      <c r="H13" s="3024" t="s">
        <v>2855</v>
      </c>
      <c r="I13" s="3024" t="s">
        <v>2856</v>
      </c>
    </row>
    <row r="14" spans="1:9" ht="15.6">
      <c r="A14" s="3027" t="s">
        <v>2866</v>
      </c>
      <c r="B14" s="3024">
        <f>结果表!L38</f>
        <v>33268.799999999996</v>
      </c>
      <c r="C14" s="3024">
        <f>结果表!K38</f>
        <v>13862</v>
      </c>
      <c r="D14" s="3024">
        <f ca="1">结果表!C42</f>
        <v>24997</v>
      </c>
      <c r="E14" s="3024">
        <f ca="1">ROUND(D14*10000/B14,0)</f>
        <v>7514</v>
      </c>
      <c r="F14" s="3024">
        <f ca="1">ROUND(D14*10000/C14,0)</f>
        <v>18033</v>
      </c>
      <c r="G14" s="3024" t="str">
        <f>结果表!C44</f>
        <v>——</v>
      </c>
      <c r="H14" s="3024" t="str">
        <f>结果表!C45</f>
        <v>——</v>
      </c>
      <c r="I14" s="3024" t="str">
        <f>结果表!C46</f>
        <v>——</v>
      </c>
    </row>
    <row r="15" spans="1:9" ht="15.6">
      <c r="A15" s="3027" t="s">
        <v>2857</v>
      </c>
      <c r="B15" s="3028"/>
      <c r="C15" s="3028"/>
      <c r="D15" s="3028"/>
      <c r="E15" s="3024" t="e">
        <f t="shared" ref="E15:E23" si="2">ROUND(D15*10000/B15,0)</f>
        <v>#DIV/0!</v>
      </c>
      <c r="F15" s="3024" t="e">
        <f t="shared" ref="F15:F23" si="3">ROUND(D15*10000/C15,0)</f>
        <v>#DIV/0!</v>
      </c>
      <c r="G15" s="3025"/>
      <c r="H15" s="3025"/>
      <c r="I15" s="3028"/>
    </row>
    <row r="16" spans="1:9" ht="15.6">
      <c r="A16" s="3027" t="s">
        <v>2858</v>
      </c>
      <c r="B16" s="3028"/>
      <c r="C16" s="3028"/>
      <c r="D16" s="3028"/>
      <c r="E16" s="3024" t="e">
        <f t="shared" si="2"/>
        <v>#DIV/0!</v>
      </c>
      <c r="F16" s="3024" t="e">
        <f t="shared" si="3"/>
        <v>#DIV/0!</v>
      </c>
      <c r="G16" s="3025"/>
      <c r="H16" s="3025"/>
      <c r="I16" s="3028"/>
    </row>
    <row r="17" spans="1:9" ht="15.6">
      <c r="A17" s="3027" t="s">
        <v>2859</v>
      </c>
      <c r="B17" s="3028"/>
      <c r="C17" s="3028"/>
      <c r="D17" s="3028"/>
      <c r="E17" s="3024" t="e">
        <f t="shared" si="2"/>
        <v>#DIV/0!</v>
      </c>
      <c r="F17" s="3024" t="e">
        <f t="shared" si="3"/>
        <v>#DIV/0!</v>
      </c>
      <c r="G17" s="3025"/>
      <c r="H17" s="3025"/>
      <c r="I17" s="3028"/>
    </row>
    <row r="18" spans="1:9" ht="15.6">
      <c r="A18" s="3027" t="s">
        <v>2860</v>
      </c>
      <c r="B18" s="3028"/>
      <c r="C18" s="3028"/>
      <c r="D18" s="3028"/>
      <c r="E18" s="3024" t="e">
        <f t="shared" si="2"/>
        <v>#DIV/0!</v>
      </c>
      <c r="F18" s="3024" t="e">
        <f t="shared" si="3"/>
        <v>#DIV/0!</v>
      </c>
      <c r="G18" s="3028"/>
      <c r="H18" s="3028"/>
      <c r="I18" s="3028"/>
    </row>
    <row r="19" spans="1:9" ht="15.6">
      <c r="A19" s="3027" t="s">
        <v>2861</v>
      </c>
      <c r="B19" s="3028"/>
      <c r="C19" s="3028"/>
      <c r="D19" s="3028"/>
      <c r="E19" s="3024" t="e">
        <f t="shared" si="2"/>
        <v>#DIV/0!</v>
      </c>
      <c r="F19" s="3024" t="e">
        <f t="shared" si="3"/>
        <v>#DIV/0!</v>
      </c>
      <c r="G19" s="3028"/>
      <c r="H19" s="3028"/>
      <c r="I19" s="3028"/>
    </row>
    <row r="20" spans="1:9" ht="15.6">
      <c r="A20" s="3027" t="s">
        <v>2862</v>
      </c>
      <c r="B20" s="3028"/>
      <c r="C20" s="3028"/>
      <c r="D20" s="3028"/>
      <c r="E20" s="3024" t="e">
        <f t="shared" si="2"/>
        <v>#DIV/0!</v>
      </c>
      <c r="F20" s="3024" t="e">
        <f t="shared" si="3"/>
        <v>#DIV/0!</v>
      </c>
      <c r="G20" s="3028"/>
      <c r="H20" s="3028"/>
      <c r="I20" s="3028"/>
    </row>
    <row r="21" spans="1:9" ht="15.6">
      <c r="A21" s="3027" t="s">
        <v>2863</v>
      </c>
      <c r="B21" s="3028"/>
      <c r="C21" s="3028"/>
      <c r="D21" s="3028"/>
      <c r="E21" s="3024" t="e">
        <f t="shared" si="2"/>
        <v>#DIV/0!</v>
      </c>
      <c r="F21" s="3024" t="e">
        <f t="shared" si="3"/>
        <v>#DIV/0!</v>
      </c>
      <c r="G21" s="3028"/>
      <c r="H21" s="3028"/>
      <c r="I21" s="3028"/>
    </row>
    <row r="22" spans="1:9" ht="15.6">
      <c r="A22" s="3027" t="s">
        <v>2864</v>
      </c>
      <c r="B22" s="3028"/>
      <c r="C22" s="3028"/>
      <c r="D22" s="3028"/>
      <c r="E22" s="3024" t="e">
        <f t="shared" si="2"/>
        <v>#DIV/0!</v>
      </c>
      <c r="F22" s="3024" t="e">
        <f t="shared" si="3"/>
        <v>#DIV/0!</v>
      </c>
      <c r="G22" s="3028"/>
      <c r="H22" s="3028"/>
      <c r="I22" s="3028"/>
    </row>
    <row r="23" spans="1:9" ht="15.6">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06" t="str">
        <f>项目基本情况!K2</f>
        <v>出让国有建设用地使用权</v>
      </c>
      <c r="B2" s="3307"/>
      <c r="C2" s="3308"/>
      <c r="D2" s="3308"/>
      <c r="E2" s="3308"/>
      <c r="F2" s="3308"/>
      <c r="G2" s="3307"/>
      <c r="H2" s="3307"/>
      <c r="I2" s="3309"/>
      <c r="J2" s="2030"/>
      <c r="K2" s="2029"/>
      <c r="L2" s="2029"/>
      <c r="M2" s="2029"/>
      <c r="N2" s="2029"/>
      <c r="O2" s="2029"/>
      <c r="P2" s="2029"/>
      <c r="Q2" s="2029"/>
      <c r="R2" s="2029"/>
      <c r="S2" s="2029"/>
      <c r="T2" s="2029"/>
      <c r="U2" s="2029"/>
      <c r="V2" s="2029"/>
    </row>
    <row r="3" spans="1:22" ht="13.8">
      <c r="A3" s="3299" t="s">
        <v>298</v>
      </c>
      <c r="B3" s="3300"/>
      <c r="C3" s="3300"/>
      <c r="D3" s="3300"/>
      <c r="E3" s="3300"/>
      <c r="F3" s="3300"/>
      <c r="G3" s="3300"/>
      <c r="H3" s="3300"/>
      <c r="I3" s="3300"/>
      <c r="J3" s="2030"/>
      <c r="K3" s="2029"/>
      <c r="L3" s="2029"/>
      <c r="M3" s="2029"/>
      <c r="N3" s="2029"/>
      <c r="O3" s="2029"/>
      <c r="P3" s="2029"/>
      <c r="Q3" s="2029"/>
      <c r="R3" s="2029"/>
      <c r="S3" s="2029"/>
      <c r="T3" s="2029"/>
      <c r="U3" s="2029"/>
      <c r="V3" s="2029"/>
    </row>
    <row r="4" spans="1:22" ht="14.4">
      <c r="A4" s="258" t="s">
        <v>299</v>
      </c>
      <c r="B4" s="259" t="s">
        <v>300</v>
      </c>
      <c r="C4" s="260" t="s">
        <v>2996</v>
      </c>
      <c r="D4" s="260" t="s">
        <v>2997</v>
      </c>
      <c r="E4" s="3271" t="s">
        <v>301</v>
      </c>
      <c r="F4" s="3272"/>
      <c r="G4" s="3272"/>
      <c r="H4" s="3272"/>
      <c r="I4" s="330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3.8">
      <c r="A5" s="3270" t="s">
        <v>302</v>
      </c>
      <c r="B5" s="3296">
        <v>25</v>
      </c>
      <c r="C5" s="3294"/>
      <c r="D5" s="3298"/>
      <c r="E5" s="261" t="s">
        <v>303</v>
      </c>
      <c r="F5" s="262"/>
      <c r="G5" s="262"/>
      <c r="H5" s="262"/>
      <c r="I5" s="263"/>
      <c r="J5" s="2030"/>
      <c r="K5" s="2029"/>
      <c r="L5" s="2029"/>
      <c r="M5" s="2029"/>
      <c r="N5" s="2029"/>
      <c r="O5" s="2029"/>
      <c r="P5" s="2029"/>
      <c r="Q5" s="2029"/>
      <c r="R5" s="2029"/>
      <c r="S5" s="2029"/>
      <c r="T5" s="2029"/>
      <c r="U5" s="2029"/>
      <c r="V5" s="2029"/>
    </row>
    <row r="6" spans="1:22" ht="13.8">
      <c r="A6" s="3270"/>
      <c r="B6" s="3296"/>
      <c r="C6" s="3297"/>
      <c r="D6" s="3298"/>
      <c r="E6" s="261" t="s">
        <v>304</v>
      </c>
      <c r="F6" s="262"/>
      <c r="G6" s="262"/>
      <c r="H6" s="262"/>
      <c r="I6" s="263"/>
      <c r="J6" s="2030"/>
      <c r="K6" s="2029"/>
      <c r="L6" s="2029"/>
      <c r="M6" s="2029"/>
      <c r="N6" s="2029"/>
      <c r="O6" s="2029"/>
      <c r="P6" s="2029"/>
      <c r="Q6" s="2029"/>
      <c r="R6" s="2029"/>
      <c r="S6" s="2029"/>
      <c r="T6" s="2029"/>
      <c r="U6" s="2029"/>
      <c r="V6" s="2029"/>
    </row>
    <row r="7" spans="1:22" ht="13.8">
      <c r="A7" s="3270"/>
      <c r="B7" s="3296"/>
      <c r="C7" s="3295"/>
      <c r="D7" s="3298"/>
      <c r="E7" s="261" t="s">
        <v>305</v>
      </c>
      <c r="F7" s="262"/>
      <c r="G7" s="262"/>
      <c r="H7" s="262"/>
      <c r="I7" s="263"/>
      <c r="J7" s="2030"/>
      <c r="K7" s="2029"/>
      <c r="L7" s="2029"/>
      <c r="M7" s="2029"/>
      <c r="N7" s="2029"/>
      <c r="O7" s="2029"/>
      <c r="P7" s="2029"/>
      <c r="Q7" s="2029"/>
      <c r="R7" s="2029"/>
      <c r="S7" s="2029"/>
      <c r="T7" s="2029"/>
      <c r="U7" s="2029"/>
      <c r="V7" s="2029"/>
    </row>
    <row r="8" spans="1:22" ht="13.8">
      <c r="A8" s="3270" t="s">
        <v>306</v>
      </c>
      <c r="B8" s="3296">
        <v>15</v>
      </c>
      <c r="C8" s="3294"/>
      <c r="D8" s="3298"/>
      <c r="E8" s="261" t="s">
        <v>307</v>
      </c>
      <c r="F8" s="262"/>
      <c r="G8" s="262"/>
      <c r="H8" s="262"/>
      <c r="I8" s="263"/>
      <c r="J8" s="2030"/>
      <c r="K8" s="2029"/>
      <c r="L8" s="2029"/>
      <c r="M8" s="2029"/>
      <c r="N8" s="2029"/>
      <c r="O8" s="2029"/>
      <c r="P8" s="2029"/>
      <c r="Q8" s="2029"/>
      <c r="R8" s="2029"/>
      <c r="S8" s="2029"/>
      <c r="T8" s="2029"/>
      <c r="U8" s="2029"/>
      <c r="V8" s="2029"/>
    </row>
    <row r="9" spans="1:22" ht="13.8">
      <c r="A9" s="3270"/>
      <c r="B9" s="3296"/>
      <c r="C9" s="3295"/>
      <c r="D9" s="3298"/>
      <c r="E9" s="261" t="s">
        <v>308</v>
      </c>
      <c r="F9" s="262"/>
      <c r="G9" s="262"/>
      <c r="H9" s="262"/>
      <c r="I9" s="263"/>
      <c r="J9" s="2030"/>
      <c r="K9" s="2029"/>
      <c r="L9" s="2029"/>
      <c r="M9" s="2029"/>
      <c r="N9" s="2029"/>
      <c r="O9" s="2029"/>
      <c r="P9" s="2029"/>
      <c r="Q9" s="2029"/>
      <c r="R9" s="2029"/>
      <c r="S9" s="2029"/>
      <c r="T9" s="2029"/>
      <c r="U9" s="2029"/>
      <c r="V9" s="2029"/>
    </row>
    <row r="10" spans="1:22" ht="13.8">
      <c r="A10" s="3270" t="s">
        <v>309</v>
      </c>
      <c r="B10" s="3296">
        <v>15</v>
      </c>
      <c r="C10" s="3294"/>
      <c r="D10" s="3298"/>
      <c r="E10" s="261" t="s">
        <v>310</v>
      </c>
      <c r="F10" s="262"/>
      <c r="G10" s="262"/>
      <c r="H10" s="262"/>
      <c r="I10" s="263"/>
      <c r="J10" s="2030"/>
      <c r="K10" s="2029"/>
      <c r="L10" s="2029"/>
      <c r="M10" s="2029"/>
      <c r="N10" s="2029"/>
      <c r="O10" s="2029"/>
      <c r="P10" s="2029"/>
      <c r="Q10" s="2029"/>
      <c r="R10" s="2029"/>
      <c r="S10" s="2029"/>
      <c r="T10" s="2029"/>
      <c r="U10" s="2029"/>
      <c r="V10" s="2029"/>
    </row>
    <row r="11" spans="1:22" ht="13.8">
      <c r="A11" s="3270"/>
      <c r="B11" s="3296"/>
      <c r="C11" s="3295"/>
      <c r="D11" s="3298"/>
      <c r="E11" s="261" t="s">
        <v>311</v>
      </c>
      <c r="F11" s="262"/>
      <c r="G11" s="262"/>
      <c r="H11" s="262"/>
      <c r="I11" s="263"/>
      <c r="J11" s="2030"/>
      <c r="K11" s="2029"/>
      <c r="L11" s="2029"/>
      <c r="M11" s="2029"/>
      <c r="N11" s="2029"/>
      <c r="O11" s="2029"/>
      <c r="P11" s="2029"/>
      <c r="Q11" s="2029"/>
      <c r="R11" s="2029"/>
      <c r="S11" s="2029"/>
      <c r="T11" s="2029"/>
      <c r="U11" s="2029"/>
      <c r="V11" s="2029"/>
    </row>
    <row r="12" spans="1:22" ht="13.8">
      <c r="A12" s="3270" t="s">
        <v>312</v>
      </c>
      <c r="B12" s="3296">
        <v>15</v>
      </c>
      <c r="C12" s="3294"/>
      <c r="D12" s="3298"/>
      <c r="E12" s="261" t="s">
        <v>313</v>
      </c>
      <c r="F12" s="262"/>
      <c r="G12" s="262"/>
      <c r="H12" s="262"/>
      <c r="I12" s="263"/>
      <c r="J12" s="2030"/>
      <c r="K12" s="2029"/>
      <c r="L12" s="2029"/>
      <c r="M12" s="2029"/>
      <c r="N12" s="2029"/>
      <c r="O12" s="2029"/>
      <c r="P12" s="2029"/>
      <c r="Q12" s="2029"/>
      <c r="R12" s="2029"/>
      <c r="S12" s="2029"/>
      <c r="T12" s="2029"/>
      <c r="U12" s="2029"/>
      <c r="V12" s="2029"/>
    </row>
    <row r="13" spans="1:22" ht="13.8">
      <c r="A13" s="3270"/>
      <c r="B13" s="3296"/>
      <c r="C13" s="3295"/>
      <c r="D13" s="3298"/>
      <c r="E13" s="261" t="s">
        <v>314</v>
      </c>
      <c r="F13" s="262"/>
      <c r="G13" s="262"/>
      <c r="H13" s="262"/>
      <c r="I13" s="263"/>
      <c r="J13" s="2030"/>
      <c r="K13" s="2029"/>
      <c r="L13" s="2029"/>
      <c r="M13" s="2029"/>
      <c r="N13" s="2029"/>
      <c r="O13" s="2029"/>
      <c r="P13" s="2029"/>
      <c r="Q13" s="2029"/>
      <c r="R13" s="2029"/>
      <c r="S13" s="2029"/>
      <c r="T13" s="2029"/>
      <c r="U13" s="2029"/>
      <c r="V13" s="2029"/>
    </row>
    <row r="14" spans="1:22" ht="13.8">
      <c r="A14" s="3270" t="s">
        <v>315</v>
      </c>
      <c r="B14" s="3296">
        <v>30</v>
      </c>
      <c r="C14" s="3294">
        <v>0</v>
      </c>
      <c r="D14" s="3298">
        <v>10</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270"/>
      <c r="B15" s="3296"/>
      <c r="C15" s="3297"/>
      <c r="D15" s="3298"/>
      <c r="E15" s="261" t="s">
        <v>317</v>
      </c>
      <c r="F15" s="262"/>
      <c r="G15" s="262"/>
      <c r="H15" s="262"/>
      <c r="I15" s="263"/>
      <c r="J15" s="2030"/>
      <c r="K15" s="2029"/>
      <c r="L15" s="2029"/>
      <c r="M15" s="2029"/>
      <c r="N15" s="2029"/>
      <c r="O15" s="2029"/>
      <c r="P15" s="2029"/>
      <c r="Q15" s="2029"/>
      <c r="R15" s="2029"/>
      <c r="S15" s="2029"/>
      <c r="T15" s="2029"/>
      <c r="U15" s="2029"/>
      <c r="V15" s="2029"/>
    </row>
    <row r="16" spans="1:22" ht="13.8">
      <c r="A16" s="3270"/>
      <c r="B16" s="3296"/>
      <c r="C16" s="3295"/>
      <c r="D16" s="3298"/>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11112</v>
      </c>
      <c r="D19" s="271">
        <f ca="1">SUMIF(INDIRECT("'"&amp;D4&amp;"'"&amp;"!A:A"),结果表!B19,INDIRECT("'"&amp;D4&amp;"'"&amp;"!B:B"))</f>
        <v>24997</v>
      </c>
      <c r="E19" s="268" t="s">
        <v>323</v>
      </c>
      <c r="F19" s="269" t="s">
        <v>322</v>
      </c>
      <c r="G19" s="272">
        <f ca="1">ROUND(C19*$C$18+D19*$D$18,0)</f>
        <v>24997</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3340</v>
      </c>
      <c r="D20" s="277">
        <f ca="1">SUMIF(INDIRECT("'"&amp;D4&amp;"'"&amp;"!A:A"),结果表!B20,INDIRECT("'"&amp;D4&amp;"'"&amp;"!B:B"))</f>
        <v>7514</v>
      </c>
      <c r="E20" s="274"/>
      <c r="F20" s="275" t="s">
        <v>325</v>
      </c>
      <c r="G20" s="278">
        <f ca="1">ROUND(C20*$C$18+D20*$D$18,0)</f>
        <v>7514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18033</v>
      </c>
      <c r="E21" s="274"/>
      <c r="F21" s="280" t="s">
        <v>327</v>
      </c>
      <c r="G21" s="282">
        <f ca="1">ROUND(C21*$C$18+D21*$D$18,0)</f>
        <v>18033</v>
      </c>
      <c r="H21" s="1251" t="s">
        <v>326</v>
      </c>
      <c r="I21" s="311"/>
      <c r="J21" s="2029"/>
      <c r="K21" s="2029"/>
      <c r="L21" s="2029"/>
      <c r="M21" s="2029"/>
      <c r="N21" s="2029"/>
      <c r="O21" s="2029"/>
      <c r="P21" s="2029"/>
      <c r="Q21" s="2029"/>
      <c r="R21" s="2029"/>
      <c r="S21" s="2029"/>
      <c r="T21" s="2029"/>
      <c r="U21" s="2029"/>
      <c r="V21" s="2029"/>
    </row>
    <row r="22" spans="1:26" ht="15" thickBot="1">
      <c r="A22" s="126" t="s">
        <v>328</v>
      </c>
      <c r="B22" s="1252"/>
      <c r="C22" s="1253"/>
      <c r="D22" s="283">
        <f ca="1">IF(C19&lt;D19,D19/C19-1,C19/D19-1)</f>
        <v>1.2495500359971201</v>
      </c>
      <c r="E22" s="284"/>
      <c r="F22" s="285"/>
      <c r="G22" s="286">
        <f ca="1">ROUND(G19/('数据-汇总表'!D3/666.67),0)</f>
        <v>1202</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277"/>
      <c r="B25" s="1321" t="s">
        <v>331</v>
      </c>
      <c r="C25" s="290">
        <f>IF(B30=0,0,C30)</f>
        <v>0</v>
      </c>
      <c r="D25" s="291"/>
      <c r="E25" s="311"/>
      <c r="F25" s="311"/>
      <c r="G25" s="311"/>
      <c r="H25" s="311"/>
      <c r="I25" s="311"/>
      <c r="J25" s="2029"/>
      <c r="K25" s="1255" t="str">
        <f ca="1">项目基本情况!B16&amp;"国有建设用地使用权价格："&amp;O38&amp;"万元"</f>
        <v>出让国有建设用地使用权价格：24997万元</v>
      </c>
      <c r="L25" s="1256"/>
      <c r="M25" s="1256"/>
      <c r="N25" s="1256"/>
      <c r="O25" s="1257"/>
      <c r="P25" s="2029"/>
      <c r="Q25" s="2029"/>
      <c r="R25" s="2029"/>
      <c r="S25" s="2029"/>
      <c r="T25" s="2029"/>
      <c r="U25" s="2029"/>
      <c r="V25" s="2029"/>
    </row>
    <row r="26" spans="1:26" s="1254" customFormat="1" ht="17.399999999999999">
      <c r="A26" s="293" t="s">
        <v>332</v>
      </c>
      <c r="B26" s="294" t="s">
        <v>333</v>
      </c>
      <c r="C26" s="294" t="s">
        <v>334</v>
      </c>
      <c r="D26" s="295" t="s">
        <v>335</v>
      </c>
      <c r="E26" s="311"/>
      <c r="F26" s="311"/>
      <c r="G26" s="311"/>
      <c r="H26" s="311"/>
      <c r="I26" s="311"/>
      <c r="J26" s="2029"/>
      <c r="K26" s="1258" t="str">
        <f ca="1">"大写金额：人民币"&amp;NUMBERSTRING(INT(O38*10000),2)&amp;"元整"</f>
        <v>大写金额：人民币贰亿肆仟玖佰玖拾柒万元整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单位面积地价：18033元/平方米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楼面地价：7514元/平方米</v>
      </c>
      <c r="L28" s="1252"/>
      <c r="M28" s="1252"/>
      <c r="N28" s="1252"/>
      <c r="O28" s="1251"/>
      <c r="P28" s="2029"/>
      <c r="V28" s="2029"/>
    </row>
    <row r="29" spans="1:26" ht="17.399999999999999">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 thickBot="1">
      <c r="A32" s="268" t="s">
        <v>337</v>
      </c>
      <c r="B32" s="1382" t="s">
        <v>1688</v>
      </c>
      <c r="C32" s="1383">
        <f ca="1">G19-C24</f>
        <v>24997</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 thickBot="1">
      <c r="A33" s="298" t="s">
        <v>340</v>
      </c>
      <c r="B33" s="1385" t="s">
        <v>1690</v>
      </c>
      <c r="C33" s="264">
        <f ca="1">ROUND(C32*10000/'数据-汇总表'!E3,0)</f>
        <v>7514</v>
      </c>
      <c r="D33" s="1386" t="s">
        <v>1691</v>
      </c>
      <c r="E33" s="3276"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 thickBot="1">
      <c r="A34" s="300"/>
      <c r="B34" s="1387" t="s">
        <v>1692</v>
      </c>
      <c r="C34" s="264">
        <f ca="1">ROUND(C32*10000/'数据-汇总表'!D3,0)</f>
        <v>18033</v>
      </c>
      <c r="D34" s="1388" t="s">
        <v>1691</v>
      </c>
      <c r="E34" s="3317"/>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 thickBot="1">
      <c r="A35" s="284"/>
      <c r="B35" s="1389"/>
      <c r="C35" s="1390">
        <f ca="1">ROUND(C32/('数据-汇总表'!D3/666.67),0)</f>
        <v>1202</v>
      </c>
      <c r="D35" s="1391" t="s">
        <v>1693</v>
      </c>
      <c r="E35" s="3318"/>
      <c r="F35" s="301" t="s">
        <v>342</v>
      </c>
      <c r="G35" s="982"/>
      <c r="H35" s="981" t="s">
        <v>343</v>
      </c>
      <c r="I35" s="311"/>
      <c r="J35" s="2029"/>
      <c r="K35" s="3291" t="s">
        <v>350</v>
      </c>
      <c r="L35" s="3291" t="s">
        <v>351</v>
      </c>
      <c r="M35" s="1264" t="s">
        <v>352</v>
      </c>
      <c r="N35" s="3291" t="s">
        <v>353</v>
      </c>
      <c r="O35" s="3291" t="s">
        <v>354</v>
      </c>
      <c r="P35" s="2029"/>
      <c r="V35" s="2029"/>
    </row>
    <row r="36" spans="1:26" ht="16.5" customHeight="1">
      <c r="A36" s="303" t="s">
        <v>344</v>
      </c>
      <c r="B36" s="304" t="s">
        <v>333</v>
      </c>
      <c r="C36" s="305" t="s">
        <v>345</v>
      </c>
      <c r="D36" s="305" t="s">
        <v>346</v>
      </c>
      <c r="E36" s="306" t="s">
        <v>347</v>
      </c>
      <c r="F36" s="311"/>
      <c r="G36" s="311"/>
      <c r="H36" s="311"/>
      <c r="I36" s="311"/>
      <c r="J36" s="2031"/>
      <c r="K36" s="3292"/>
      <c r="L36" s="3292"/>
      <c r="M36" s="1266" t="s">
        <v>355</v>
      </c>
      <c r="N36" s="3292"/>
      <c r="O36" s="3292"/>
      <c r="P36" s="2029"/>
      <c r="V36" s="2029"/>
    </row>
    <row r="37" spans="1:26" ht="16.5" customHeight="1" thickBot="1">
      <c r="A37" s="1260" t="s">
        <v>348</v>
      </c>
      <c r="B37" s="307"/>
      <c r="C37" s="294"/>
      <c r="D37" s="294"/>
      <c r="E37" s="295"/>
      <c r="F37" s="311"/>
      <c r="G37" s="311"/>
      <c r="H37" s="311"/>
      <c r="I37" s="311"/>
      <c r="J37" s="2031"/>
      <c r="K37" s="3293"/>
      <c r="L37" s="3293"/>
      <c r="M37" s="1267"/>
      <c r="N37" s="3293"/>
      <c r="O37" s="3293"/>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18033</v>
      </c>
      <c r="N38" s="1269">
        <f ca="1">C33</f>
        <v>7514</v>
      </c>
      <c r="O38" s="1270">
        <f ca="1">C32</f>
        <v>24997</v>
      </c>
      <c r="P38" s="2029"/>
      <c r="V38" s="2029"/>
    </row>
    <row r="39" spans="1:26" ht="16.5" customHeight="1" thickBot="1">
      <c r="A39" s="1265"/>
      <c r="B39" s="308"/>
      <c r="C39" s="309"/>
      <c r="D39" s="309"/>
      <c r="E39" s="310"/>
      <c r="F39" s="311"/>
      <c r="G39" s="311"/>
      <c r="H39" s="311"/>
      <c r="I39" s="311"/>
      <c r="J39" s="2031"/>
      <c r="K39" s="3336" t="str">
        <f>MID(A44,3,LEN(A44)-2)</f>
        <v/>
      </c>
      <c r="L39" s="3337"/>
      <c r="M39" s="3337"/>
      <c r="N39" s="3338"/>
      <c r="O39" s="1393" t="str">
        <f>C44</f>
        <v>——</v>
      </c>
      <c r="P39" s="2029"/>
      <c r="V39" s="2029"/>
    </row>
    <row r="40" spans="1:26" ht="18" thickBot="1">
      <c r="A40" s="104" t="s">
        <v>872</v>
      </c>
      <c r="B40" s="311"/>
      <c r="C40" s="311"/>
      <c r="D40" s="311"/>
      <c r="E40" s="311"/>
      <c r="F40" s="311"/>
      <c r="G40" s="311"/>
      <c r="H40" s="311"/>
      <c r="I40" s="311"/>
      <c r="J40" s="2031"/>
      <c r="K40" s="3336" t="str">
        <f t="shared" ref="K40:K41" si="0">MID(A45,3,LEN(A45)-2)</f>
        <v/>
      </c>
      <c r="L40" s="3337"/>
      <c r="M40" s="3337"/>
      <c r="N40" s="3338"/>
      <c r="O40" s="1393" t="str">
        <f>C45</f>
        <v>——</v>
      </c>
      <c r="P40" s="2029"/>
      <c r="V40" s="2029"/>
    </row>
    <row r="41" spans="1:26" ht="16.2" thickBot="1">
      <c r="A41" s="312" t="s">
        <v>356</v>
      </c>
      <c r="B41" s="313"/>
      <c r="C41" s="314" t="s">
        <v>357</v>
      </c>
      <c r="D41" s="315" t="s">
        <v>358</v>
      </c>
      <c r="E41" s="315" t="s">
        <v>359</v>
      </c>
      <c r="F41" s="316" t="s">
        <v>360</v>
      </c>
      <c r="G41" s="311"/>
      <c r="H41" s="311"/>
      <c r="I41" s="311"/>
      <c r="J41" s="2031"/>
      <c r="K41" s="3336" t="str">
        <f t="shared" si="0"/>
        <v/>
      </c>
      <c r="L41" s="3337"/>
      <c r="M41" s="3337"/>
      <c r="N41" s="3338"/>
      <c r="O41" s="1393" t="str">
        <f>C46</f>
        <v>——</v>
      </c>
      <c r="P41" s="2029"/>
      <c r="V41" s="2029"/>
    </row>
    <row r="42" spans="1:26" ht="31.2">
      <c r="A42" s="3278" t="s">
        <v>2067</v>
      </c>
      <c r="B42" s="3279"/>
      <c r="C42" s="264">
        <f ca="1">C32</f>
        <v>24997</v>
      </c>
      <c r="D42" s="317">
        <f ca="1">C33</f>
        <v>7514</v>
      </c>
      <c r="E42" s="317">
        <f ca="1">C34</f>
        <v>18033</v>
      </c>
      <c r="F42" s="318">
        <f ca="1">C35</f>
        <v>1202</v>
      </c>
      <c r="G42" s="311"/>
      <c r="H42" s="311"/>
      <c r="I42" s="319"/>
      <c r="J42" s="2031"/>
      <c r="K42" s="1271" t="s">
        <v>361</v>
      </c>
      <c r="L42" s="2048" t="s">
        <v>362</v>
      </c>
      <c r="M42" s="1272" t="s">
        <v>363</v>
      </c>
      <c r="N42" s="2049" t="s">
        <v>364</v>
      </c>
      <c r="O42" s="2050" t="s">
        <v>365</v>
      </c>
      <c r="P42" s="2029"/>
      <c r="V42" s="2029"/>
    </row>
    <row r="43" spans="1:26" ht="30">
      <c r="A43" s="3289" t="s">
        <v>2727</v>
      </c>
      <c r="B43" s="3290"/>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24997</v>
      </c>
      <c r="O43" s="1277">
        <f ca="1">IF(O42="最终结果/万元",C32,C33)</f>
        <v>24997</v>
      </c>
      <c r="P43" s="2029"/>
      <c r="V43" s="2029"/>
    </row>
    <row r="44" spans="1:26" ht="30.6" thickBot="1">
      <c r="A44" s="3278" t="str">
        <f>IF(OR(项目基本情况!E8="抵押价格",项目基本情况!E8="已注销及未注销"),"3.抵押价格","——")</f>
        <v>——</v>
      </c>
      <c r="B44" s="3279"/>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24997</v>
      </c>
      <c r="M44" s="1280">
        <f>D18</f>
        <v>1</v>
      </c>
      <c r="N44" s="1281"/>
      <c r="O44" s="1282"/>
      <c r="P44" s="2029"/>
      <c r="V44" s="2029"/>
    </row>
    <row r="45" spans="1:26" ht="13.8">
      <c r="A45" s="3284" t="str">
        <f>IF(项目基本情况!E8="已注销及未注销","4.抵押担保权已注销时的抵押价格",IF(项目基本情况!E8="已注销","3.抵押担保权已注销时的抵押价格","——"))</f>
        <v>——</v>
      </c>
      <c r="B45" s="32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5" t="s">
        <v>374</v>
      </c>
      <c r="B63" s="3326"/>
      <c r="C63" s="3327"/>
      <c r="D63" s="341">
        <f ca="1">ROUND(C42*F63,0)</f>
        <v>14998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6" t="s">
        <v>378</v>
      </c>
      <c r="B64" s="3287"/>
      <c r="C64" s="3287"/>
      <c r="D64" s="3287"/>
      <c r="E64" s="3287"/>
      <c r="F64" s="3287"/>
      <c r="G64" s="328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6.4">
      <c r="A66" s="3282" t="s">
        <v>386</v>
      </c>
      <c r="B66" s="3283"/>
      <c r="C66" s="3283"/>
      <c r="D66" s="261">
        <f ca="1">IF(H66="情况1",0,IF(H66="情况2",D70,IF(H66="情况3",D71,IF(H66="情况4",D72))))</f>
        <v>786</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0" t="s">
        <v>385</v>
      </c>
      <c r="M66" s="3341"/>
      <c r="N66" s="2437"/>
      <c r="O66" s="2438"/>
      <c r="P66" s="2439"/>
      <c r="Q66" s="2029"/>
      <c r="R66" s="2029"/>
      <c r="S66" s="2029"/>
      <c r="T66" s="2029"/>
      <c r="U66" s="2029"/>
      <c r="V66" s="2029"/>
    </row>
    <row r="67" spans="1:22" ht="25.5" customHeight="1">
      <c r="A67" s="352" t="s">
        <v>390</v>
      </c>
      <c r="B67" s="3273" t="s">
        <v>391</v>
      </c>
      <c r="C67" s="3273"/>
      <c r="D67" s="353">
        <v>0</v>
      </c>
      <c r="E67" s="41" t="s">
        <v>392</v>
      </c>
      <c r="F67" s="62" t="s">
        <v>21</v>
      </c>
      <c r="G67" s="3328"/>
      <c r="H67" s="311"/>
      <c r="I67" s="1292"/>
      <c r="J67" s="2036"/>
      <c r="K67" s="1977">
        <v>2</v>
      </c>
      <c r="L67" s="3339" t="s">
        <v>389</v>
      </c>
      <c r="M67" s="3339"/>
      <c r="N67" s="1325">
        <f>'数据-取费表'!B2</f>
        <v>43486</v>
      </c>
      <c r="O67" s="1325"/>
      <c r="P67" s="1325"/>
      <c r="Q67" s="2029"/>
      <c r="R67" s="2029"/>
      <c r="S67" s="2029"/>
      <c r="T67" s="2029"/>
      <c r="U67" s="2029"/>
      <c r="V67" s="2029"/>
    </row>
    <row r="68" spans="1:22" ht="25.5" customHeight="1">
      <c r="A68" s="354"/>
      <c r="B68" s="3273" t="s">
        <v>394</v>
      </c>
      <c r="C68" s="3273"/>
      <c r="D68" s="355"/>
      <c r="E68" s="77"/>
      <c r="F68" s="356"/>
      <c r="G68" s="3329"/>
      <c r="H68" s="311"/>
      <c r="I68" s="1292"/>
      <c r="J68" s="2036"/>
      <c r="K68" s="1977">
        <v>3</v>
      </c>
      <c r="L68" s="3339" t="s">
        <v>393</v>
      </c>
      <c r="M68" s="3339"/>
      <c r="N68" s="1293">
        <f ca="1">C42</f>
        <v>24997</v>
      </c>
      <c r="O68" s="1293"/>
      <c r="P68" s="1293"/>
      <c r="Q68" s="2029"/>
      <c r="R68" s="2029"/>
      <c r="S68" s="2029"/>
      <c r="T68" s="2029"/>
      <c r="U68" s="2029"/>
      <c r="V68" s="2029"/>
    </row>
    <row r="69" spans="1:22" ht="12" customHeight="1">
      <c r="A69" s="357"/>
      <c r="B69" s="3273" t="s">
        <v>395</v>
      </c>
      <c r="C69" s="3273"/>
      <c r="D69" s="358"/>
      <c r="E69" s="73"/>
      <c r="F69" s="356"/>
      <c r="G69" s="3330"/>
      <c r="H69" s="311"/>
      <c r="I69" s="1292"/>
      <c r="J69" s="2036"/>
      <c r="K69" s="1294">
        <v>4</v>
      </c>
      <c r="L69" s="3344" t="s">
        <v>2879</v>
      </c>
      <c r="M69" s="3345"/>
      <c r="N69" s="1295" t="str">
        <f>C44</f>
        <v>——</v>
      </c>
      <c r="O69" s="1295"/>
      <c r="P69" s="1295"/>
      <c r="Q69" s="2029"/>
      <c r="R69" s="2029"/>
      <c r="S69" s="2029"/>
      <c r="T69" s="2029"/>
      <c r="U69" s="2029"/>
      <c r="V69" s="2029"/>
    </row>
    <row r="70" spans="1:22" ht="24" customHeight="1">
      <c r="A70" s="359" t="s">
        <v>396</v>
      </c>
      <c r="B70" s="3273" t="s">
        <v>397</v>
      </c>
      <c r="C70" s="3273"/>
      <c r="D70" s="358">
        <f ca="1">ROUND(D63*'数据-取费表'!B41/(1+'数据-取费表'!C42),0)</f>
        <v>786</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274" t="s">
        <v>405</v>
      </c>
      <c r="C71" s="3275"/>
      <c r="D71" s="358">
        <f ca="1">ROUND(D63*'数据-取费表'!B41/(1+'数据-取费表'!C42),0)</f>
        <v>786</v>
      </c>
      <c r="E71" s="17" t="s">
        <v>398</v>
      </c>
      <c r="F71" s="360">
        <f>'数据-取费表'!B41</f>
        <v>5.5000000000000007E-2</v>
      </c>
      <c r="G71" s="361"/>
      <c r="H71" s="311"/>
      <c r="I71" s="1292"/>
      <c r="J71" s="2036"/>
      <c r="K71" s="3036" t="s">
        <v>399</v>
      </c>
      <c r="L71" s="3346" t="s">
        <v>400</v>
      </c>
      <c r="M71" s="3346"/>
      <c r="N71" s="3036" t="s">
        <v>401</v>
      </c>
      <c r="O71" s="3036" t="s">
        <v>402</v>
      </c>
      <c r="P71" s="3036" t="s">
        <v>403</v>
      </c>
      <c r="Q71" s="2029"/>
      <c r="R71" s="2029"/>
      <c r="S71" s="2029"/>
      <c r="T71" s="2029"/>
      <c r="U71" s="2029"/>
      <c r="V71" s="2029"/>
    </row>
    <row r="72" spans="1:22" ht="12" customHeight="1">
      <c r="A72" s="359" t="s">
        <v>407</v>
      </c>
      <c r="B72" s="3274" t="s">
        <v>408</v>
      </c>
      <c r="C72" s="3275"/>
      <c r="D72" s="358">
        <f ca="1">C86</f>
        <v>676</v>
      </c>
      <c r="E72" s="73" t="s">
        <v>409</v>
      </c>
      <c r="F72" s="360">
        <f>'数据-取费表'!B41</f>
        <v>5.5000000000000007E-2</v>
      </c>
      <c r="G72" s="361"/>
      <c r="H72" s="1298"/>
      <c r="I72" s="1292"/>
      <c r="J72" s="2036"/>
      <c r="K72" s="1977">
        <v>1</v>
      </c>
      <c r="L72" s="3321" t="s">
        <v>406</v>
      </c>
      <c r="M72" s="3321"/>
      <c r="N72" s="1296">
        <f ca="1">D66</f>
        <v>786</v>
      </c>
      <c r="O72" s="1860" t="str">
        <f>E66</f>
        <v>销售额×税（费）率</v>
      </c>
      <c r="P72" s="1297">
        <f>F66</f>
        <v>5.5000000000000007E-2</v>
      </c>
      <c r="Q72" s="2029"/>
      <c r="R72" s="2029"/>
      <c r="S72" s="2029"/>
      <c r="T72" s="2029"/>
      <c r="U72" s="2029"/>
      <c r="V72" s="2029"/>
    </row>
    <row r="73" spans="1:22" ht="24" customHeight="1">
      <c r="A73" s="3315" t="s">
        <v>411</v>
      </c>
      <c r="B73" s="3283"/>
      <c r="C73" s="3283"/>
      <c r="D73" s="362">
        <f>IF(H73="个人住宅",0,ROUND(D63*I73,0))</f>
        <v>0</v>
      </c>
      <c r="E73" s="17" t="s">
        <v>412</v>
      </c>
      <c r="F73" s="360" t="str">
        <f>IF(H73="正常",I73,"免征")</f>
        <v>免征</v>
      </c>
      <c r="G73" s="361"/>
      <c r="H73" s="191" t="s">
        <v>2452</v>
      </c>
      <c r="I73" s="360">
        <f>'数据-取费表'!B49</f>
        <v>5.0000000000000001E-4</v>
      </c>
      <c r="J73" s="2036"/>
      <c r="K73" s="1977">
        <v>2</v>
      </c>
      <c r="L73" s="3321" t="s">
        <v>410</v>
      </c>
      <c r="M73" s="3321"/>
      <c r="N73" s="1296">
        <f t="shared" ref="N73:P74" si="1">D73</f>
        <v>0</v>
      </c>
      <c r="O73" s="1860" t="str">
        <f t="shared" si="1"/>
        <v>销售额×税（费）率</v>
      </c>
      <c r="P73" s="1297" t="str">
        <f t="shared" si="1"/>
        <v>免征</v>
      </c>
      <c r="Q73" s="2029"/>
      <c r="R73" s="2029"/>
      <c r="S73" s="2029"/>
      <c r="T73" s="2029"/>
      <c r="U73" s="2029"/>
      <c r="V73" s="2029"/>
    </row>
    <row r="74" spans="1:22" ht="25.2">
      <c r="A74" s="3315" t="s">
        <v>415</v>
      </c>
      <c r="B74" s="3283"/>
      <c r="C74" s="3283"/>
      <c r="D74" s="362">
        <f ca="1">IF(H74="个人住宅",D75,D76)</f>
        <v>7847</v>
      </c>
      <c r="E74" s="17" t="s">
        <v>416</v>
      </c>
      <c r="F74" s="360" t="str">
        <f>IF(H74="正常",F76,"免征")</f>
        <v>——</v>
      </c>
      <c r="G74" s="983" t="s">
        <v>417</v>
      </c>
      <c r="H74" s="363" t="s">
        <v>413</v>
      </c>
      <c r="I74" s="42"/>
      <c r="J74" s="2036"/>
      <c r="K74" s="1977">
        <v>3</v>
      </c>
      <c r="L74" s="3321" t="s">
        <v>414</v>
      </c>
      <c r="M74" s="3321"/>
      <c r="N74" s="1296">
        <f t="shared" ca="1" si="1"/>
        <v>7847</v>
      </c>
      <c r="O74" s="1860" t="str">
        <f t="shared" si="1"/>
        <v>增值额×税（费）率</v>
      </c>
      <c r="P74" s="1299" t="str">
        <f t="shared" si="1"/>
        <v>——</v>
      </c>
      <c r="Q74" s="2029"/>
      <c r="R74" s="2029"/>
      <c r="S74" s="2029"/>
      <c r="T74" s="2029"/>
      <c r="U74" s="2029"/>
      <c r="V74" s="2029"/>
    </row>
    <row r="75" spans="1:22" ht="24">
      <c r="A75" s="359" t="s">
        <v>418</v>
      </c>
      <c r="B75" s="3271" t="s">
        <v>419</v>
      </c>
      <c r="C75" s="3301"/>
      <c r="D75" s="364">
        <v>0</v>
      </c>
      <c r="E75" s="41" t="s">
        <v>420</v>
      </c>
      <c r="F75" s="365"/>
      <c r="G75" s="361"/>
      <c r="H75" s="42"/>
      <c r="I75" s="42"/>
      <c r="J75" s="2036"/>
      <c r="K75" s="3029">
        <f>IF(H77="非个人房产","",4)</f>
        <v>4</v>
      </c>
      <c r="L75" s="3321" t="str">
        <f>IF(H77="非个人房产","——","个人所得税")</f>
        <v>个人所得税</v>
      </c>
      <c r="M75" s="3321"/>
      <c r="N75" s="1300">
        <f ca="1">D77</f>
        <v>150</v>
      </c>
      <c r="O75" s="1873" t="str">
        <f>E77</f>
        <v>销售额×税（费）率</v>
      </c>
      <c r="P75" s="1301">
        <f>F77</f>
        <v>0.01</v>
      </c>
      <c r="Q75" s="2029"/>
      <c r="R75" s="2029"/>
      <c r="S75" s="2029"/>
      <c r="T75" s="2029"/>
      <c r="U75" s="2029"/>
      <c r="V75" s="2029"/>
    </row>
    <row r="76" spans="1:22" ht="25.2">
      <c r="A76" s="359" t="s">
        <v>396</v>
      </c>
      <c r="B76" s="3271" t="s">
        <v>422</v>
      </c>
      <c r="C76" s="3272"/>
      <c r="D76" s="362">
        <f ca="1">IF(H76="转让取得",C99,C115)</f>
        <v>7847</v>
      </c>
      <c r="E76" s="17" t="s">
        <v>423</v>
      </c>
      <c r="F76" s="53" t="s">
        <v>21</v>
      </c>
      <c r="G76" s="361"/>
      <c r="H76" s="363" t="s">
        <v>424</v>
      </c>
      <c r="I76" s="42"/>
      <c r="J76" s="2036"/>
      <c r="K76" s="3029"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29"/>
      <c r="R76" s="2029"/>
      <c r="S76" s="2029"/>
      <c r="T76" s="2029"/>
      <c r="U76" s="2029"/>
      <c r="V76" s="2029"/>
    </row>
    <row r="77" spans="1:22" ht="27" thickBot="1">
      <c r="A77" s="3323" t="s">
        <v>426</v>
      </c>
      <c r="B77" s="3324"/>
      <c r="C77" s="3324"/>
      <c r="D77" s="366">
        <f ca="1">IF(H77="非个人房产","——",IF(H77="个人住宅",0,ROUND(D63*I77,0)))</f>
        <v>150</v>
      </c>
      <c r="E77" s="367" t="str">
        <f>IF(H77="非个人房产","——","销售额×税（费）率")</f>
        <v>销售额×税（费）率</v>
      </c>
      <c r="F77" s="368">
        <f>IF(H77="非个人房产","——",IF(H77="个人住宅","免征",I77))</f>
        <v>0.01</v>
      </c>
      <c r="G77" s="984" t="s">
        <v>417</v>
      </c>
      <c r="H77" s="363" t="s">
        <v>2880</v>
      </c>
      <c r="I77" s="369">
        <v>0.01</v>
      </c>
      <c r="J77" s="2036"/>
      <c r="K77" s="3322">
        <f>IF(AND(K75="",K76=""),4,IF(项目基本情况!K6="上海银行",K76+1,K75+1))</f>
        <v>5</v>
      </c>
      <c r="L77" s="3321" t="s">
        <v>2881</v>
      </c>
      <c r="M77" s="3035" t="s">
        <v>421</v>
      </c>
      <c r="N77" s="1302"/>
      <c r="O77" s="1303">
        <f ca="1">SUMIF(N72:N76,"&lt;9e307")</f>
        <v>8783</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322"/>
      <c r="L78" s="3321"/>
      <c r="M78" s="3035" t="s">
        <v>425</v>
      </c>
      <c r="N78" s="1302"/>
      <c r="O78" s="1303" t="str">
        <f ca="1">NUMBERSTRING(INT(O77*10000),2)&amp;"元整"</f>
        <v>捌仟柒佰捌拾叁万元整</v>
      </c>
      <c r="P78" s="1304"/>
      <c r="Q78" s="2029"/>
      <c r="R78" s="2029"/>
      <c r="S78" s="2029"/>
      <c r="T78" s="2029"/>
      <c r="U78" s="2029"/>
      <c r="V78" s="2029"/>
    </row>
    <row r="79" spans="1:22" ht="13.8" thickBot="1">
      <c r="A79" s="3316" t="s">
        <v>427</v>
      </c>
      <c r="B79" s="3316"/>
      <c r="C79" s="3316"/>
      <c r="D79" s="3316"/>
      <c r="E79" s="3316"/>
      <c r="F79" s="42"/>
      <c r="G79" s="42"/>
      <c r="H79" s="1003"/>
      <c r="I79" s="311"/>
      <c r="J79" s="2036"/>
      <c r="K79" s="3342">
        <f>K77+1</f>
        <v>6</v>
      </c>
      <c r="L79" s="3321" t="s">
        <v>2882</v>
      </c>
      <c r="M79" s="3035" t="s">
        <v>421</v>
      </c>
      <c r="N79" s="1302"/>
      <c r="O79" s="1303" t="e">
        <f ca="1">N69-O77</f>
        <v>#VALUE!</v>
      </c>
      <c r="P79" s="1304"/>
      <c r="Q79" s="2029"/>
      <c r="R79" s="2029"/>
      <c r="S79" s="2029"/>
      <c r="T79" s="2029"/>
      <c r="U79" s="2029"/>
      <c r="V79" s="2029"/>
    </row>
    <row r="80" spans="1:22" ht="13.2">
      <c r="A80" s="3311" t="s">
        <v>428</v>
      </c>
      <c r="B80" s="3312"/>
      <c r="C80" s="994"/>
      <c r="D80" s="994" t="s">
        <v>429</v>
      </c>
      <c r="E80" s="370" t="s">
        <v>430</v>
      </c>
      <c r="F80" s="42"/>
      <c r="G80" s="42"/>
      <c r="H80" s="1003"/>
      <c r="I80" s="311"/>
      <c r="J80" s="2029"/>
      <c r="K80" s="3343"/>
      <c r="L80" s="3321"/>
      <c r="M80" s="3035" t="s">
        <v>425</v>
      </c>
      <c r="N80" s="1302"/>
      <c r="O80" s="1303" t="e">
        <f ca="1">NUMBERSTRING(INT(O79*10000),2)&amp;"元整"</f>
        <v>#VALUE!</v>
      </c>
      <c r="P80" s="1304"/>
      <c r="Q80" s="2029"/>
      <c r="R80" s="2029"/>
      <c r="S80" s="2029"/>
      <c r="T80" s="2029"/>
      <c r="U80" s="2029"/>
      <c r="V80" s="2029"/>
    </row>
    <row r="81" spans="1:26" ht="13.8" thickBot="1">
      <c r="A81" s="381" t="s">
        <v>1823</v>
      </c>
      <c r="B81" s="371" t="s">
        <v>431</v>
      </c>
      <c r="C81" s="372">
        <f ca="1">ROUND((C82+C83)/(1+'数据-取费表'!C42),0)</f>
        <v>14284</v>
      </c>
      <c r="D81" s="373"/>
      <c r="E81" s="374"/>
      <c r="F81" s="42"/>
      <c r="G81" s="42"/>
      <c r="H81" s="1003"/>
      <c r="I81" s="311"/>
      <c r="J81" s="2029"/>
      <c r="K81" s="3029">
        <f>K79+1</f>
        <v>7</v>
      </c>
      <c r="L81" s="3319" t="s">
        <v>2883</v>
      </c>
      <c r="M81" s="3320"/>
      <c r="N81" s="1306"/>
      <c r="O81" s="1307" t="e">
        <f ca="1">ROUND(O79*10000/'数据-汇总表'!E3,0)</f>
        <v>#VALUE!</v>
      </c>
      <c r="P81" s="1308"/>
      <c r="Q81" s="2029"/>
      <c r="R81" s="2029"/>
      <c r="S81" s="2029"/>
      <c r="T81" s="2029"/>
      <c r="U81" s="2029"/>
      <c r="V81" s="2029"/>
    </row>
    <row r="82" spans="1:26" ht="13.8" thickTop="1">
      <c r="A82" s="375" t="s">
        <v>1824</v>
      </c>
      <c r="B82" s="376" t="s">
        <v>432</v>
      </c>
      <c r="C82" s="377">
        <f ca="1">D63</f>
        <v>14998</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433</v>
      </c>
      <c r="C83" s="380">
        <v>0</v>
      </c>
      <c r="D83" s="378"/>
      <c r="E83" s="379"/>
      <c r="F83" s="42"/>
      <c r="G83" s="42"/>
      <c r="H83" s="1003"/>
      <c r="I83" s="311"/>
      <c r="J83" s="2029"/>
      <c r="K83" s="3331"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25.2">
      <c r="A84" s="381" t="s">
        <v>1826</v>
      </c>
      <c r="B84" s="382" t="s">
        <v>434</v>
      </c>
      <c r="C84" s="383">
        <v>2000</v>
      </c>
      <c r="D84" s="384" t="s">
        <v>19</v>
      </c>
      <c r="E84" s="3076" t="s">
        <v>2939</v>
      </c>
      <c r="F84" s="42"/>
      <c r="G84" s="42"/>
      <c r="H84" s="1003"/>
      <c r="I84" s="311"/>
      <c r="J84" s="2029"/>
      <c r="K84" s="3331"/>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3.2">
      <c r="A85" s="381" t="s">
        <v>1827</v>
      </c>
      <c r="B85" s="382" t="s">
        <v>435</v>
      </c>
      <c r="C85" s="385">
        <f ca="1">C81-C84</f>
        <v>12284</v>
      </c>
      <c r="D85" s="378" t="s">
        <v>19</v>
      </c>
      <c r="E85" s="379"/>
      <c r="F85" s="42"/>
      <c r="G85" s="42"/>
      <c r="H85" s="1003"/>
      <c r="I85" s="311"/>
      <c r="J85" s="2029"/>
      <c r="K85" s="3331"/>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8" thickBot="1">
      <c r="A86" s="386" t="s">
        <v>1828</v>
      </c>
      <c r="B86" s="387" t="s">
        <v>436</v>
      </c>
      <c r="C86" s="388">
        <f ca="1">IF(C85&lt;=0,0,ROUND(C85*D86,0))</f>
        <v>676</v>
      </c>
      <c r="D86" s="389">
        <f>'数据-取费表'!B41</f>
        <v>5.5000000000000007E-2</v>
      </c>
      <c r="E86" s="390"/>
      <c r="F86" s="42"/>
      <c r="G86" s="42"/>
      <c r="H86" s="1003"/>
      <c r="I86" s="311"/>
      <c r="J86" s="2029"/>
      <c r="K86" s="3331"/>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1"/>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4.4" thickBot="1">
      <c r="A88" s="3313" t="s">
        <v>437</v>
      </c>
      <c r="B88" s="3314"/>
      <c r="C88" s="3314"/>
      <c r="D88" s="3314"/>
      <c r="E88" s="3314"/>
      <c r="F88" s="3314"/>
      <c r="G88" s="3314"/>
      <c r="H88" s="3314"/>
      <c r="I88" s="1315"/>
      <c r="J88" s="2037"/>
      <c r="K88" s="3331"/>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3.8">
      <c r="A89" s="3311" t="s">
        <v>428</v>
      </c>
      <c r="B89" s="3312"/>
      <c r="C89" s="994"/>
      <c r="D89" s="994" t="s">
        <v>429</v>
      </c>
      <c r="E89" s="391" t="s">
        <v>438</v>
      </c>
      <c r="F89" s="392"/>
      <c r="G89" s="392"/>
      <c r="H89" s="393"/>
      <c r="I89" s="1316"/>
      <c r="J89" s="2039"/>
      <c r="K89" s="3331"/>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3.8">
      <c r="A90" s="381" t="s">
        <v>1823</v>
      </c>
      <c r="B90" s="382" t="s">
        <v>439</v>
      </c>
      <c r="C90" s="385">
        <f ca="1">ROUND(D63/(1+'数据-取费表'!C42),0)</f>
        <v>14284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440</v>
      </c>
      <c r="C91" s="385">
        <f ca="1">C92+C96</f>
        <v>2632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274" t="s">
        <v>447</v>
      </c>
      <c r="F94" s="3273"/>
      <c r="G94" s="3273"/>
      <c r="H94" s="331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71</v>
      </c>
      <c r="D96" s="406">
        <f>'数据-取费表'!B43</f>
        <v>5.000000000000001E-3</v>
      </c>
      <c r="E96" s="3302" t="s">
        <v>2425</v>
      </c>
      <c r="F96" s="3303"/>
      <c r="G96" s="3303"/>
      <c r="H96" s="330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8" t="s">
        <v>1835</v>
      </c>
      <c r="B97" s="382" t="s">
        <v>451</v>
      </c>
      <c r="C97" s="385">
        <f ca="1">C90-C91</f>
        <v>11652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4.4270516717325226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9" t="s">
        <v>1837</v>
      </c>
      <c r="B99" s="387" t="s">
        <v>453</v>
      </c>
      <c r="C99" s="408">
        <f ca="1">ROUND(IF(C97&lt;=0,0,IF(C98&gt;=200%,C97*60%-C91*35%,IF(C98&gt;=100%,C97*50%-C91*15%,IF(C98&gt;=50%,C97*40%-C91*5%,IF(C98&lt;50%,C97*30%,0))))),0)</f>
        <v>6070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313" t="s">
        <v>454</v>
      </c>
      <c r="B101" s="3314"/>
      <c r="C101" s="3314"/>
      <c r="D101" s="3314"/>
      <c r="E101" s="3314"/>
      <c r="F101" s="3314"/>
      <c r="G101" s="3314"/>
      <c r="H101" s="331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311" t="s">
        <v>428</v>
      </c>
      <c r="B102" s="331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439</v>
      </c>
      <c r="C103" s="385">
        <f ca="1">ROUND(D63/(1+'数据-取费表'!C42),0)</f>
        <v>14284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440</v>
      </c>
      <c r="C104" s="385">
        <f ca="1">IF(H106="仅含出让金",C105+C108+C109+C110+C111+C112,C105+C109+C110+C111+C112)</f>
        <v>761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05" t="s">
        <v>462</v>
      </c>
      <c r="F109" s="3303"/>
      <c r="G109" s="3303"/>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05" t="s">
        <v>464</v>
      </c>
      <c r="F110" s="3303"/>
      <c r="G110" s="3303"/>
      <c r="H110" s="330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71</v>
      </c>
      <c r="D111" s="406">
        <f>'数据-取费表'!B43</f>
        <v>5.000000000000001E-3</v>
      </c>
      <c r="E111" s="3302" t="s">
        <v>2425</v>
      </c>
      <c r="F111" s="3303"/>
      <c r="G111" s="3303"/>
      <c r="H111" s="330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05" t="s">
        <v>2450</v>
      </c>
      <c r="F112" s="3303"/>
      <c r="G112" s="3303"/>
      <c r="H112" s="330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8" t="s">
        <v>1835</v>
      </c>
      <c r="B113" s="382" t="s">
        <v>451</v>
      </c>
      <c r="C113" s="385">
        <f ca="1">ROUND(C103-C104,0)</f>
        <v>13523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17.770039421813404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9" t="s">
        <v>1837</v>
      </c>
      <c r="B115" s="387" t="s">
        <v>453</v>
      </c>
      <c r="C115" s="408">
        <f ca="1">ROUND(IF(C113&lt;=0,0,IF(C114&gt;=200%,C113*60%-C104*35%,IF(C114&gt;=100%,C113*50%-C104*15%,IF(C114&gt;=50%,C113*40%-C104*5%,IF(C114&lt;50%,C113*30%,0))))),0)</f>
        <v>7847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3" sqref="K1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1">
      <c r="A6" s="512" t="s">
        <v>521</v>
      </c>
      <c r="B6" s="513"/>
      <c r="C6" s="3356" t="s">
        <v>522</v>
      </c>
      <c r="D6" s="3357"/>
      <c r="E6" s="3356" t="s">
        <v>523</v>
      </c>
      <c r="F6" s="3357"/>
      <c r="G6" s="3356" t="s">
        <v>524</v>
      </c>
      <c r="H6" s="3357"/>
      <c r="I6" s="3356" t="s">
        <v>525</v>
      </c>
      <c r="J6" s="3357"/>
      <c r="K6" s="514" t="s">
        <v>526</v>
      </c>
      <c r="L6" s="2134"/>
      <c r="M6" s="2133"/>
      <c r="N6" s="2133"/>
      <c r="O6" s="2135"/>
      <c r="P6" s="3358" t="s">
        <v>527</v>
      </c>
      <c r="Q6" s="3359"/>
      <c r="R6" s="3364" t="s">
        <v>523</v>
      </c>
      <c r="S6" s="3365"/>
      <c r="T6" s="3364" t="s">
        <v>524</v>
      </c>
      <c r="U6" s="3365"/>
      <c r="V6" s="3351" t="s">
        <v>525</v>
      </c>
      <c r="W6" s="3351"/>
      <c r="X6" s="1568"/>
      <c r="Y6" s="3364" t="s">
        <v>527</v>
      </c>
      <c r="Z6" s="3365"/>
      <c r="AA6" s="3353" t="s">
        <v>523</v>
      </c>
      <c r="AB6" s="3354" t="s">
        <v>524</v>
      </c>
      <c r="AC6" s="3353" t="s">
        <v>525</v>
      </c>
    </row>
    <row r="7" spans="1:30" ht="21">
      <c r="A7" s="515"/>
      <c r="B7" s="516"/>
      <c r="C7" s="3372" t="s">
        <v>2926</v>
      </c>
      <c r="D7" s="3373"/>
      <c r="E7" s="3372" t="str">
        <f>Sheet1!A4</f>
        <v>武康街道春晖街北侧、康民路东侧</v>
      </c>
      <c r="F7" s="3373"/>
      <c r="G7" s="3372" t="str">
        <f>Sheet1!A5</f>
        <v>武康街道志远北路东侧、厚德街北侧</v>
      </c>
      <c r="H7" s="3373"/>
      <c r="I7" s="3372" t="str">
        <f>Sheet1!A6</f>
        <v>武康街道春晖街北侧、康民路东侧</v>
      </c>
      <c r="J7" s="3373"/>
      <c r="K7" s="514"/>
      <c r="L7" s="2134"/>
      <c r="M7" s="2133"/>
      <c r="N7" s="2133"/>
      <c r="O7" s="2135"/>
      <c r="P7" s="3360"/>
      <c r="Q7" s="3361"/>
      <c r="R7" s="3366"/>
      <c r="S7" s="3367"/>
      <c r="T7" s="3366"/>
      <c r="U7" s="3367"/>
      <c r="V7" s="3351"/>
      <c r="W7" s="3351"/>
      <c r="X7" s="1568"/>
      <c r="Y7" s="3366"/>
      <c r="Z7" s="3367"/>
      <c r="AA7" s="3354"/>
      <c r="AB7" s="3354"/>
      <c r="AC7" s="3354"/>
    </row>
    <row r="8" spans="1:30" ht="21.6" thickBot="1">
      <c r="A8" s="515"/>
      <c r="B8" s="516"/>
      <c r="C8" s="3374" t="s">
        <v>2930</v>
      </c>
      <c r="D8" s="3375"/>
      <c r="E8" s="3374" t="s">
        <v>2930</v>
      </c>
      <c r="F8" s="3375"/>
      <c r="G8" s="3370" t="s">
        <v>2930</v>
      </c>
      <c r="H8" s="3371"/>
      <c r="I8" s="3370" t="s">
        <v>2930</v>
      </c>
      <c r="J8" s="3371"/>
      <c r="K8" s="514" t="s">
        <v>528</v>
      </c>
      <c r="L8" s="2134"/>
      <c r="M8" s="2133"/>
      <c r="N8" s="2133"/>
      <c r="O8" s="2135"/>
      <c r="P8" s="3362"/>
      <c r="Q8" s="3363"/>
      <c r="R8" s="3366"/>
      <c r="S8" s="3367"/>
      <c r="T8" s="3368"/>
      <c r="U8" s="3369"/>
      <c r="V8" s="3351"/>
      <c r="W8" s="3351"/>
      <c r="X8" s="1568"/>
      <c r="Y8" s="3368"/>
      <c r="Z8" s="3369"/>
      <c r="AA8" s="3355"/>
      <c r="AB8" s="3355"/>
      <c r="AC8" s="3355"/>
    </row>
    <row r="9" spans="1:30" s="1220" customFormat="1" ht="21.6"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81" t="s">
        <v>530</v>
      </c>
      <c r="Q9" s="3383"/>
      <c r="R9" s="1569" t="s">
        <v>8</v>
      </c>
      <c r="S9" s="1570">
        <f t="shared" ref="S9:S17" si="0">F9</f>
        <v>96</v>
      </c>
      <c r="T9" s="1569" t="s">
        <v>8</v>
      </c>
      <c r="U9" s="1570">
        <f t="shared" ref="U9:U17" si="1">H9</f>
        <v>96</v>
      </c>
      <c r="V9" s="1569" t="s">
        <v>8</v>
      </c>
      <c r="W9" s="1570">
        <f t="shared" ref="W9:W17" si="2">J9</f>
        <v>99</v>
      </c>
      <c r="X9" s="1571"/>
      <c r="Y9" s="3381" t="s">
        <v>530</v>
      </c>
      <c r="Z9" s="3382"/>
      <c r="AA9" s="1572">
        <f>D9/F9</f>
        <v>1.0416666666666667</v>
      </c>
      <c r="AB9" s="1572">
        <f>D9/H9</f>
        <v>1.0416666666666667</v>
      </c>
      <c r="AC9" s="1572">
        <f>D9/J9</f>
        <v>1.0101010101010102</v>
      </c>
    </row>
    <row r="10" spans="1:30" s="1220" customFormat="1" ht="21.6"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1">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30" s="1338" customFormat="1" ht="28.8">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50"/>
      <c r="Q12" s="1151" t="str">
        <f t="shared" si="6"/>
        <v>土地使用年限（年）</v>
      </c>
      <c r="R12" s="1569" t="s">
        <v>8</v>
      </c>
      <c r="S12" s="1570">
        <f t="shared" si="0"/>
        <v>104</v>
      </c>
      <c r="T12" s="1569" t="s">
        <v>8</v>
      </c>
      <c r="U12" s="1570">
        <f t="shared" si="1"/>
        <v>104</v>
      </c>
      <c r="V12" s="1569" t="s">
        <v>8</v>
      </c>
      <c r="W12" s="1570">
        <f t="shared" si="2"/>
        <v>104</v>
      </c>
      <c r="X12" s="1571"/>
      <c r="Y12" s="3296"/>
      <c r="Z12" s="1150" t="str">
        <f t="shared" si="7"/>
        <v>土地使用年限（年）</v>
      </c>
      <c r="AA12" s="1572">
        <f t="shared" si="3"/>
        <v>0.96153846153846156</v>
      </c>
      <c r="AB12" s="1572">
        <f t="shared" si="4"/>
        <v>0.96153846153846156</v>
      </c>
      <c r="AC12" s="1572">
        <f t="shared" si="5"/>
        <v>0.96153846153846156</v>
      </c>
    </row>
    <row r="13" spans="1:30" ht="21">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50"/>
      <c r="Q13" s="1151" t="str">
        <f t="shared" si="6"/>
        <v>容积率</v>
      </c>
      <c r="R13" s="1569" t="s">
        <v>8</v>
      </c>
      <c r="S13" s="1570">
        <f t="shared" si="0"/>
        <v>106</v>
      </c>
      <c r="T13" s="1569" t="s">
        <v>8</v>
      </c>
      <c r="U13" s="1570">
        <f t="shared" si="1"/>
        <v>103</v>
      </c>
      <c r="V13" s="1569" t="s">
        <v>8</v>
      </c>
      <c r="W13" s="1570">
        <f t="shared" si="2"/>
        <v>106</v>
      </c>
      <c r="X13" s="1571"/>
      <c r="Y13" s="3296"/>
      <c r="Z13" s="1150" t="str">
        <f t="shared" si="7"/>
        <v>容积率</v>
      </c>
      <c r="AA13" s="1572">
        <f t="shared" si="3"/>
        <v>0.94339622641509435</v>
      </c>
      <c r="AB13" s="1572">
        <f t="shared" si="4"/>
        <v>0.970873786407767</v>
      </c>
      <c r="AC13" s="1572">
        <f t="shared" si="5"/>
        <v>0.94339622641509435</v>
      </c>
    </row>
    <row r="14" spans="1:30" s="1220" customFormat="1" ht="21">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6"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96.6">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1">
      <c r="A18" s="532"/>
      <c r="B18" s="553"/>
      <c r="C18" s="554"/>
      <c r="D18" s="557"/>
      <c r="E18" s="558"/>
      <c r="F18" s="555"/>
      <c r="G18" s="556"/>
      <c r="H18" s="559"/>
      <c r="I18" s="558"/>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1">
      <c r="A20" s="532"/>
      <c r="B20" s="566"/>
      <c r="C20" s="567"/>
      <c r="D20" s="563"/>
      <c r="E20" s="569"/>
      <c r="F20" s="559"/>
      <c r="G20" s="568"/>
      <c r="H20" s="555"/>
      <c r="I20" s="569"/>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1">
      <c r="A22" s="532"/>
      <c r="B22" s="566"/>
      <c r="C22" s="554"/>
      <c r="D22" s="557"/>
      <c r="E22" s="558"/>
      <c r="F22" s="555"/>
      <c r="G22" s="556"/>
      <c r="H22" s="555"/>
      <c r="I22" s="558"/>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1">
      <c r="A24" s="532"/>
      <c r="B24" s="578"/>
      <c r="C24" s="554"/>
      <c r="D24" s="557"/>
      <c r="E24" s="558"/>
      <c r="F24" s="555"/>
      <c r="G24" s="556"/>
      <c r="H24" s="555"/>
      <c r="I24" s="558"/>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1">
      <c r="A26" s="515"/>
      <c r="B26" s="1007"/>
      <c r="C26" s="554"/>
      <c r="D26" s="557"/>
      <c r="E26" s="558"/>
      <c r="F26" s="555"/>
      <c r="G26" s="556"/>
      <c r="H26" s="555"/>
      <c r="I26" s="558"/>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1">
      <c r="A28" s="515"/>
      <c r="B28" s="566"/>
      <c r="C28" s="554"/>
      <c r="D28" s="557"/>
      <c r="E28" s="576"/>
      <c r="F28" s="555"/>
      <c r="G28" s="554"/>
      <c r="H28" s="555"/>
      <c r="I28" s="576"/>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1.4">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1">
      <c r="A30" s="577"/>
      <c r="B30" s="566"/>
      <c r="C30" s="579"/>
      <c r="D30" s="557"/>
      <c r="E30" s="576"/>
      <c r="F30" s="555"/>
      <c r="G30" s="554"/>
      <c r="H30" s="555"/>
      <c r="I30" s="576"/>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7.6">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5"/>
      <c r="Q31" s="2557" t="str">
        <f t="shared" ref="Q31" si="9">B31</f>
        <v>基础设施水平</v>
      </c>
      <c r="R31" s="1569" t="s">
        <v>8</v>
      </c>
      <c r="S31" s="1570">
        <f>F31</f>
        <v>100</v>
      </c>
      <c r="T31" s="1569" t="s">
        <v>8</v>
      </c>
      <c r="U31" s="1570">
        <f>H31</f>
        <v>100</v>
      </c>
      <c r="V31" s="1569" t="s">
        <v>8</v>
      </c>
      <c r="W31" s="1570">
        <f>J31</f>
        <v>100</v>
      </c>
      <c r="X31" s="1571"/>
      <c r="Y31" s="3385"/>
      <c r="Z31" s="2554" t="str">
        <f>Q31</f>
        <v>基础设施水平</v>
      </c>
      <c r="AA31" s="1577">
        <f>D31/F31</f>
        <v>1</v>
      </c>
      <c r="AB31" s="1577">
        <f>D31/H31</f>
        <v>1</v>
      </c>
      <c r="AC31" s="1577">
        <f>D31/J31</f>
        <v>1</v>
      </c>
    </row>
    <row r="32" spans="1:29" s="1220" customFormat="1" ht="21">
      <c r="A32" s="577"/>
      <c r="B32" s="566"/>
      <c r="C32" s="579"/>
      <c r="D32" s="557"/>
      <c r="E32" s="2571"/>
      <c r="F32" s="555"/>
      <c r="G32" s="579"/>
      <c r="H32" s="555"/>
      <c r="I32" s="579"/>
      <c r="J32" s="555"/>
      <c r="K32" s="531"/>
      <c r="L32" s="2136"/>
      <c r="M32" s="2133"/>
      <c r="N32" s="2133"/>
      <c r="O32" s="2138"/>
      <c r="P32" s="3385"/>
      <c r="Q32" s="2557"/>
      <c r="R32" s="1569"/>
      <c r="S32" s="1570"/>
      <c r="T32" s="1569"/>
      <c r="U32" s="1570"/>
      <c r="V32" s="1569"/>
      <c r="W32" s="1570"/>
      <c r="X32" s="1571"/>
      <c r="Y32" s="3385"/>
      <c r="Z32" s="2554"/>
      <c r="AA32" s="1577">
        <v>1</v>
      </c>
      <c r="AB32" s="1577">
        <v>1</v>
      </c>
      <c r="AC32" s="1577">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1">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1">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87"/>
      <c r="Q40" s="1573" t="str">
        <f>B40</f>
        <v>宗地面积</v>
      </c>
      <c r="R40" s="1574" t="s">
        <v>8</v>
      </c>
      <c r="S40" s="1575">
        <f t="shared" si="10"/>
        <v>100</v>
      </c>
      <c r="T40" s="1574" t="s">
        <v>8</v>
      </c>
      <c r="U40" s="1575">
        <f t="shared" si="11"/>
        <v>98</v>
      </c>
      <c r="V40" s="1574" t="s">
        <v>8</v>
      </c>
      <c r="W40" s="1575">
        <f t="shared" si="12"/>
        <v>96</v>
      </c>
      <c r="X40" s="1568"/>
      <c r="Y40" s="3387"/>
      <c r="Z40" s="1576" t="str">
        <f t="shared" si="13"/>
        <v>宗地面积</v>
      </c>
      <c r="AA40" s="1577">
        <f t="shared" si="3"/>
        <v>1</v>
      </c>
      <c r="AB40" s="1577">
        <f t="shared" si="4"/>
        <v>1.0204081632653061</v>
      </c>
      <c r="AC40" s="1577">
        <f t="shared" si="5"/>
        <v>1.0416666666666667</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1">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1">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50" t="str">
        <f>A48</f>
        <v>成交单价</v>
      </c>
      <c r="Q48" s="3350"/>
      <c r="R48" s="3351">
        <f>E48</f>
        <v>3590</v>
      </c>
      <c r="S48" s="3351"/>
      <c r="T48" s="3351">
        <f>G48</f>
        <v>3450</v>
      </c>
      <c r="U48" s="3351"/>
      <c r="V48" s="3351">
        <f>I48</f>
        <v>3390.92</v>
      </c>
      <c r="W48" s="3351"/>
      <c r="X48" s="1560"/>
      <c r="Y48" s="1582"/>
      <c r="Z48" s="1560"/>
      <c r="AA48" s="1560"/>
      <c r="AB48" s="1560"/>
      <c r="AC48" s="1560"/>
    </row>
    <row r="49" spans="1:29" ht="21.6" thickBot="1">
      <c r="A49" s="615" t="s">
        <v>2690</v>
      </c>
      <c r="B49" s="616"/>
      <c r="C49" s="617">
        <f>R50</f>
        <v>3350</v>
      </c>
      <c r="D49" s="618"/>
      <c r="E49" s="617">
        <f>R49</f>
        <v>3392</v>
      </c>
      <c r="F49" s="619"/>
      <c r="G49" s="620">
        <f>T49</f>
        <v>3423</v>
      </c>
      <c r="H49" s="618"/>
      <c r="I49" s="617">
        <f>V49</f>
        <v>3236</v>
      </c>
      <c r="J49" s="618"/>
      <c r="K49" s="1341"/>
      <c r="L49" s="2145"/>
      <c r="M49" s="2133"/>
      <c r="N49" s="2133"/>
      <c r="O49" s="2146"/>
      <c r="P49" s="3350" t="str">
        <f>A49</f>
        <v>比较价格（元/平方米）</v>
      </c>
      <c r="Q49" s="3350"/>
      <c r="R49" s="3352">
        <f>ROUND(PRODUCT(R48,AA9:AA47),0)</f>
        <v>3392</v>
      </c>
      <c r="S49" s="3352"/>
      <c r="T49" s="3352">
        <f>ROUND(PRODUCT(T48,AB9:AB47),0)</f>
        <v>3423</v>
      </c>
      <c r="U49" s="3352"/>
      <c r="V49" s="3352">
        <f>ROUND(PRODUCT(V48,AC9:AC47),0)</f>
        <v>3236</v>
      </c>
      <c r="W49" s="3352"/>
      <c r="X49" s="1560"/>
      <c r="Y49" s="1560"/>
      <c r="Z49" s="1560"/>
      <c r="AA49" s="1560"/>
      <c r="AB49" s="1560"/>
      <c r="AC49" s="1560"/>
    </row>
    <row r="50" spans="1:29" ht="21.6" thickBot="1">
      <c r="A50" s="621" t="s">
        <v>2932</v>
      </c>
      <c r="B50" s="622"/>
      <c r="C50" s="623">
        <f>R50</f>
        <v>3350</v>
      </c>
      <c r="D50" s="623"/>
      <c r="E50" s="623"/>
      <c r="F50" s="623"/>
      <c r="G50" s="623"/>
      <c r="H50" s="623"/>
      <c r="I50" s="623"/>
      <c r="J50" s="623"/>
      <c r="K50" s="1342"/>
      <c r="L50" s="2145"/>
      <c r="M50" s="2133"/>
      <c r="N50" s="2133"/>
      <c r="O50" s="2146"/>
      <c r="P50" s="3347" t="str">
        <f>A50</f>
        <v>估价对象XX用房的比较价格（楼面单价，元/平方米）</v>
      </c>
      <c r="Q50" s="3348"/>
      <c r="R50" s="3349">
        <f>ROUND(AVERAGE(R49:V49),0)</f>
        <v>3350</v>
      </c>
      <c r="S50" s="3349"/>
      <c r="T50" s="3349"/>
      <c r="U50" s="3349"/>
      <c r="V50" s="3349"/>
      <c r="W50" s="3349"/>
      <c r="X50" s="1560"/>
      <c r="Y50" s="1560"/>
      <c r="Z50" s="1560"/>
      <c r="AA50" s="1560"/>
      <c r="AB50" s="1560"/>
      <c r="AC50" s="1560"/>
    </row>
    <row r="51" spans="1:29" ht="21">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76" t="s">
        <v>2281</v>
      </c>
      <c r="H57" s="3377"/>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564</v>
      </c>
      <c r="B58" s="634">
        <f>C50</f>
        <v>3350</v>
      </c>
      <c r="C58" s="635">
        <v>1</v>
      </c>
      <c r="D58" s="2229">
        <v>1</v>
      </c>
      <c r="E58" s="635">
        <f>'数据-汇总表'!E8+'数据-汇总表'!E9</f>
        <v>33168.99</v>
      </c>
      <c r="F58" s="636">
        <f t="shared" ref="F58:F67" si="15">ROUND(B58*E58/10000,0)</f>
        <v>11112</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565</v>
      </c>
      <c r="B59" s="638">
        <f>ROUND($C$50*C59*D59,0)</f>
        <v>0</v>
      </c>
      <c r="C59" s="378">
        <f t="shared" ref="C59:C67" si="16">IF($C$57="北京市系数",I59,J59)</f>
        <v>0</v>
      </c>
      <c r="D59" s="2230">
        <v>0.25</v>
      </c>
      <c r="E59" s="639">
        <v>0</v>
      </c>
      <c r="F59" s="636">
        <f t="shared" si="15"/>
        <v>0</v>
      </c>
      <c r="G59" s="338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566</v>
      </c>
      <c r="B60" s="638">
        <f t="shared" ref="B60:B67" si="17">ROUND($C$50*C60*D60,0)</f>
        <v>0</v>
      </c>
      <c r="C60" s="378">
        <f t="shared" si="16"/>
        <v>0</v>
      </c>
      <c r="D60" s="2230">
        <v>0.25</v>
      </c>
      <c r="E60" s="639">
        <v>0</v>
      </c>
      <c r="F60" s="636">
        <f t="shared" si="15"/>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567</v>
      </c>
      <c r="B61" s="638">
        <f t="shared" si="17"/>
        <v>0</v>
      </c>
      <c r="C61" s="378">
        <f t="shared" si="16"/>
        <v>0</v>
      </c>
      <c r="D61" s="2230">
        <v>0.25</v>
      </c>
      <c r="E61" s="639">
        <v>0</v>
      </c>
      <c r="F61" s="636">
        <f t="shared" si="15"/>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568</v>
      </c>
      <c r="B62" s="638">
        <f t="shared" si="17"/>
        <v>0</v>
      </c>
      <c r="C62" s="378">
        <f t="shared" si="16"/>
        <v>0</v>
      </c>
      <c r="D62" s="2230">
        <v>0.25</v>
      </c>
      <c r="E62" s="639">
        <v>0</v>
      </c>
      <c r="F62" s="636">
        <f t="shared" si="15"/>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2.2"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4.4">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4.4">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Q18" sqref="Q18"/>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16" width="9" style="2115" customWidth="1"/>
    <col min="17" max="17" width="13.6640625" style="2115" customWidth="1"/>
    <col min="18" max="254" width="9" style="2115" customWidth="1"/>
    <col min="255" max="16384" width="6.6640625" style="2115"/>
  </cols>
  <sheetData>
    <row r="1" spans="1:31" s="2042" customFormat="1" ht="21">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24997</v>
      </c>
      <c r="C2" s="2105"/>
      <c r="D2" s="2105"/>
      <c r="E2" s="2105"/>
      <c r="F2" s="2105"/>
      <c r="G2" s="2105"/>
      <c r="H2" s="2105"/>
      <c r="I2" s="2105"/>
      <c r="J2" s="2105"/>
      <c r="K2" s="2105"/>
    </row>
    <row r="3" spans="1:31" s="2042" customFormat="1" ht="18" customHeight="1">
      <c r="A3" s="2107" t="s">
        <v>1684</v>
      </c>
      <c r="B3" s="2108">
        <f ca="1">ROUND(B2*10000/IF(B1="",'数据-汇总表'!E3,INDIRECT("'数据-取费表'!K"&amp;$K$1)),0)</f>
        <v>7514</v>
      </c>
      <c r="C3" s="2105"/>
      <c r="D3" s="2105"/>
      <c r="E3" s="2105"/>
      <c r="F3" s="2105"/>
      <c r="G3" s="2105"/>
      <c r="H3" s="2105"/>
      <c r="I3" s="2105"/>
      <c r="J3" s="2105"/>
      <c r="K3" s="2105"/>
    </row>
    <row r="4" spans="1:31" s="2042" customFormat="1" ht="18" customHeight="1">
      <c r="A4" s="426" t="s">
        <v>468</v>
      </c>
      <c r="B4" s="427">
        <f ca="1">ROUND(B2*10000/IF(B1="",'数据-汇总表'!D3,INDIRECT("'数据-取费表'!R"&amp;$K$1)),0)</f>
        <v>18033</v>
      </c>
      <c r="C4" s="428"/>
      <c r="D4" s="422"/>
      <c r="E4" s="422"/>
      <c r="F4" s="422"/>
      <c r="G4" s="422"/>
      <c r="H4" s="422"/>
      <c r="I4" s="422"/>
      <c r="J4" s="422"/>
      <c r="K4" s="422"/>
    </row>
    <row r="5" spans="1:31" s="2042" customFormat="1" ht="18" customHeight="1" thickBot="1">
      <c r="A5" s="429"/>
      <c r="B5" s="430">
        <f ca="1">ROUND(B2/(IF(B1="",'数据-汇总表'!D3,INDIRECT("'数据-取费表'!R"&amp;$K$1))/666.67),0)</f>
        <v>1202</v>
      </c>
      <c r="C5" s="431" t="s">
        <v>469</v>
      </c>
      <c r="D5" s="422"/>
      <c r="E5" s="422"/>
      <c r="F5" s="422"/>
      <c r="G5" s="422"/>
      <c r="H5" s="422"/>
      <c r="I5" s="422"/>
      <c r="J5" s="422"/>
      <c r="K5" s="422"/>
    </row>
    <row r="6" spans="1:31" s="2112" customFormat="1" ht="16.5" customHeight="1">
      <c r="A6" s="2806" t="s">
        <v>1842</v>
      </c>
      <c r="B6" s="2807"/>
      <c r="C6" s="2808">
        <f>SUM(C10:K10)</f>
        <v>46436.586000000003</v>
      </c>
      <c r="D6" s="2807"/>
      <c r="E6" s="2807"/>
      <c r="F6" s="2807"/>
      <c r="G6" s="2807"/>
      <c r="H6" s="2807"/>
      <c r="I6" s="2807"/>
      <c r="J6" s="2807"/>
      <c r="K6" s="2809"/>
    </row>
    <row r="7" spans="1:31" s="2114" customFormat="1" ht="14.4">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v>14000</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v>1</v>
      </c>
      <c r="O9" s="2115">
        <v>1</v>
      </c>
      <c r="P9" s="3478">
        <v>4.5</v>
      </c>
      <c r="Q9" s="3477">
        <f>C10*10000/(O9+O10+O11*8)/(C9/10)</f>
        <v>24778.761061946905</v>
      </c>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C8*C9/10000</f>
        <v>46436.586000000003</v>
      </c>
      <c r="D10" s="3004"/>
      <c r="E10" s="3004"/>
      <c r="F10" s="2815"/>
      <c r="G10" s="2815"/>
      <c r="H10" s="2815"/>
      <c r="I10" s="2815"/>
      <c r="J10" s="2815"/>
      <c r="K10" s="2816"/>
      <c r="L10" s="2115"/>
      <c r="M10" s="2115"/>
      <c r="N10" s="2115">
        <v>2</v>
      </c>
      <c r="O10" s="2115">
        <v>0.65</v>
      </c>
      <c r="P10" s="3478">
        <f>P9*O10</f>
        <v>2.9250000000000003</v>
      </c>
      <c r="Q10" s="3477">
        <f>Q9*O10</f>
        <v>16106.194690265489</v>
      </c>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c r="N11" s="3476" t="s">
        <v>3222</v>
      </c>
      <c r="O11" s="2112">
        <v>0.5</v>
      </c>
      <c r="P11" s="3478">
        <f>P9*O11</f>
        <v>2.25</v>
      </c>
      <c r="Q11" s="3477">
        <f>Q9*O11</f>
        <v>12389.380530973453</v>
      </c>
    </row>
    <row r="12" spans="1:31" s="2086" customFormat="1" ht="13.5" customHeight="1">
      <c r="A12" s="2818" t="s">
        <v>470</v>
      </c>
      <c r="B12" s="2790" t="s">
        <v>471</v>
      </c>
      <c r="C12" s="2819" t="s">
        <v>475</v>
      </c>
      <c r="D12" s="2786" t="s">
        <v>476</v>
      </c>
      <c r="E12" s="2786" t="s">
        <v>477</v>
      </c>
      <c r="F12" s="2786" t="s">
        <v>478</v>
      </c>
      <c r="G12" s="2790"/>
      <c r="H12" s="2791"/>
      <c r="I12" s="2791"/>
      <c r="J12" s="2791"/>
      <c r="K12" s="2792"/>
      <c r="P12" s="3478">
        <f>(P9+P10+P11*8)/10</f>
        <v>2.5425</v>
      </c>
    </row>
    <row r="13" spans="1:31" s="2117" customFormat="1" ht="13.5" customHeight="1">
      <c r="A13" s="2820" t="s">
        <v>1848</v>
      </c>
      <c r="B13" s="2821" t="s">
        <v>479</v>
      </c>
      <c r="C13" s="450">
        <f ca="1">IF(B1="",'数据-取费表'!P16,INDIRECT("'数据-取费表'!p"&amp;$K$1)+INDIRECT("'数据-取费表'!t"&amp;$K$1))</f>
        <v>9981</v>
      </c>
      <c r="D13" s="2822"/>
      <c r="E13" s="2823"/>
      <c r="F13" s="2824"/>
      <c r="G13" s="2790"/>
      <c r="H13" s="2791"/>
      <c r="I13" s="2791"/>
      <c r="J13" s="2791"/>
      <c r="K13" s="2792"/>
    </row>
    <row r="14" spans="1:31" s="2117" customFormat="1" ht="13.5" customHeight="1">
      <c r="A14" s="2820" t="s">
        <v>1849</v>
      </c>
      <c r="B14" s="2821" t="s">
        <v>480</v>
      </c>
      <c r="C14" s="53">
        <f ca="1">ROUND(C13*F14,0)</f>
        <v>299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c r="L15" s="2117" t="s">
        <v>3224</v>
      </c>
      <c r="N15" s="2117">
        <v>1</v>
      </c>
      <c r="O15" s="2117">
        <v>1</v>
      </c>
      <c r="P15" s="3480">
        <v>3.5</v>
      </c>
      <c r="Q15" s="3479">
        <v>21238.938053097347</v>
      </c>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v>2</v>
      </c>
      <c r="O16" s="2117">
        <v>0.65</v>
      </c>
      <c r="P16" s="3480">
        <v>2.2749999999999999</v>
      </c>
      <c r="Q16" s="3479">
        <v>13805.309734513276</v>
      </c>
      <c r="R16" s="2117"/>
      <c r="S16" s="2117"/>
      <c r="T16" s="2117"/>
      <c r="U16" s="2117"/>
      <c r="V16" s="2117"/>
      <c r="W16" s="2117"/>
      <c r="X16" s="2117"/>
      <c r="Y16" s="2117"/>
      <c r="Z16" s="2117"/>
      <c r="AA16" s="2117"/>
      <c r="AB16" s="2117"/>
      <c r="AC16" s="2117"/>
      <c r="AD16" s="2117"/>
      <c r="AE16" s="2117"/>
    </row>
    <row r="17" spans="1:17" s="2117" customFormat="1" ht="13.5" customHeight="1">
      <c r="A17" s="2820" t="s">
        <v>1852</v>
      </c>
      <c r="B17" s="2821" t="s">
        <v>485</v>
      </c>
      <c r="C17" s="2826">
        <f ca="1">ROUND(C13*F17,0)</f>
        <v>150</v>
      </c>
      <c r="D17" s="475"/>
      <c r="E17" s="2826"/>
      <c r="F17" s="2827">
        <f>'数据-取费表'!B36</f>
        <v>1.4999999999999999E-2</v>
      </c>
      <c r="G17" s="261" t="s">
        <v>486</v>
      </c>
      <c r="H17" s="2793"/>
      <c r="I17" s="2793"/>
      <c r="J17" s="2793"/>
      <c r="K17" s="279"/>
      <c r="N17" s="2117" t="s">
        <v>3223</v>
      </c>
      <c r="O17" s="2117">
        <v>0.5</v>
      </c>
      <c r="P17" s="3480">
        <v>1.75</v>
      </c>
      <c r="Q17" s="3479">
        <v>10619.469026548673</v>
      </c>
    </row>
    <row r="18" spans="1:17" s="2117" customFormat="1" ht="13.5" customHeight="1">
      <c r="A18" s="2828" t="s">
        <v>1853</v>
      </c>
      <c r="B18" s="2829" t="s">
        <v>487</v>
      </c>
      <c r="C18" s="2830">
        <f ca="1">SUM(C13:C17)</f>
        <v>11095</v>
      </c>
      <c r="D18" s="2831"/>
      <c r="E18" s="468"/>
      <c r="F18" s="468"/>
      <c r="G18" s="2794" t="s">
        <v>2427</v>
      </c>
      <c r="H18" s="2795"/>
      <c r="I18" s="2795"/>
      <c r="J18" s="2795"/>
      <c r="K18" s="2796"/>
      <c r="P18" s="3480">
        <v>1.9774999999999998</v>
      </c>
    </row>
    <row r="19" spans="1:17"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7"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c r="L20" s="2117" t="s">
        <v>3225</v>
      </c>
      <c r="N20" s="2117">
        <v>1</v>
      </c>
      <c r="O20" s="2117">
        <v>1</v>
      </c>
      <c r="P20" s="3480">
        <v>4.5</v>
      </c>
      <c r="Q20" s="3479">
        <v>24778.761061946905</v>
      </c>
    </row>
    <row r="21" spans="1:17"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c r="N21" s="2117">
        <v>2</v>
      </c>
      <c r="O21" s="2117">
        <v>0.65</v>
      </c>
      <c r="P21" s="3480">
        <v>2.9250000000000003</v>
      </c>
      <c r="Q21" s="3479">
        <v>16106.194690265489</v>
      </c>
    </row>
    <row r="22" spans="1:17"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c r="N22" s="2117" t="s">
        <v>3223</v>
      </c>
      <c r="O22" s="2117">
        <v>0.5</v>
      </c>
      <c r="P22" s="3480">
        <v>2.25</v>
      </c>
      <c r="Q22" s="3479">
        <v>12389.380530973453</v>
      </c>
    </row>
    <row r="23" spans="1:17" s="2117" customFormat="1" ht="13.5" customHeight="1">
      <c r="A23" s="2828" t="s">
        <v>1858</v>
      </c>
      <c r="B23" s="3010" t="s">
        <v>2830</v>
      </c>
      <c r="C23" s="2830">
        <f ca="1">ROUND((C18+C19+C20)*F23,0)</f>
        <v>226</v>
      </c>
      <c r="D23" s="468"/>
      <c r="E23" s="468"/>
      <c r="F23" s="2834">
        <f>'数据-取费表'!B37</f>
        <v>0.02</v>
      </c>
      <c r="G23" s="2790" t="s">
        <v>2428</v>
      </c>
      <c r="H23" s="2791"/>
      <c r="I23" s="2791"/>
      <c r="J23" s="2791"/>
      <c r="K23" s="2792"/>
      <c r="L23" s="2119"/>
      <c r="M23" s="2119"/>
      <c r="N23" s="2119"/>
      <c r="P23" s="3480">
        <v>2.5425</v>
      </c>
    </row>
    <row r="24" spans="1:17" s="2117" customFormat="1" ht="13.5" customHeight="1">
      <c r="A24" s="2828" t="s">
        <v>1859</v>
      </c>
      <c r="B24" s="3010" t="s">
        <v>2833</v>
      </c>
      <c r="C24" s="2830">
        <f>ROUND(C6*F24,0)</f>
        <v>697</v>
      </c>
      <c r="D24" s="475"/>
      <c r="E24" s="473"/>
      <c r="F24" s="2834">
        <f>'数据-取费表'!B38</f>
        <v>1.4999999999999999E-2</v>
      </c>
      <c r="G24" s="2799" t="s">
        <v>499</v>
      </c>
      <c r="H24" s="2793"/>
      <c r="I24" s="2793"/>
      <c r="J24" s="2793"/>
      <c r="K24" s="279"/>
      <c r="L24" s="2119"/>
      <c r="M24" s="2119"/>
      <c r="N24" s="2119"/>
    </row>
    <row r="25" spans="1:17"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7" s="2119" customFormat="1" ht="13.5" customHeight="1">
      <c r="A26" s="2828" t="s">
        <v>1861</v>
      </c>
      <c r="B26" s="3011" t="s">
        <v>2832</v>
      </c>
      <c r="C26" s="2835">
        <f ca="1">C28</f>
        <v>432</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7"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7" s="2121" customFormat="1" ht="13.5" customHeight="1">
      <c r="A28" s="803" t="s">
        <v>1857</v>
      </c>
      <c r="B28" s="2836" t="s">
        <v>2834</v>
      </c>
      <c r="C28" s="2838">
        <f ca="1">ROUND(IF('数据-取费表'!B22&lt;=1,(C18+C19+C20+C23+C24)*F26*'数据-取费表'!B24/2,(C18+C19+C20+C23+C24)*(POWER((1+F26),'数据-取费表'!B24/2)-1)),0)</f>
        <v>432</v>
      </c>
      <c r="D28" s="472"/>
      <c r="E28" s="473"/>
      <c r="F28" s="474"/>
      <c r="G28" s="2551" t="str">
        <f>IF('数据-取费表'!B22&lt;=1,"（1）-（4）项×年利率×建设期÷2","（1）-（4）项×((1+年利率)^(建设期÷2)-1)")</f>
        <v>（1）-（4）项×((1+年利率)^(建设期÷2)-1)</v>
      </c>
      <c r="H28" s="2793"/>
      <c r="I28" s="2793"/>
      <c r="J28" s="2793"/>
      <c r="K28" s="279"/>
    </row>
    <row r="29" spans="1:17" s="2121" customFormat="1" ht="13.5" customHeight="1">
      <c r="A29" s="2839" t="s">
        <v>1862</v>
      </c>
      <c r="B29" s="2829" t="s">
        <v>497</v>
      </c>
      <c r="C29" s="2830">
        <f>ROUND(C6*F29/(1+'数据-取费表'!C42),0)</f>
        <v>2432</v>
      </c>
      <c r="D29" s="468"/>
      <c r="E29" s="468"/>
      <c r="F29" s="3012">
        <f>'数据-取费表'!B41</f>
        <v>5.5000000000000007E-2</v>
      </c>
      <c r="G29" s="2799" t="s">
        <v>498</v>
      </c>
      <c r="H29" s="2791"/>
      <c r="I29" s="2791"/>
      <c r="J29" s="2791"/>
      <c r="K29" s="2792"/>
    </row>
    <row r="30" spans="1:17" s="2122" customFormat="1" ht="13.5" customHeight="1">
      <c r="A30" s="1636" t="s">
        <v>1863</v>
      </c>
      <c r="B30" s="2840" t="s">
        <v>500</v>
      </c>
      <c r="C30" s="2835">
        <f ca="1">C31</f>
        <v>15068</v>
      </c>
      <c r="D30" s="477">
        <f ca="1">C32</f>
        <v>0.1032</v>
      </c>
      <c r="E30" s="469" t="s">
        <v>495</v>
      </c>
      <c r="F30" s="471"/>
      <c r="G30" s="2798" t="s">
        <v>2971</v>
      </c>
      <c r="H30" s="2791"/>
      <c r="I30" s="2791"/>
      <c r="J30" s="2791"/>
      <c r="K30" s="2792"/>
    </row>
    <row r="31" spans="1:17" s="2121" customFormat="1" ht="13.5" customHeight="1">
      <c r="A31" s="803" t="s">
        <v>1856</v>
      </c>
      <c r="B31" s="2836"/>
      <c r="C31" s="450">
        <f ca="1">C18+C19+C20+C23+C24+C26+C29</f>
        <v>15068</v>
      </c>
      <c r="D31" s="472"/>
      <c r="E31" s="473"/>
      <c r="F31" s="474"/>
      <c r="G31" s="261"/>
      <c r="H31" s="2793"/>
      <c r="I31" s="2793"/>
      <c r="J31" s="2793"/>
      <c r="K31" s="279"/>
    </row>
    <row r="32" spans="1:17"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1220</v>
      </c>
      <c r="D33" s="467">
        <f ca="1">C34</f>
        <v>0.10290000000000001</v>
      </c>
      <c r="E33" s="469" t="s">
        <v>495</v>
      </c>
      <c r="F33" s="479">
        <f ca="1">IF(B1="",'数据-取费表'!Q16,INDIRECT("'数据-取费表'!q"&amp;$K$1))</f>
        <v>0.1</v>
      </c>
      <c r="G33" s="2794"/>
      <c r="H33" s="2795"/>
      <c r="I33" s="2795"/>
      <c r="J33" s="2795"/>
      <c r="K33" s="2796"/>
    </row>
    <row r="34" spans="1:11" s="2124" customFormat="1" ht="13.5" customHeight="1">
      <c r="A34" s="375" t="s">
        <v>1856</v>
      </c>
      <c r="B34" s="2841" t="s">
        <v>501</v>
      </c>
      <c r="C34" s="472">
        <f ca="1">ROUND((1+C25)*F33,4)</f>
        <v>0.10290000000000001</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1220</v>
      </c>
      <c r="D35" s="1630"/>
      <c r="E35" s="2842"/>
      <c r="F35" s="1631"/>
      <c r="G35" s="2800"/>
      <c r="H35" s="2801"/>
      <c r="I35" s="2801"/>
      <c r="J35" s="2801"/>
      <c r="K35" s="2802"/>
    </row>
    <row r="36" spans="1:11" s="2086" customFormat="1" ht="13.5" customHeight="1" thickBot="1">
      <c r="A36" s="284" t="s">
        <v>1844</v>
      </c>
      <c r="B36" s="2804"/>
      <c r="C36" s="2843">
        <f ca="1">ROUND((C6-C30-C33)/(1+D30+D33),0)</f>
        <v>24997</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1901</v>
      </c>
      <c r="B36" s="1655" t="s">
        <v>1902</v>
      </c>
    </row>
    <row r="37" spans="1:9" ht="28.5" customHeight="1">
      <c r="A37" s="1655"/>
      <c r="B37" s="3182" t="str">
        <f>项目基本情况!B1</f>
        <v>出让国有建设用地使用权市场价格预评估</v>
      </c>
      <c r="C37" s="3182"/>
      <c r="D37" s="3182"/>
      <c r="E37" s="3182"/>
      <c r="F37" s="3182"/>
      <c r="G37" s="3182"/>
      <c r="H37" s="3182"/>
      <c r="I37" s="3182"/>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9981</v>
      </c>
      <c r="D13" s="451"/>
      <c r="E13" s="365"/>
      <c r="F13" s="452"/>
      <c r="G13" s="444"/>
      <c r="H13" s="447"/>
      <c r="I13" s="447"/>
      <c r="J13" s="447"/>
      <c r="K13" s="448"/>
    </row>
    <row r="14" spans="1:41" s="2117" customFormat="1" ht="13.5" customHeight="1">
      <c r="A14" s="1634" t="s">
        <v>1849</v>
      </c>
      <c r="B14" s="449" t="s">
        <v>480</v>
      </c>
      <c r="C14" s="53">
        <f ca="1">ROUND(C13*F14,0)</f>
        <v>299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150</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11095</v>
      </c>
      <c r="D18" s="461"/>
      <c r="E18" s="462"/>
      <c r="F18" s="462"/>
      <c r="G18" s="1327" t="s">
        <v>2429</v>
      </c>
      <c r="H18" s="447"/>
      <c r="I18" s="447"/>
      <c r="J18" s="447"/>
      <c r="K18" s="448"/>
    </row>
    <row r="19" spans="1:14" s="2120" customFormat="1" ht="13.5" customHeight="1">
      <c r="A19" s="1635" t="s">
        <v>1854</v>
      </c>
      <c r="B19" s="459" t="s">
        <v>493</v>
      </c>
      <c r="C19" s="460">
        <f ca="1">ROUND(C18*F19,0)</f>
        <v>222</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1858</v>
      </c>
      <c r="B21" s="461" t="s">
        <v>494</v>
      </c>
      <c r="C21" s="470">
        <f ca="1">C22</f>
        <v>401</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401</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5.0000000000000001E-4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1132</v>
      </c>
      <c r="D24" s="489">
        <f ca="1">C26</f>
        <v>1.5E-3</v>
      </c>
      <c r="E24" s="469" t="s">
        <v>507</v>
      </c>
      <c r="F24" s="479">
        <f ca="1">IF(B1="",'数据-取费表'!Q16,INDIRECT("'数据-取费表'!q"&amp;$K$1))</f>
        <v>0.1</v>
      </c>
      <c r="G24" s="444"/>
      <c r="H24" s="447"/>
      <c r="I24" s="447"/>
      <c r="J24" s="447"/>
      <c r="K24" s="448"/>
    </row>
    <row r="25" spans="1:14" s="2121" customFormat="1" ht="13.5" customHeight="1">
      <c r="A25" s="1634" t="s">
        <v>1848</v>
      </c>
      <c r="B25" s="1328" t="s">
        <v>2433</v>
      </c>
      <c r="C25" s="490">
        <f ca="1">ROUND((C18+C19)*F24,0)</f>
        <v>1132</v>
      </c>
      <c r="D25" s="472"/>
      <c r="E25" s="473"/>
      <c r="F25" s="480"/>
      <c r="G25" s="1326" t="s">
        <v>2430</v>
      </c>
      <c r="H25" s="457"/>
      <c r="I25" s="457"/>
      <c r="J25" s="457"/>
      <c r="K25" s="458"/>
    </row>
    <row r="26" spans="1:14" s="2121" customFormat="1" ht="13.5" customHeight="1">
      <c r="A26" s="1634" t="s">
        <v>1849</v>
      </c>
      <c r="B26" s="1328" t="s">
        <v>509</v>
      </c>
      <c r="C26" s="491">
        <f ca="1">ROUND(F20*F24,4)</f>
        <v>1.5E-3</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13808</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4.4">
      <c r="A6" s="512" t="s">
        <v>521</v>
      </c>
      <c r="B6" s="513"/>
      <c r="C6" s="3356" t="s">
        <v>522</v>
      </c>
      <c r="D6" s="3357"/>
      <c r="E6" s="3390" t="s">
        <v>523</v>
      </c>
      <c r="F6" s="3391"/>
      <c r="G6" s="3356" t="s">
        <v>524</v>
      </c>
      <c r="H6" s="3357"/>
      <c r="I6" s="3356" t="s">
        <v>525</v>
      </c>
      <c r="J6" s="3357"/>
      <c r="K6" s="514" t="s">
        <v>526</v>
      </c>
      <c r="L6" s="2134"/>
      <c r="M6" s="2135"/>
      <c r="N6" s="2135"/>
      <c r="O6" s="2135"/>
      <c r="P6" s="3358" t="s">
        <v>527</v>
      </c>
      <c r="Q6" s="3359"/>
      <c r="R6" s="3364" t="s">
        <v>523</v>
      </c>
      <c r="S6" s="3365"/>
      <c r="T6" s="3364" t="s">
        <v>524</v>
      </c>
      <c r="U6" s="3365"/>
      <c r="V6" s="3351" t="s">
        <v>525</v>
      </c>
      <c r="W6" s="3351"/>
      <c r="X6" s="1568"/>
      <c r="Y6" s="3364" t="s">
        <v>527</v>
      </c>
      <c r="Z6" s="3365"/>
      <c r="AA6" s="3353" t="s">
        <v>523</v>
      </c>
      <c r="AB6" s="3354" t="s">
        <v>524</v>
      </c>
      <c r="AC6" s="3353" t="s">
        <v>525</v>
      </c>
    </row>
    <row r="7" spans="1:29">
      <c r="A7" s="515"/>
      <c r="B7" s="516"/>
      <c r="C7" s="3372" t="s">
        <v>2926</v>
      </c>
      <c r="D7" s="3373"/>
      <c r="E7" s="3392" t="s">
        <v>2927</v>
      </c>
      <c r="F7" s="3393"/>
      <c r="G7" s="3372" t="s">
        <v>2928</v>
      </c>
      <c r="H7" s="3373"/>
      <c r="I7" s="3372" t="s">
        <v>2929</v>
      </c>
      <c r="J7" s="3373"/>
      <c r="K7" s="514"/>
      <c r="L7" s="2134"/>
      <c r="M7" s="2135"/>
      <c r="N7" s="2135"/>
      <c r="O7" s="2135"/>
      <c r="P7" s="3360"/>
      <c r="Q7" s="3361"/>
      <c r="R7" s="3366"/>
      <c r="S7" s="3367"/>
      <c r="T7" s="3366"/>
      <c r="U7" s="3367"/>
      <c r="V7" s="3351"/>
      <c r="W7" s="3351"/>
      <c r="X7" s="1568"/>
      <c r="Y7" s="3366"/>
      <c r="Z7" s="3367"/>
      <c r="AA7" s="3354"/>
      <c r="AB7" s="3354"/>
      <c r="AC7" s="3354"/>
    </row>
    <row r="8" spans="1:29" ht="15" thickBot="1">
      <c r="A8" s="517"/>
      <c r="B8" s="518"/>
      <c r="C8" s="3370" t="s">
        <v>2930</v>
      </c>
      <c r="D8" s="3371"/>
      <c r="E8" s="3388" t="s">
        <v>2930</v>
      </c>
      <c r="F8" s="3389"/>
      <c r="G8" s="3370" t="s">
        <v>2930</v>
      </c>
      <c r="H8" s="3371"/>
      <c r="I8" s="3370" t="s">
        <v>2930</v>
      </c>
      <c r="J8" s="3371"/>
      <c r="K8" s="514" t="s">
        <v>528</v>
      </c>
      <c r="L8" s="2134"/>
      <c r="M8" s="2135"/>
      <c r="N8" s="2135"/>
      <c r="O8" s="2135"/>
      <c r="P8" s="3362"/>
      <c r="Q8" s="3363"/>
      <c r="R8" s="3366"/>
      <c r="S8" s="3367"/>
      <c r="T8" s="3368"/>
      <c r="U8" s="3369"/>
      <c r="V8" s="3351"/>
      <c r="W8" s="3351"/>
      <c r="X8" s="1568"/>
      <c r="Y8" s="3368"/>
      <c r="Z8" s="3369"/>
      <c r="AA8" s="3355"/>
      <c r="AB8" s="3355"/>
      <c r="AC8" s="3355"/>
    </row>
    <row r="9" spans="1:29" s="1220" customFormat="1" ht="1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4.4">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29" s="1338" customFormat="1" ht="28.8">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50"/>
      <c r="Q12" s="1151" t="str">
        <f t="shared" si="6"/>
        <v>土地使用年限（年）</v>
      </c>
      <c r="R12" s="1569" t="s">
        <v>8</v>
      </c>
      <c r="S12" s="1570">
        <f t="shared" si="0"/>
        <v>104</v>
      </c>
      <c r="T12" s="1569" t="s">
        <v>8</v>
      </c>
      <c r="U12" s="1570">
        <f t="shared" si="1"/>
        <v>104</v>
      </c>
      <c r="V12" s="1569" t="s">
        <v>8</v>
      </c>
      <c r="W12" s="1570">
        <f t="shared" si="2"/>
        <v>104</v>
      </c>
      <c r="X12" s="1571"/>
      <c r="Y12" s="3296"/>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6"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69">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1.4">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41.4">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7" t="str">
        <f t="shared" ref="Q27" si="9">B27</f>
        <v>基础设施水平</v>
      </c>
      <c r="R27" s="1569" t="s">
        <v>8</v>
      </c>
      <c r="S27" s="1570">
        <f>F27</f>
        <v>100</v>
      </c>
      <c r="T27" s="1569" t="s">
        <v>8</v>
      </c>
      <c r="U27" s="1570">
        <f>H27</f>
        <v>100</v>
      </c>
      <c r="V27" s="1569" t="s">
        <v>8</v>
      </c>
      <c r="W27" s="1570">
        <f>J27</f>
        <v>100</v>
      </c>
      <c r="X27" s="1571"/>
      <c r="Y27" s="3385"/>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85"/>
      <c r="Q28" s="2557"/>
      <c r="R28" s="1569"/>
      <c r="S28" s="1570"/>
      <c r="T28" s="1569"/>
      <c r="U28" s="1570"/>
      <c r="V28" s="1569"/>
      <c r="W28" s="1570"/>
      <c r="X28" s="1571"/>
      <c r="Y28" s="3385"/>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8.8">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6"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4.4">
      <c r="A43" s="607" t="s">
        <v>556</v>
      </c>
      <c r="B43" s="608" t="s">
        <v>2931</v>
      </c>
      <c r="C43" s="609" t="s">
        <v>1</v>
      </c>
      <c r="D43" s="610"/>
      <c r="E43" s="611"/>
      <c r="F43" s="612"/>
      <c r="G43" s="613"/>
      <c r="H43" s="614"/>
      <c r="I43" s="611"/>
      <c r="J43" s="614"/>
      <c r="K43" s="1340"/>
      <c r="L43" s="2145"/>
      <c r="M43" s="2135"/>
      <c r="N43" s="2135"/>
      <c r="O43" s="2146"/>
      <c r="P43" s="3350" t="str">
        <f>A43</f>
        <v>成交单价</v>
      </c>
      <c r="Q43" s="3350"/>
      <c r="R43" s="3351">
        <f>E43</f>
        <v>0</v>
      </c>
      <c r="S43" s="3351"/>
      <c r="T43" s="3351">
        <f>G43</f>
        <v>0</v>
      </c>
      <c r="U43" s="3351"/>
      <c r="V43" s="3351">
        <f>I43</f>
        <v>0</v>
      </c>
      <c r="W43" s="3351"/>
      <c r="X43" s="1560"/>
      <c r="Y43" s="1582"/>
      <c r="Z43" s="1560"/>
      <c r="AA43" s="1560"/>
      <c r="AB43" s="1560"/>
      <c r="AC43" s="1560"/>
    </row>
    <row r="44" spans="1:29" ht="1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 thickBot="1">
      <c r="A45" s="621" t="s">
        <v>2932</v>
      </c>
      <c r="B45" s="622"/>
      <c r="C45" s="623" t="e">
        <f>R45</f>
        <v>#DIV/0!</v>
      </c>
      <c r="D45" s="623"/>
      <c r="E45" s="623"/>
      <c r="F45" s="623"/>
      <c r="G45" s="623"/>
      <c r="H45" s="623"/>
      <c r="I45" s="623"/>
      <c r="J45" s="623"/>
      <c r="K45" s="1342"/>
      <c r="L45" s="2145"/>
      <c r="M45" s="2135"/>
      <c r="N45" s="2135"/>
      <c r="O45" s="2146"/>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560</v>
      </c>
      <c r="B52" s="630" t="s">
        <v>561</v>
      </c>
      <c r="C52" s="1561" t="s">
        <v>1724</v>
      </c>
      <c r="D52" s="2228" t="s">
        <v>2293</v>
      </c>
      <c r="E52" s="631" t="s">
        <v>562</v>
      </c>
      <c r="F52" s="1952" t="s">
        <v>563</v>
      </c>
      <c r="G52" s="3394" t="s">
        <v>2284</v>
      </c>
      <c r="H52" s="3395"/>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564</v>
      </c>
      <c r="B53" s="634" t="e">
        <f>C45</f>
        <v>#DIV/0!</v>
      </c>
      <c r="C53" s="635">
        <v>1</v>
      </c>
      <c r="D53" s="2229">
        <v>1</v>
      </c>
      <c r="E53" s="635">
        <f>'数据-汇总表'!E8+'数据-汇总表'!E9</f>
        <v>33168.99</v>
      </c>
      <c r="F53" s="1951" t="e">
        <f t="shared" ref="F53:F62" si="15">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565</v>
      </c>
      <c r="B54" s="638" t="e">
        <f>ROUND($C$45*C54*D54,0)</f>
        <v>#DIV/0!</v>
      </c>
      <c r="C54" s="378">
        <f t="shared" ref="C54:C62" si="16">IF($C$52="北京市系数",I54,J54)</f>
        <v>0</v>
      </c>
      <c r="D54" s="2230">
        <v>0.25</v>
      </c>
      <c r="E54" s="639"/>
      <c r="F54" s="1951" t="e">
        <f t="shared" si="15"/>
        <v>#DIV/0!</v>
      </c>
      <c r="G54" s="3398"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2.2"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4.4">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4.4">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6">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6">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31.2">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6"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6"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09"/>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00" t="s">
        <v>2780</v>
      </c>
      <c r="X8" s="3401"/>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09"/>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399"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9"/>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399"/>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9"/>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399"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8" thickBot="1">
      <c r="A12" s="3408"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399"/>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0"/>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399"/>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10"/>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1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0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24.6" thickBot="1">
      <c r="A17" s="340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9.4"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9.4"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4">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4">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9.4"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4">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4">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6"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36">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3.2">
      <c r="A33" s="3414"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3.2">
      <c r="A34" s="3415"/>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3.2">
      <c r="A35" s="3415"/>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16"/>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3.2">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3.2">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8"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24">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4.4">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48">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60">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48">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36">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6"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4.4">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48">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60">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48">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36">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6"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4.4">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60">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60">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3.8">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36">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36.6"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4.4">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60">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3.8">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36">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48.6"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12" t="s">
        <v>1633</v>
      </c>
      <c r="B90" s="3412"/>
      <c r="C90" s="3412"/>
      <c r="D90" s="3412"/>
      <c r="E90" s="3412"/>
      <c r="F90" s="3412"/>
      <c r="G90" s="3412"/>
      <c r="H90" s="3412"/>
      <c r="I90" s="3412"/>
      <c r="J90" s="3412"/>
      <c r="K90" s="2429"/>
      <c r="L90" s="2429"/>
      <c r="M90" s="2429"/>
      <c r="N90" s="2429"/>
    </row>
    <row r="91" spans="1:40">
      <c r="A91" s="3413" t="s">
        <v>1443</v>
      </c>
      <c r="B91" s="3413" t="s">
        <v>1634</v>
      </c>
      <c r="C91" s="1140" t="s">
        <v>1635</v>
      </c>
      <c r="D91" s="1141"/>
      <c r="E91" s="1141"/>
      <c r="F91" s="1141"/>
      <c r="G91" s="1141"/>
      <c r="H91" s="1141"/>
      <c r="I91" s="1141"/>
      <c r="J91" s="1142"/>
      <c r="K91" s="1134"/>
      <c r="L91" s="1134"/>
      <c r="M91" s="1134"/>
      <c r="N91" s="1134"/>
    </row>
    <row r="92" spans="1:40">
      <c r="A92" s="3413"/>
      <c r="B92" s="3413"/>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402"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403"/>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403"/>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403"/>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403"/>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403"/>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403"/>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403"/>
      <c r="B108" s="340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4"/>
      <c r="B109" s="3406"/>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07" t="s">
        <v>1639</v>
      </c>
      <c r="B110" s="3407"/>
      <c r="C110" s="3407"/>
      <c r="D110" s="3407"/>
      <c r="E110" s="3407"/>
      <c r="F110" s="3407"/>
      <c r="G110" s="3407"/>
      <c r="H110" s="3407"/>
      <c r="I110" s="3407"/>
      <c r="J110" s="3407"/>
      <c r="K110" s="2427"/>
      <c r="L110" s="2427"/>
      <c r="M110" s="2427"/>
      <c r="N110" s="2427"/>
    </row>
    <row r="112" spans="1:14" ht="12.6" thickBot="1"/>
    <row r="113" spans="1:13" ht="25.8"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3.2">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3.2">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8"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3" t="s">
        <v>1007</v>
      </c>
      <c r="B18" s="1154" t="s">
        <v>1446</v>
      </c>
      <c r="C18" s="1131" t="s">
        <v>1447</v>
      </c>
      <c r="D18" s="1132"/>
      <c r="E18" s="1154">
        <v>1</v>
      </c>
      <c r="F18" s="1133" t="s">
        <v>1448</v>
      </c>
      <c r="G18" s="1134"/>
      <c r="H18" s="1105"/>
      <c r="I18" s="1105"/>
    </row>
    <row r="19" spans="1:9" s="1600" customFormat="1" ht="19.5" customHeight="1">
      <c r="A19" s="3413"/>
      <c r="B19" s="3413" t="s">
        <v>1449</v>
      </c>
      <c r="C19" s="1131" t="s">
        <v>1450</v>
      </c>
      <c r="D19" s="1132"/>
      <c r="E19" s="1154">
        <v>0.9</v>
      </c>
      <c r="F19" s="1133" t="s">
        <v>1451</v>
      </c>
      <c r="G19" s="1134"/>
      <c r="H19" s="1105"/>
      <c r="I19" s="1105"/>
    </row>
    <row r="20" spans="1:9" s="1600" customFormat="1" ht="19.5" customHeight="1">
      <c r="A20" s="3413"/>
      <c r="B20" s="3413"/>
      <c r="C20" s="1131" t="s">
        <v>1452</v>
      </c>
      <c r="D20" s="1132"/>
      <c r="E20" s="1154">
        <v>1.1000000000000001</v>
      </c>
      <c r="F20" s="1133" t="s">
        <v>1453</v>
      </c>
      <c r="G20" s="1134"/>
      <c r="H20" s="1105"/>
      <c r="I20" s="1105"/>
    </row>
    <row r="21" spans="1:9" s="1600" customFormat="1" ht="19.5" customHeight="1">
      <c r="A21" s="3413"/>
      <c r="B21" s="3413"/>
      <c r="C21" s="1131" t="s">
        <v>1454</v>
      </c>
      <c r="D21" s="1132"/>
      <c r="E21" s="1154">
        <v>0.8</v>
      </c>
      <c r="F21" s="1133" t="s">
        <v>1455</v>
      </c>
      <c r="G21" s="1134"/>
      <c r="H21" s="1105"/>
      <c r="I21" s="1105"/>
    </row>
    <row r="22" spans="1:9" s="1600" customFormat="1" ht="19.5" customHeight="1">
      <c r="A22" s="3413"/>
      <c r="B22" s="3413"/>
      <c r="C22" s="1131" t="s">
        <v>1456</v>
      </c>
      <c r="D22" s="1132"/>
      <c r="E22" s="1154">
        <v>0.5</v>
      </c>
      <c r="F22" s="1133"/>
      <c r="G22" s="1134"/>
      <c r="H22" s="1105"/>
      <c r="I22" s="1105"/>
    </row>
    <row r="23" spans="1:9" s="1600" customFormat="1" ht="19.5" customHeight="1">
      <c r="A23" s="3413" t="s">
        <v>1029</v>
      </c>
      <c r="B23" s="1154" t="s">
        <v>1446</v>
      </c>
      <c r="C23" s="1131" t="s">
        <v>1457</v>
      </c>
      <c r="D23" s="1132"/>
      <c r="E23" s="1154">
        <v>1</v>
      </c>
      <c r="F23" s="1133" t="s">
        <v>1458</v>
      </c>
      <c r="G23" s="1134"/>
      <c r="H23" s="1105"/>
      <c r="I23" s="1105"/>
    </row>
    <row r="24" spans="1:9" s="1600" customFormat="1" ht="19.5" customHeight="1">
      <c r="A24" s="3413"/>
      <c r="B24" s="3413" t="s">
        <v>1449</v>
      </c>
      <c r="C24" s="1131" t="s">
        <v>1459</v>
      </c>
      <c r="D24" s="1132"/>
      <c r="E24" s="1154">
        <v>0.5</v>
      </c>
      <c r="F24" s="1133"/>
      <c r="G24" s="1134"/>
      <c r="H24" s="1105"/>
      <c r="I24" s="1105"/>
    </row>
    <row r="25" spans="1:9" s="1600" customFormat="1" ht="19.5" customHeight="1">
      <c r="A25" s="3413"/>
      <c r="B25" s="3413"/>
      <c r="C25" s="1131" t="s">
        <v>1460</v>
      </c>
      <c r="D25" s="1132"/>
      <c r="E25" s="1154">
        <v>1.1000000000000001</v>
      </c>
      <c r="F25" s="1133"/>
      <c r="G25" s="1134"/>
      <c r="H25" s="1105"/>
      <c r="I25" s="1105"/>
    </row>
    <row r="26" spans="1:9" s="1600" customFormat="1" ht="19.5" customHeight="1">
      <c r="A26" s="3413"/>
      <c r="B26" s="3413"/>
      <c r="C26" s="1131" t="s">
        <v>1461</v>
      </c>
      <c r="D26" s="1132"/>
      <c r="E26" s="1154">
        <v>1.1000000000000001</v>
      </c>
      <c r="F26" s="1133"/>
      <c r="G26" s="1134"/>
      <c r="H26" s="1105"/>
      <c r="I26" s="1105"/>
    </row>
    <row r="27" spans="1:9" s="1600" customFormat="1" ht="19.5" customHeight="1">
      <c r="A27" s="3413"/>
      <c r="B27" s="3413"/>
      <c r="C27" s="1131" t="s">
        <v>1462</v>
      </c>
      <c r="D27" s="1132"/>
      <c r="E27" s="1154">
        <v>0.9</v>
      </c>
      <c r="F27" s="1133" t="s">
        <v>1463</v>
      </c>
      <c r="G27" s="1134"/>
      <c r="H27" s="1105"/>
      <c r="I27" s="1105"/>
    </row>
    <row r="28" spans="1:9" s="1600" customFormat="1" ht="19.5" customHeight="1">
      <c r="A28" s="3413"/>
      <c r="B28" s="3413"/>
      <c r="C28" s="1131" t="s">
        <v>1464</v>
      </c>
      <c r="D28" s="1132"/>
      <c r="E28" s="1154">
        <v>0.9</v>
      </c>
      <c r="F28" s="1133" t="s">
        <v>1465</v>
      </c>
      <c r="G28" s="1134"/>
      <c r="H28" s="1105"/>
      <c r="I28" s="1105"/>
    </row>
    <row r="29" spans="1:9" s="1600" customFormat="1" ht="19.5" customHeight="1">
      <c r="A29" s="3413"/>
      <c r="B29" s="3413"/>
      <c r="C29" s="1131" t="s">
        <v>1466</v>
      </c>
      <c r="D29" s="1132"/>
      <c r="E29" s="1154">
        <v>0.9</v>
      </c>
      <c r="F29" s="1133" t="s">
        <v>1467</v>
      </c>
      <c r="G29" s="1134"/>
      <c r="H29" s="1105"/>
      <c r="I29" s="1105"/>
    </row>
    <row r="30" spans="1:9" s="1600" customFormat="1" ht="19.5" customHeight="1">
      <c r="A30" s="3413"/>
      <c r="B30" s="3413"/>
      <c r="C30" s="1131" t="s">
        <v>1468</v>
      </c>
      <c r="D30" s="1132"/>
      <c r="E30" s="1154">
        <v>0.9</v>
      </c>
      <c r="F30" s="1133" t="s">
        <v>1469</v>
      </c>
      <c r="G30" s="1134"/>
      <c r="H30" s="1105"/>
      <c r="I30" s="1105"/>
    </row>
    <row r="31" spans="1:9" s="1600" customFormat="1" ht="19.5" customHeight="1">
      <c r="A31" s="3413"/>
      <c r="B31" s="3413"/>
      <c r="C31" s="1131" t="s">
        <v>1470</v>
      </c>
      <c r="D31" s="1132"/>
      <c r="E31" s="1154">
        <v>0.8</v>
      </c>
      <c r="F31" s="1133" t="s">
        <v>1471</v>
      </c>
      <c r="G31" s="1134"/>
      <c r="H31" s="1105"/>
      <c r="I31" s="1105"/>
    </row>
    <row r="32" spans="1:9" s="1600" customFormat="1" ht="19.5" customHeight="1">
      <c r="A32" s="3413"/>
      <c r="B32" s="3413"/>
      <c r="C32" s="1131" t="s">
        <v>1472</v>
      </c>
      <c r="D32" s="1132"/>
      <c r="E32" s="1154">
        <v>0.8</v>
      </c>
      <c r="F32" s="1133" t="s">
        <v>1473</v>
      </c>
      <c r="G32" s="1134"/>
      <c r="H32" s="1105"/>
      <c r="I32" s="1105"/>
    </row>
    <row r="33" spans="1:9" s="1600" customFormat="1" ht="19.5" customHeight="1">
      <c r="A33" s="3413" t="s">
        <v>1474</v>
      </c>
      <c r="B33" s="1154" t="s">
        <v>1446</v>
      </c>
      <c r="C33" s="1131" t="s">
        <v>1475</v>
      </c>
      <c r="D33" s="1132"/>
      <c r="E33" s="1154">
        <v>1</v>
      </c>
      <c r="F33" s="1133" t="s">
        <v>1476</v>
      </c>
      <c r="G33" s="1134"/>
      <c r="H33" s="1105"/>
      <c r="I33" s="1105"/>
    </row>
    <row r="34" spans="1:9" s="1600" customFormat="1" ht="19.5" customHeight="1">
      <c r="A34" s="3413"/>
      <c r="B34" s="1154" t="s">
        <v>1449</v>
      </c>
      <c r="C34" s="1131" t="s">
        <v>1477</v>
      </c>
      <c r="D34" s="1132"/>
      <c r="E34" s="1154">
        <v>1.5</v>
      </c>
      <c r="F34" s="1133" t="s">
        <v>1478</v>
      </c>
      <c r="G34" s="1134"/>
      <c r="H34" s="1105"/>
      <c r="I34" s="1105"/>
    </row>
    <row r="35" spans="1:9" s="1600" customFormat="1" ht="19.5" customHeight="1">
      <c r="A35" s="3413" t="s">
        <v>1432</v>
      </c>
      <c r="B35" s="1154" t="s">
        <v>1446</v>
      </c>
      <c r="C35" s="1131" t="s">
        <v>1479</v>
      </c>
      <c r="D35" s="1132"/>
      <c r="E35" s="1154">
        <v>1</v>
      </c>
      <c r="F35" s="1133" t="s">
        <v>1480</v>
      </c>
      <c r="G35" s="1134"/>
      <c r="H35" s="1105"/>
      <c r="I35" s="1105"/>
    </row>
    <row r="36" spans="1:9" s="1600" customFormat="1" ht="19.5" customHeight="1">
      <c r="A36" s="3413"/>
      <c r="B36" s="3413" t="s">
        <v>1449</v>
      </c>
      <c r="C36" s="1131" t="s">
        <v>1481</v>
      </c>
      <c r="D36" s="1132"/>
      <c r="E36" s="1154">
        <v>1</v>
      </c>
      <c r="F36" s="1133" t="s">
        <v>1482</v>
      </c>
      <c r="G36" s="1134"/>
      <c r="H36" s="1105"/>
      <c r="I36" s="1105"/>
    </row>
    <row r="37" spans="1:9" s="1600" customFormat="1" ht="19.5" customHeight="1">
      <c r="A37" s="3413"/>
      <c r="B37" s="3413"/>
      <c r="C37" s="1131" t="s">
        <v>1483</v>
      </c>
      <c r="D37" s="1132"/>
      <c r="E37" s="1154">
        <v>1.5</v>
      </c>
      <c r="F37" s="1133" t="s">
        <v>1484</v>
      </c>
      <c r="G37" s="1134"/>
      <c r="H37" s="1105"/>
      <c r="I37" s="1105"/>
    </row>
    <row r="38" spans="1:9" s="1600" customFormat="1" ht="19.5" customHeight="1">
      <c r="A38" s="3413"/>
      <c r="B38" s="3413"/>
      <c r="C38" s="1131" t="s">
        <v>1485</v>
      </c>
      <c r="D38" s="1132"/>
      <c r="E38" s="1154">
        <v>1</v>
      </c>
      <c r="F38" s="1133" t="s">
        <v>1486</v>
      </c>
      <c r="G38" s="1134"/>
      <c r="H38" s="1105"/>
      <c r="I38" s="1105"/>
    </row>
    <row r="39" spans="1:9" s="1600" customFormat="1" ht="19.5" customHeight="1">
      <c r="A39" s="3413"/>
      <c r="B39" s="341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13" t="s">
        <v>1501</v>
      </c>
      <c r="C61" s="1068" t="s">
        <v>1502</v>
      </c>
      <c r="D61" s="1068" t="s">
        <v>1503</v>
      </c>
      <c r="E61" s="1139">
        <v>0.5</v>
      </c>
      <c r="F61" s="1154">
        <v>80</v>
      </c>
      <c r="H61" s="1105">
        <f>SUMIF(C59:C119,基准地价!C8,E59:E119)</f>
        <v>0</v>
      </c>
    </row>
    <row r="62" spans="1:8" s="1105" customFormat="1" ht="36">
      <c r="A62" s="1154">
        <v>2</v>
      </c>
      <c r="B62" s="3413"/>
      <c r="C62" s="1068" t="s">
        <v>1504</v>
      </c>
      <c r="D62" s="1068" t="s">
        <v>1505</v>
      </c>
      <c r="E62" s="1139">
        <v>0.5</v>
      </c>
      <c r="F62" s="1154">
        <v>80</v>
      </c>
    </row>
    <row r="63" spans="1:8" s="1105" customFormat="1" ht="48">
      <c r="A63" s="1154">
        <v>3</v>
      </c>
      <c r="B63" s="3413"/>
      <c r="C63" s="1068" t="s">
        <v>1506</v>
      </c>
      <c r="D63" s="1068" t="s">
        <v>1507</v>
      </c>
      <c r="E63" s="1139">
        <v>0.5</v>
      </c>
      <c r="F63" s="1154">
        <v>80</v>
      </c>
    </row>
    <row r="64" spans="1:8" s="1105" customFormat="1" ht="48">
      <c r="A64" s="1154">
        <v>4</v>
      </c>
      <c r="B64" s="3413"/>
      <c r="C64" s="1068" t="s">
        <v>1508</v>
      </c>
      <c r="D64" s="1068" t="s">
        <v>1509</v>
      </c>
      <c r="E64" s="1139">
        <v>0.4</v>
      </c>
      <c r="F64" s="1154">
        <v>60</v>
      </c>
    </row>
    <row r="65" spans="1:6" s="1105" customFormat="1" ht="48">
      <c r="A65" s="1154">
        <v>5</v>
      </c>
      <c r="B65" s="3413"/>
      <c r="C65" s="1068" t="s">
        <v>1510</v>
      </c>
      <c r="D65" s="1068" t="s">
        <v>1511</v>
      </c>
      <c r="E65" s="1139">
        <v>0.2</v>
      </c>
      <c r="F65" s="1154">
        <v>30</v>
      </c>
    </row>
    <row r="66" spans="1:6" s="1105" customFormat="1" ht="48">
      <c r="A66" s="1154">
        <v>6</v>
      </c>
      <c r="B66" s="3413"/>
      <c r="C66" s="1068" t="s">
        <v>1512</v>
      </c>
      <c r="D66" s="1068" t="s">
        <v>1513</v>
      </c>
      <c r="E66" s="1139">
        <v>0.3</v>
      </c>
      <c r="F66" s="1154">
        <v>50</v>
      </c>
    </row>
    <row r="67" spans="1:6" s="1105" customFormat="1" ht="48">
      <c r="A67" s="1154">
        <v>7</v>
      </c>
      <c r="B67" s="3413"/>
      <c r="C67" s="1068" t="s">
        <v>1514</v>
      </c>
      <c r="D67" s="1068" t="s">
        <v>1515</v>
      </c>
      <c r="E67" s="1139">
        <v>0.2</v>
      </c>
      <c r="F67" s="1154">
        <v>30</v>
      </c>
    </row>
    <row r="68" spans="1:6" s="1105" customFormat="1" ht="48">
      <c r="A68" s="1154">
        <v>8</v>
      </c>
      <c r="B68" s="3413"/>
      <c r="C68" s="1068" t="s">
        <v>1516</v>
      </c>
      <c r="D68" s="1068" t="s">
        <v>1517</v>
      </c>
      <c r="E68" s="1139">
        <v>0.2</v>
      </c>
      <c r="F68" s="1154">
        <v>30</v>
      </c>
    </row>
    <row r="69" spans="1:6" s="1105" customFormat="1" ht="48">
      <c r="A69" s="1154">
        <v>9</v>
      </c>
      <c r="B69" s="3413"/>
      <c r="C69" s="1068" t="s">
        <v>1518</v>
      </c>
      <c r="D69" s="1068" t="s">
        <v>1519</v>
      </c>
      <c r="E69" s="1139">
        <v>0.2</v>
      </c>
      <c r="F69" s="1154">
        <v>30</v>
      </c>
    </row>
    <row r="70" spans="1:6" s="1105" customFormat="1" ht="60">
      <c r="A70" s="1154">
        <v>10</v>
      </c>
      <c r="B70" s="3413"/>
      <c r="C70" s="1068" t="s">
        <v>1520</v>
      </c>
      <c r="D70" s="1068" t="s">
        <v>1521</v>
      </c>
      <c r="E70" s="1139">
        <v>0.2</v>
      </c>
      <c r="F70" s="1154">
        <v>30</v>
      </c>
    </row>
    <row r="71" spans="1:6" s="1105" customFormat="1" ht="60">
      <c r="A71" s="1154">
        <v>11</v>
      </c>
      <c r="B71" s="3413"/>
      <c r="C71" s="1068" t="s">
        <v>1522</v>
      </c>
      <c r="D71" s="1068" t="s">
        <v>1523</v>
      </c>
      <c r="E71" s="1139">
        <v>0.2</v>
      </c>
      <c r="F71" s="1154">
        <v>30</v>
      </c>
    </row>
    <row r="72" spans="1:6" s="1105" customFormat="1" ht="36">
      <c r="A72" s="1154">
        <v>12</v>
      </c>
      <c r="B72" s="3413"/>
      <c r="C72" s="1068" t="s">
        <v>1524</v>
      </c>
      <c r="D72" s="1068" t="s">
        <v>1525</v>
      </c>
      <c r="E72" s="1139">
        <v>0.5</v>
      </c>
      <c r="F72" s="1154">
        <v>80</v>
      </c>
    </row>
    <row r="73" spans="1:6" s="1105" customFormat="1" ht="36">
      <c r="A73" s="1154">
        <v>13</v>
      </c>
      <c r="B73" s="3413"/>
      <c r="C73" s="1068" t="s">
        <v>1526</v>
      </c>
      <c r="D73" s="1068" t="s">
        <v>1527</v>
      </c>
      <c r="E73" s="1139">
        <v>0.4</v>
      </c>
      <c r="F73" s="1154">
        <v>60</v>
      </c>
    </row>
    <row r="74" spans="1:6" s="1105" customFormat="1" ht="36">
      <c r="A74" s="1154">
        <v>14</v>
      </c>
      <c r="B74" s="3413"/>
      <c r="C74" s="1068" t="s">
        <v>1528</v>
      </c>
      <c r="D74" s="1068" t="s">
        <v>1529</v>
      </c>
      <c r="E74" s="1139">
        <v>0.2</v>
      </c>
      <c r="F74" s="1154">
        <v>30</v>
      </c>
    </row>
    <row r="75" spans="1:6" s="1105" customFormat="1" ht="36">
      <c r="A75" s="1154">
        <v>15</v>
      </c>
      <c r="B75" s="3413"/>
      <c r="C75" s="1068" t="s">
        <v>1530</v>
      </c>
      <c r="D75" s="1068" t="s">
        <v>1531</v>
      </c>
      <c r="E75" s="1139">
        <v>0.2</v>
      </c>
      <c r="F75" s="1154">
        <v>30</v>
      </c>
    </row>
    <row r="76" spans="1:6" s="1105" customFormat="1" ht="36">
      <c r="A76" s="1154">
        <v>16</v>
      </c>
      <c r="B76" s="3413" t="s">
        <v>1532</v>
      </c>
      <c r="C76" s="1068" t="s">
        <v>1533</v>
      </c>
      <c r="D76" s="1068" t="s">
        <v>1534</v>
      </c>
      <c r="E76" s="1139">
        <v>0.5</v>
      </c>
      <c r="F76" s="1154">
        <v>80</v>
      </c>
    </row>
    <row r="77" spans="1:6" s="1105" customFormat="1" ht="36">
      <c r="A77" s="1154">
        <v>17</v>
      </c>
      <c r="B77" s="3413"/>
      <c r="C77" s="1068" t="s">
        <v>1535</v>
      </c>
      <c r="D77" s="1068" t="s">
        <v>1536</v>
      </c>
      <c r="E77" s="1139">
        <v>0.5</v>
      </c>
      <c r="F77" s="1154">
        <v>80</v>
      </c>
    </row>
    <row r="78" spans="1:6" s="1105" customFormat="1" ht="36">
      <c r="A78" s="1154">
        <v>18</v>
      </c>
      <c r="B78" s="3413"/>
      <c r="C78" s="1068" t="s">
        <v>1537</v>
      </c>
      <c r="D78" s="1068" t="s">
        <v>1538</v>
      </c>
      <c r="E78" s="1139">
        <v>0.2</v>
      </c>
      <c r="F78" s="1154">
        <v>30</v>
      </c>
    </row>
    <row r="79" spans="1:6" s="1105" customFormat="1" ht="36">
      <c r="A79" s="1154">
        <v>19</v>
      </c>
      <c r="B79" s="3413"/>
      <c r="C79" s="1068" t="s">
        <v>1539</v>
      </c>
      <c r="D79" s="1068" t="s">
        <v>1540</v>
      </c>
      <c r="E79" s="1139">
        <v>0.5</v>
      </c>
      <c r="F79" s="1154">
        <v>80</v>
      </c>
    </row>
    <row r="80" spans="1:6" s="1105" customFormat="1" ht="36">
      <c r="A80" s="1154">
        <v>20</v>
      </c>
      <c r="B80" s="3413"/>
      <c r="C80" s="1068" t="s">
        <v>1541</v>
      </c>
      <c r="D80" s="1068" t="s">
        <v>1542</v>
      </c>
      <c r="E80" s="1139">
        <v>0.2</v>
      </c>
      <c r="F80" s="1154">
        <v>30</v>
      </c>
    </row>
    <row r="81" spans="1:6" s="1105" customFormat="1" ht="36">
      <c r="A81" s="1154">
        <v>21</v>
      </c>
      <c r="B81" s="3413"/>
      <c r="C81" s="1068" t="s">
        <v>1543</v>
      </c>
      <c r="D81" s="1068" t="s">
        <v>1544</v>
      </c>
      <c r="E81" s="1139">
        <v>0.2</v>
      </c>
      <c r="F81" s="1154">
        <v>30</v>
      </c>
    </row>
    <row r="82" spans="1:6" s="1105" customFormat="1" ht="60">
      <c r="A82" s="1154">
        <v>22</v>
      </c>
      <c r="B82" s="3413"/>
      <c r="C82" s="1068" t="s">
        <v>1545</v>
      </c>
      <c r="D82" s="1068" t="s">
        <v>1546</v>
      </c>
      <c r="E82" s="1139">
        <v>0.2</v>
      </c>
      <c r="F82" s="1154">
        <v>30</v>
      </c>
    </row>
    <row r="83" spans="1:6" s="1105" customFormat="1" ht="60">
      <c r="A83" s="1154">
        <v>23</v>
      </c>
      <c r="B83" s="3413"/>
      <c r="C83" s="1068" t="s">
        <v>1547</v>
      </c>
      <c r="D83" s="1068" t="s">
        <v>1548</v>
      </c>
      <c r="E83" s="1139">
        <v>0.2</v>
      </c>
      <c r="F83" s="1154">
        <v>30</v>
      </c>
    </row>
    <row r="84" spans="1:6" s="1105" customFormat="1" ht="48">
      <c r="A84" s="1154">
        <v>24</v>
      </c>
      <c r="B84" s="3413"/>
      <c r="C84" s="1068" t="s">
        <v>1549</v>
      </c>
      <c r="D84" s="1068" t="s">
        <v>1550</v>
      </c>
      <c r="E84" s="1139">
        <v>0.2</v>
      </c>
      <c r="F84" s="1154">
        <v>30</v>
      </c>
    </row>
    <row r="85" spans="1:6" s="1105" customFormat="1" ht="36">
      <c r="A85" s="1154">
        <v>25</v>
      </c>
      <c r="B85" s="3413"/>
      <c r="C85" s="1068" t="s">
        <v>1551</v>
      </c>
      <c r="D85" s="1068" t="s">
        <v>1552</v>
      </c>
      <c r="E85" s="1139">
        <v>0.5</v>
      </c>
      <c r="F85" s="1154">
        <v>80</v>
      </c>
    </row>
    <row r="86" spans="1:6" s="1105" customFormat="1" ht="36">
      <c r="A86" s="1154">
        <v>26</v>
      </c>
      <c r="B86" s="3413"/>
      <c r="C86" s="1068" t="s">
        <v>1553</v>
      </c>
      <c r="D86" s="1068" t="s">
        <v>1554</v>
      </c>
      <c r="E86" s="1139">
        <v>0.2</v>
      </c>
      <c r="F86" s="1154">
        <v>30</v>
      </c>
    </row>
    <row r="87" spans="1:6" s="1105" customFormat="1" ht="36">
      <c r="A87" s="1154">
        <v>27</v>
      </c>
      <c r="B87" s="3413"/>
      <c r="C87" s="1068" t="s">
        <v>1555</v>
      </c>
      <c r="D87" s="1068" t="s">
        <v>1556</v>
      </c>
      <c r="E87" s="1139">
        <v>0.2</v>
      </c>
      <c r="F87" s="1154">
        <v>30</v>
      </c>
    </row>
    <row r="88" spans="1:6" s="1105" customFormat="1" ht="36">
      <c r="A88" s="1154">
        <v>28</v>
      </c>
      <c r="B88" s="3413"/>
      <c r="C88" s="1068" t="s">
        <v>1557</v>
      </c>
      <c r="D88" s="1068" t="s">
        <v>1558</v>
      </c>
      <c r="E88" s="1139">
        <v>0.2</v>
      </c>
      <c r="F88" s="1154">
        <v>30</v>
      </c>
    </row>
    <row r="89" spans="1:6" s="1105" customFormat="1" ht="36">
      <c r="A89" s="1154">
        <v>29</v>
      </c>
      <c r="B89" s="3413"/>
      <c r="C89" s="1068" t="s">
        <v>1559</v>
      </c>
      <c r="D89" s="1068" t="s">
        <v>1560</v>
      </c>
      <c r="E89" s="1139">
        <v>0.2</v>
      </c>
      <c r="F89" s="1154">
        <v>30</v>
      </c>
    </row>
    <row r="90" spans="1:6" s="1105" customFormat="1" ht="36">
      <c r="A90" s="1154">
        <v>30</v>
      </c>
      <c r="B90" s="3413"/>
      <c r="C90" s="1068" t="s">
        <v>1561</v>
      </c>
      <c r="D90" s="1068" t="s">
        <v>1562</v>
      </c>
      <c r="E90" s="1139">
        <v>0.2</v>
      </c>
      <c r="F90" s="1154">
        <v>30</v>
      </c>
    </row>
    <row r="91" spans="1:6" s="1105" customFormat="1" ht="48">
      <c r="A91" s="1154">
        <v>31</v>
      </c>
      <c r="B91" s="3413"/>
      <c r="C91" s="1068" t="s">
        <v>1563</v>
      </c>
      <c r="D91" s="1068" t="s">
        <v>1564</v>
      </c>
      <c r="E91" s="1139">
        <v>0.2</v>
      </c>
      <c r="F91" s="1154">
        <v>30</v>
      </c>
    </row>
    <row r="92" spans="1:6" s="1105" customFormat="1" ht="36">
      <c r="A92" s="1154">
        <v>32</v>
      </c>
      <c r="B92" s="3413" t="s">
        <v>1565</v>
      </c>
      <c r="C92" s="1154" t="s">
        <v>1566</v>
      </c>
      <c r="D92" s="1068" t="s">
        <v>1567</v>
      </c>
      <c r="E92" s="1139">
        <v>0.2</v>
      </c>
      <c r="F92" s="1154">
        <v>30</v>
      </c>
    </row>
    <row r="93" spans="1:6" s="1105" customFormat="1" ht="36">
      <c r="A93" s="1154">
        <v>33</v>
      </c>
      <c r="B93" s="3413"/>
      <c r="C93" s="1154" t="s">
        <v>1568</v>
      </c>
      <c r="D93" s="1068" t="s">
        <v>1569</v>
      </c>
      <c r="E93" s="1139">
        <v>0.2</v>
      </c>
      <c r="F93" s="1154">
        <v>30</v>
      </c>
    </row>
    <row r="94" spans="1:6" s="1105" customFormat="1" ht="60">
      <c r="A94" s="1154">
        <v>34</v>
      </c>
      <c r="B94" s="3413"/>
      <c r="C94" s="1154" t="s">
        <v>1570</v>
      </c>
      <c r="D94" s="1068" t="s">
        <v>1571</v>
      </c>
      <c r="E94" s="1139">
        <v>0.2</v>
      </c>
      <c r="F94" s="1154">
        <v>30</v>
      </c>
    </row>
    <row r="95" spans="1:6" s="1105" customFormat="1" ht="48">
      <c r="A95" s="1154">
        <v>35</v>
      </c>
      <c r="B95" s="3413"/>
      <c r="C95" s="1154" t="s">
        <v>1572</v>
      </c>
      <c r="D95" s="1068" t="s">
        <v>1573</v>
      </c>
      <c r="E95" s="1139">
        <v>0.2</v>
      </c>
      <c r="F95" s="1154">
        <v>30</v>
      </c>
    </row>
    <row r="96" spans="1:6" s="1105" customFormat="1" ht="72">
      <c r="A96" s="1154">
        <v>36</v>
      </c>
      <c r="B96" s="3413"/>
      <c r="C96" s="1068" t="s">
        <v>1574</v>
      </c>
      <c r="D96" s="1068" t="s">
        <v>1575</v>
      </c>
      <c r="E96" s="1139">
        <v>0.2</v>
      </c>
      <c r="F96" s="1154">
        <v>30</v>
      </c>
    </row>
    <row r="97" spans="1:6" s="1105" customFormat="1" ht="36">
      <c r="A97" s="1154">
        <v>37</v>
      </c>
      <c r="B97" s="3413"/>
      <c r="C97" s="1154" t="s">
        <v>1576</v>
      </c>
      <c r="D97" s="1068" t="s">
        <v>1577</v>
      </c>
      <c r="E97" s="1139">
        <v>0.2</v>
      </c>
      <c r="F97" s="1154">
        <v>30</v>
      </c>
    </row>
    <row r="98" spans="1:6" s="1105" customFormat="1" ht="36">
      <c r="A98" s="1154">
        <v>38</v>
      </c>
      <c r="B98" s="3413"/>
      <c r="C98" s="1154" t="s">
        <v>1578</v>
      </c>
      <c r="D98" s="1068" t="s">
        <v>1579</v>
      </c>
      <c r="E98" s="1139">
        <v>0.2</v>
      </c>
      <c r="F98" s="1154">
        <v>30</v>
      </c>
    </row>
    <row r="99" spans="1:6" s="1105" customFormat="1" ht="36">
      <c r="A99" s="1154">
        <v>39</v>
      </c>
      <c r="B99" s="3413" t="s">
        <v>1580</v>
      </c>
      <c r="C99" s="1154" t="s">
        <v>1581</v>
      </c>
      <c r="D99" s="1068" t="s">
        <v>1582</v>
      </c>
      <c r="E99" s="1139">
        <v>0.3</v>
      </c>
      <c r="F99" s="1154">
        <v>50</v>
      </c>
    </row>
    <row r="100" spans="1:6" s="1105" customFormat="1" ht="36">
      <c r="A100" s="1154">
        <v>40</v>
      </c>
      <c r="B100" s="3413"/>
      <c r="C100" s="1154" t="s">
        <v>1583</v>
      </c>
      <c r="D100" s="1068" t="s">
        <v>1584</v>
      </c>
      <c r="E100" s="1139">
        <v>0.2</v>
      </c>
      <c r="F100" s="1154">
        <v>30</v>
      </c>
    </row>
    <row r="101" spans="1:6" s="1105" customFormat="1" ht="36">
      <c r="A101" s="1154">
        <v>41</v>
      </c>
      <c r="B101" s="3413"/>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13" t="s">
        <v>1595</v>
      </c>
      <c r="C105" s="1154" t="s">
        <v>1596</v>
      </c>
      <c r="D105" s="1068" t="s">
        <v>1597</v>
      </c>
      <c r="E105" s="1139">
        <v>0.2</v>
      </c>
      <c r="F105" s="1154">
        <v>30</v>
      </c>
    </row>
    <row r="106" spans="1:6" s="1105" customFormat="1" ht="48">
      <c r="A106" s="1154">
        <v>46</v>
      </c>
      <c r="B106" s="3413"/>
      <c r="C106" s="1154" t="s">
        <v>1598</v>
      </c>
      <c r="D106" s="1068" t="s">
        <v>1599</v>
      </c>
      <c r="E106" s="1139">
        <v>0.2</v>
      </c>
      <c r="F106" s="1154">
        <v>30</v>
      </c>
    </row>
    <row r="107" spans="1:6" s="1105" customFormat="1" ht="36">
      <c r="A107" s="1154">
        <v>47</v>
      </c>
      <c r="B107" s="3413" t="s">
        <v>1600</v>
      </c>
      <c r="C107" s="1154" t="s">
        <v>1601</v>
      </c>
      <c r="D107" s="1068" t="s">
        <v>1602</v>
      </c>
      <c r="E107" s="1139">
        <v>0.3</v>
      </c>
      <c r="F107" s="1154">
        <v>50</v>
      </c>
    </row>
    <row r="108" spans="1:6" s="1105" customFormat="1" ht="48">
      <c r="A108" s="1154">
        <v>48</v>
      </c>
      <c r="B108" s="341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13" t="s">
        <v>1611</v>
      </c>
      <c r="C111" s="1154" t="s">
        <v>1612</v>
      </c>
      <c r="D111" s="1068" t="s">
        <v>1613</v>
      </c>
      <c r="E111" s="1139">
        <v>0.2</v>
      </c>
      <c r="F111" s="1154">
        <v>30</v>
      </c>
    </row>
    <row r="112" spans="1:6" s="1105" customFormat="1" ht="36">
      <c r="A112" s="1154">
        <v>52</v>
      </c>
      <c r="B112" s="3413"/>
      <c r="C112" s="1154" t="s">
        <v>1614</v>
      </c>
      <c r="D112" s="1068" t="s">
        <v>1615</v>
      </c>
      <c r="E112" s="1139">
        <v>0.2</v>
      </c>
      <c r="F112" s="1154">
        <v>30</v>
      </c>
    </row>
    <row r="113" spans="1:14" s="1105" customFormat="1" ht="36">
      <c r="A113" s="1154">
        <v>53</v>
      </c>
      <c r="B113" s="3413"/>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13" t="s">
        <v>1624</v>
      </c>
      <c r="C116" s="1154" t="s">
        <v>1625</v>
      </c>
      <c r="D116" s="1068" t="s">
        <v>1626</v>
      </c>
      <c r="E116" s="1139">
        <v>0.2</v>
      </c>
      <c r="F116" s="1154">
        <v>30</v>
      </c>
    </row>
    <row r="117" spans="1:14" ht="36">
      <c r="A117" s="1154">
        <v>57</v>
      </c>
      <c r="B117" s="341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12" t="s">
        <v>1633</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17" t="s">
        <v>1039</v>
      </c>
      <c r="B1" s="3417"/>
      <c r="C1" s="3417"/>
      <c r="D1" s="3417"/>
      <c r="E1" s="3417"/>
      <c r="F1" s="341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18" t="s">
        <v>1052</v>
      </c>
      <c r="B2" s="3418"/>
      <c r="C2" s="3418"/>
      <c r="D2" s="3418"/>
      <c r="E2" s="3418"/>
      <c r="F2" s="341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1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21" t="s">
        <v>2079</v>
      </c>
      <c r="B1" s="3421"/>
    </row>
    <row r="2" spans="1:6" ht="15" thickBot="1">
      <c r="A2" s="1852"/>
      <c r="B2" s="1852"/>
    </row>
    <row r="3" spans="1:6" ht="15" thickBot="1">
      <c r="A3" s="1852"/>
      <c r="B3" s="1852"/>
      <c r="C3" s="1853" t="s">
        <v>2080</v>
      </c>
      <c r="D3" s="1853" t="s">
        <v>2081</v>
      </c>
      <c r="E3" s="1853" t="s">
        <v>2082</v>
      </c>
      <c r="F3" s="1853" t="s">
        <v>2083</v>
      </c>
    </row>
    <row r="4" spans="1:6" ht="15" thickBot="1">
      <c r="A4" s="1854" t="s">
        <v>2084</v>
      </c>
      <c r="B4" s="1855" t="s">
        <v>2085</v>
      </c>
      <c r="C4" s="1853"/>
      <c r="D4" s="1853"/>
      <c r="E4" s="1853"/>
      <c r="F4" s="1853"/>
    </row>
    <row r="5" spans="1:6" ht="15" thickBot="1">
      <c r="A5" s="1856" t="s">
        <v>2086</v>
      </c>
      <c r="B5" s="1857" t="s">
        <v>2087</v>
      </c>
      <c r="C5" s="1858">
        <v>8.8999999999999996E-2</v>
      </c>
      <c r="D5" s="1858">
        <v>7.3999999999999996E-2</v>
      </c>
      <c r="E5" s="1858">
        <v>7.4999999999999997E-2</v>
      </c>
      <c r="F5" s="1859">
        <v>0.1</v>
      </c>
    </row>
    <row r="6" spans="1:6" ht="15" thickBot="1">
      <c r="A6" s="1856" t="s">
        <v>1096</v>
      </c>
      <c r="B6" s="1860" t="s">
        <v>2088</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2089</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2090</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2091</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2092</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2093</v>
      </c>
      <c r="C72" s="1870"/>
      <c r="D72" s="1870"/>
      <c r="E72" s="1870"/>
      <c r="F72" s="1862">
        <v>0.05</v>
      </c>
    </row>
    <row r="73" spans="1:6" ht="24.6" thickBot="1">
      <c r="A73" s="1856" t="s">
        <v>924</v>
      </c>
      <c r="B73" s="1860" t="s">
        <v>2094</v>
      </c>
      <c r="C73" s="1870"/>
      <c r="D73" s="1870"/>
      <c r="E73" s="1870"/>
      <c r="F73" s="1862">
        <v>0.05</v>
      </c>
    </row>
    <row r="74" spans="1:6" ht="24.6" thickBot="1">
      <c r="A74" s="1856" t="s">
        <v>924</v>
      </c>
      <c r="B74" s="1860" t="s">
        <v>2095</v>
      </c>
      <c r="C74" s="1870"/>
      <c r="D74" s="1870"/>
      <c r="E74" s="1870"/>
      <c r="F74" s="1862">
        <v>0.05</v>
      </c>
    </row>
    <row r="75" spans="1:6" ht="24.6" thickBot="1">
      <c r="A75" s="1864" t="s">
        <v>924</v>
      </c>
      <c r="B75" s="1871" t="s">
        <v>2096</v>
      </c>
      <c r="C75" s="1867"/>
      <c r="D75" s="1867"/>
      <c r="E75" s="1867"/>
      <c r="F75" s="1872">
        <v>0.05</v>
      </c>
    </row>
    <row r="76" spans="1:6" ht="15" thickBot="1">
      <c r="A76" s="1856" t="s">
        <v>1407</v>
      </c>
      <c r="B76" s="1857" t="s">
        <v>2097</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2098</v>
      </c>
      <c r="C102" s="1870"/>
      <c r="D102" s="1870"/>
      <c r="E102" s="1870"/>
      <c r="F102" s="1862">
        <v>0.05</v>
      </c>
    </row>
    <row r="103" spans="1:6" ht="24.6" thickBot="1">
      <c r="A103" s="1856" t="s">
        <v>1407</v>
      </c>
      <c r="B103" s="1860" t="s">
        <v>2099</v>
      </c>
      <c r="C103" s="1870"/>
      <c r="D103" s="1870"/>
      <c r="E103" s="1870"/>
      <c r="F103" s="1862">
        <v>0.05</v>
      </c>
    </row>
    <row r="104" spans="1:6" ht="15" thickBot="1">
      <c r="A104" s="1856" t="s">
        <v>1407</v>
      </c>
      <c r="B104" s="1860" t="s">
        <v>2100</v>
      </c>
      <c r="C104" s="1870"/>
      <c r="D104" s="1870"/>
      <c r="E104" s="1870"/>
      <c r="F104" s="1862">
        <v>0.05</v>
      </c>
    </row>
    <row r="105" spans="1:6" ht="24.6" thickBot="1">
      <c r="A105" s="1856" t="s">
        <v>1407</v>
      </c>
      <c r="B105" s="1860" t="s">
        <v>2101</v>
      </c>
      <c r="C105" s="1870"/>
      <c r="D105" s="1870"/>
      <c r="E105" s="1870"/>
      <c r="F105" s="1862">
        <v>0.05</v>
      </c>
    </row>
    <row r="106" spans="1:6" ht="24.6" thickBot="1">
      <c r="A106" s="1856" t="s">
        <v>1407</v>
      </c>
      <c r="B106" s="1860" t="s">
        <v>2102</v>
      </c>
      <c r="C106" s="1870"/>
      <c r="D106" s="1870"/>
      <c r="E106" s="1870"/>
      <c r="F106" s="1862">
        <v>0.05</v>
      </c>
    </row>
    <row r="107" spans="1:6" ht="24.6" thickBot="1">
      <c r="A107" s="1856" t="s">
        <v>1407</v>
      </c>
      <c r="B107" s="1860" t="s">
        <v>2103</v>
      </c>
      <c r="C107" s="1870"/>
      <c r="D107" s="1870"/>
      <c r="E107" s="1870"/>
      <c r="F107" s="1862">
        <v>0.05</v>
      </c>
    </row>
    <row r="108" spans="1:6" ht="24.6" thickBot="1">
      <c r="A108" s="1856" t="s">
        <v>1407</v>
      </c>
      <c r="B108" s="1860" t="s">
        <v>2104</v>
      </c>
      <c r="C108" s="1870"/>
      <c r="D108" s="1870"/>
      <c r="E108" s="1870"/>
      <c r="F108" s="1862">
        <v>0.05</v>
      </c>
    </row>
    <row r="109" spans="1:6" ht="24.6" thickBot="1">
      <c r="A109" s="1864" t="s">
        <v>1407</v>
      </c>
      <c r="B109" s="1871" t="s">
        <v>2105</v>
      </c>
      <c r="C109" s="1867"/>
      <c r="D109" s="1867"/>
      <c r="E109" s="1867"/>
      <c r="F109" s="1872">
        <v>0.05</v>
      </c>
    </row>
    <row r="110" spans="1:6" ht="15" thickBot="1">
      <c r="A110" s="1856" t="s">
        <v>1409</v>
      </c>
      <c r="B110" s="1857" t="s">
        <v>2106</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2107</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2108</v>
      </c>
      <c r="C138" s="1861">
        <v>0.105</v>
      </c>
      <c r="D138" s="1861">
        <v>0.125</v>
      </c>
      <c r="E138" s="1861">
        <v>0.112</v>
      </c>
      <c r="F138" s="1869"/>
    </row>
    <row r="139" spans="1:6" ht="15" thickBot="1">
      <c r="A139" s="1856" t="s">
        <v>1409</v>
      </c>
      <c r="B139" s="1860" t="s">
        <v>2109</v>
      </c>
      <c r="C139" s="1861">
        <v>0.127</v>
      </c>
      <c r="D139" s="1861">
        <v>0.127</v>
      </c>
      <c r="E139" s="1861">
        <v>0.122</v>
      </c>
      <c r="F139" s="1862">
        <v>0.13</v>
      </c>
    </row>
    <row r="140" spans="1:6" ht="15" thickBot="1">
      <c r="A140" s="1856" t="s">
        <v>1409</v>
      </c>
      <c r="B140" s="1860" t="s">
        <v>2110</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2111</v>
      </c>
      <c r="C144" s="1874">
        <v>0.126</v>
      </c>
      <c r="D144" s="1874">
        <v>0.126</v>
      </c>
      <c r="E144" s="1874">
        <v>0.121</v>
      </c>
      <c r="F144" s="1869"/>
    </row>
    <row r="145" spans="1:6" ht="15" thickBot="1">
      <c r="A145" s="1864" t="s">
        <v>1409</v>
      </c>
      <c r="B145" s="1875" t="s">
        <v>2112</v>
      </c>
      <c r="C145" s="1876"/>
      <c r="D145" s="1876"/>
      <c r="E145" s="1876"/>
      <c r="F145" s="1877">
        <v>0.05</v>
      </c>
    </row>
    <row r="146" spans="1:6" ht="24.6" thickBot="1">
      <c r="A146" s="1878" t="s">
        <v>1409</v>
      </c>
      <c r="B146" s="1863" t="s">
        <v>2113</v>
      </c>
      <c r="C146" s="1870"/>
      <c r="D146" s="1870"/>
      <c r="E146" s="1870"/>
      <c r="F146" s="1879">
        <v>0.05</v>
      </c>
    </row>
    <row r="147" spans="1:6" ht="24.6" thickBot="1">
      <c r="A147" s="1856" t="s">
        <v>1409</v>
      </c>
      <c r="B147" s="1860" t="s">
        <v>2114</v>
      </c>
      <c r="C147" s="1870"/>
      <c r="D147" s="1870"/>
      <c r="E147" s="1870"/>
      <c r="F147" s="1862">
        <v>0.05</v>
      </c>
    </row>
    <row r="148" spans="1:6" ht="24.6" thickBot="1">
      <c r="A148" s="1856" t="s">
        <v>1409</v>
      </c>
      <c r="B148" s="1860" t="s">
        <v>2115</v>
      </c>
      <c r="C148" s="1870"/>
      <c r="D148" s="1870"/>
      <c r="E148" s="1870"/>
      <c r="F148" s="1862">
        <v>0.05</v>
      </c>
    </row>
    <row r="149" spans="1:6" ht="24.6" thickBot="1">
      <c r="A149" s="1856" t="s">
        <v>1409</v>
      </c>
      <c r="B149" s="1860" t="s">
        <v>2116</v>
      </c>
      <c r="C149" s="1870"/>
      <c r="D149" s="1870"/>
      <c r="E149" s="1870"/>
      <c r="F149" s="1862">
        <v>0.05</v>
      </c>
    </row>
    <row r="150" spans="1:6" ht="24.6" thickBot="1">
      <c r="A150" s="1856" t="s">
        <v>1409</v>
      </c>
      <c r="B150" s="1860" t="s">
        <v>2117</v>
      </c>
      <c r="C150" s="1870"/>
      <c r="D150" s="1870"/>
      <c r="E150" s="1870"/>
      <c r="F150" s="1862">
        <v>0.05</v>
      </c>
    </row>
    <row r="151" spans="1:6" ht="24.6" thickBot="1">
      <c r="A151" s="1856" t="s">
        <v>1409</v>
      </c>
      <c r="B151" s="1860" t="s">
        <v>2118</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2119</v>
      </c>
      <c r="C153" s="1870"/>
      <c r="D153" s="1870"/>
      <c r="E153" s="1870"/>
      <c r="F153" s="1862">
        <v>0.05</v>
      </c>
    </row>
    <row r="154" spans="1:6" ht="15" thickBot="1">
      <c r="A154" s="1856" t="s">
        <v>1409</v>
      </c>
      <c r="B154" s="1860" t="s">
        <v>2120</v>
      </c>
      <c r="C154" s="1870"/>
      <c r="D154" s="1870"/>
      <c r="E154" s="1870"/>
      <c r="F154" s="1862">
        <v>0.05</v>
      </c>
    </row>
    <row r="155" spans="1:6" ht="24.6" thickBot="1">
      <c r="A155" s="1856" t="s">
        <v>1409</v>
      </c>
      <c r="B155" s="1860" t="s">
        <v>2121</v>
      </c>
      <c r="C155" s="1870"/>
      <c r="D155" s="1870"/>
      <c r="E155" s="1870"/>
      <c r="F155" s="1862">
        <v>0.05</v>
      </c>
    </row>
    <row r="156" spans="1:6" ht="24.6" thickBot="1">
      <c r="A156" s="1856" t="s">
        <v>1409</v>
      </c>
      <c r="B156" s="1860" t="s">
        <v>2122</v>
      </c>
      <c r="C156" s="1870"/>
      <c r="D156" s="1870"/>
      <c r="E156" s="1870"/>
      <c r="F156" s="1862">
        <v>0.05</v>
      </c>
    </row>
    <row r="157" spans="1:6" ht="24.6" thickBot="1">
      <c r="A157" s="1864" t="s">
        <v>1409</v>
      </c>
      <c r="B157" s="1871" t="s">
        <v>2123</v>
      </c>
      <c r="C157" s="1867"/>
      <c r="D157" s="1867"/>
      <c r="E157" s="1867"/>
      <c r="F157" s="1872">
        <v>0.05</v>
      </c>
    </row>
    <row r="158" spans="1:6" ht="15" thickBot="1">
      <c r="A158" s="1856" t="s">
        <v>1411</v>
      </c>
      <c r="B158" s="1857" t="s">
        <v>2124</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2125</v>
      </c>
      <c r="C171" s="1861">
        <v>0.127</v>
      </c>
      <c r="D171" s="1861">
        <v>0.126</v>
      </c>
      <c r="E171" s="1861">
        <v>0.126</v>
      </c>
      <c r="F171" s="1862">
        <v>0.11799999999999999</v>
      </c>
    </row>
    <row r="172" spans="1:6" ht="15" thickBot="1">
      <c r="A172" s="1856" t="s">
        <v>1411</v>
      </c>
      <c r="B172" s="1860" t="s">
        <v>2126</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2127</v>
      </c>
      <c r="C174" s="1861">
        <v>0.13</v>
      </c>
      <c r="D174" s="1861">
        <v>0.13</v>
      </c>
      <c r="E174" s="1861">
        <v>0.13</v>
      </c>
      <c r="F174" s="1862">
        <v>0.13</v>
      </c>
    </row>
    <row r="175" spans="1:6" ht="15" thickBot="1">
      <c r="A175" s="1856" t="s">
        <v>1411</v>
      </c>
      <c r="B175" s="1860" t="s">
        <v>2128</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2129</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2130</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2131</v>
      </c>
      <c r="C185" s="1861">
        <v>0.127</v>
      </c>
      <c r="D185" s="1861">
        <v>0.127</v>
      </c>
      <c r="E185" s="1861">
        <v>0.128</v>
      </c>
      <c r="F185" s="1862">
        <v>0.13</v>
      </c>
    </row>
    <row r="186" spans="1:6" ht="24.6" thickBot="1">
      <c r="A186" s="1856" t="s">
        <v>1411</v>
      </c>
      <c r="B186" s="1860" t="s">
        <v>2132</v>
      </c>
      <c r="C186" s="1870"/>
      <c r="D186" s="1870"/>
      <c r="E186" s="1870"/>
      <c r="F186" s="1862">
        <v>0.05</v>
      </c>
    </row>
    <row r="187" spans="1:6" ht="15" thickBot="1">
      <c r="A187" s="1856" t="s">
        <v>1411</v>
      </c>
      <c r="B187" s="1860" t="s">
        <v>2133</v>
      </c>
      <c r="C187" s="1870"/>
      <c r="D187" s="1870"/>
      <c r="E187" s="1870"/>
      <c r="F187" s="1862">
        <v>0.05</v>
      </c>
    </row>
    <row r="188" spans="1:6" ht="24.6" thickBot="1">
      <c r="A188" s="1856" t="s">
        <v>1411</v>
      </c>
      <c r="B188" s="1860" t="s">
        <v>2134</v>
      </c>
      <c r="C188" s="1870"/>
      <c r="D188" s="1870"/>
      <c r="E188" s="1870"/>
      <c r="F188" s="1862">
        <v>0.05</v>
      </c>
    </row>
    <row r="189" spans="1:6" ht="24.6" thickBot="1">
      <c r="A189" s="1856" t="s">
        <v>1411</v>
      </c>
      <c r="B189" s="1860" t="s">
        <v>2135</v>
      </c>
      <c r="C189" s="1870"/>
      <c r="D189" s="1870"/>
      <c r="E189" s="1870"/>
      <c r="F189" s="1862">
        <v>0.05</v>
      </c>
    </row>
    <row r="190" spans="1:6" ht="24.6" thickBot="1">
      <c r="A190" s="1856" t="s">
        <v>1411</v>
      </c>
      <c r="B190" s="1860" t="s">
        <v>2136</v>
      </c>
      <c r="C190" s="1870"/>
      <c r="D190" s="1870"/>
      <c r="E190" s="1870"/>
      <c r="F190" s="1862">
        <v>0.05</v>
      </c>
    </row>
    <row r="191" spans="1:6" ht="24.6" thickBot="1">
      <c r="A191" s="1856" t="s">
        <v>1411</v>
      </c>
      <c r="B191" s="1860" t="s">
        <v>2137</v>
      </c>
      <c r="C191" s="1870"/>
      <c r="D191" s="1870"/>
      <c r="E191" s="1870"/>
      <c r="F191" s="1862">
        <v>0.05</v>
      </c>
    </row>
    <row r="192" spans="1:6" ht="24.6" thickBot="1">
      <c r="A192" s="1856" t="s">
        <v>1411</v>
      </c>
      <c r="B192" s="1860" t="s">
        <v>2138</v>
      </c>
      <c r="C192" s="1870"/>
      <c r="D192" s="1870"/>
      <c r="E192" s="1870"/>
      <c r="F192" s="1862">
        <v>0.05</v>
      </c>
    </row>
    <row r="193" spans="1:6" ht="24.6" thickBot="1">
      <c r="A193" s="1856" t="s">
        <v>1411</v>
      </c>
      <c r="B193" s="1860" t="s">
        <v>2139</v>
      </c>
      <c r="C193" s="1870"/>
      <c r="D193" s="1870"/>
      <c r="E193" s="1870"/>
      <c r="F193" s="1862">
        <v>0.05</v>
      </c>
    </row>
    <row r="194" spans="1:6" ht="24.6" thickBot="1">
      <c r="A194" s="1856" t="s">
        <v>1411</v>
      </c>
      <c r="B194" s="1860" t="s">
        <v>2140</v>
      </c>
      <c r="C194" s="1870"/>
      <c r="D194" s="1870"/>
      <c r="E194" s="1870"/>
      <c r="F194" s="1862">
        <v>0.05</v>
      </c>
    </row>
    <row r="195" spans="1:6" ht="15" thickBot="1">
      <c r="A195" s="1856" t="s">
        <v>1411</v>
      </c>
      <c r="B195" s="1860" t="s">
        <v>2141</v>
      </c>
      <c r="C195" s="1870"/>
      <c r="D195" s="1870"/>
      <c r="E195" s="1870"/>
      <c r="F195" s="1862">
        <v>0.05</v>
      </c>
    </row>
    <row r="196" spans="1:6" ht="24.6" thickBot="1">
      <c r="A196" s="1856" t="s">
        <v>1411</v>
      </c>
      <c r="B196" s="1860" t="s">
        <v>2142</v>
      </c>
      <c r="C196" s="1870"/>
      <c r="D196" s="1870"/>
      <c r="E196" s="1870"/>
      <c r="F196" s="1862">
        <v>0.05</v>
      </c>
    </row>
    <row r="197" spans="1:6" ht="24.6" thickBot="1">
      <c r="A197" s="1856" t="s">
        <v>1411</v>
      </c>
      <c r="B197" s="1860" t="s">
        <v>2143</v>
      </c>
      <c r="C197" s="1870"/>
      <c r="D197" s="1870"/>
      <c r="E197" s="1870"/>
      <c r="F197" s="1862">
        <v>0.05</v>
      </c>
    </row>
    <row r="198" spans="1:6" ht="24.6" thickBot="1">
      <c r="A198" s="1856" t="s">
        <v>1411</v>
      </c>
      <c r="B198" s="1860" t="s">
        <v>2144</v>
      </c>
      <c r="C198" s="1870"/>
      <c r="D198" s="1870"/>
      <c r="E198" s="1870"/>
      <c r="F198" s="1862">
        <v>0.05</v>
      </c>
    </row>
    <row r="199" spans="1:6" ht="24.6" thickBot="1">
      <c r="A199" s="1856" t="s">
        <v>1411</v>
      </c>
      <c r="B199" s="1860" t="s">
        <v>2145</v>
      </c>
      <c r="C199" s="1870"/>
      <c r="D199" s="1870"/>
      <c r="E199" s="1870"/>
      <c r="F199" s="1862">
        <v>0.05</v>
      </c>
    </row>
    <row r="200" spans="1:6" ht="24.6" thickBot="1">
      <c r="A200" s="1856" t="s">
        <v>1411</v>
      </c>
      <c r="B200" s="1860" t="s">
        <v>2146</v>
      </c>
      <c r="C200" s="1870"/>
      <c r="D200" s="1870"/>
      <c r="E200" s="1870"/>
      <c r="F200" s="1862">
        <v>0.05</v>
      </c>
    </row>
    <row r="201" spans="1:6" ht="24.6" thickBot="1">
      <c r="A201" s="1856" t="s">
        <v>1411</v>
      </c>
      <c r="B201" s="1860" t="s">
        <v>2147</v>
      </c>
      <c r="C201" s="1870"/>
      <c r="D201" s="1870"/>
      <c r="E201" s="1870"/>
      <c r="F201" s="1862">
        <v>0.05</v>
      </c>
    </row>
    <row r="202" spans="1:6" ht="24.6" thickBot="1">
      <c r="A202" s="1856" t="s">
        <v>1411</v>
      </c>
      <c r="B202" s="1860" t="s">
        <v>2148</v>
      </c>
      <c r="C202" s="1870"/>
      <c r="D202" s="1870"/>
      <c r="E202" s="1870"/>
      <c r="F202" s="1862">
        <v>0.05</v>
      </c>
    </row>
    <row r="203" spans="1:6" ht="24.6" thickBot="1">
      <c r="A203" s="1856" t="s">
        <v>1411</v>
      </c>
      <c r="B203" s="1860" t="s">
        <v>2149</v>
      </c>
      <c r="C203" s="1870"/>
      <c r="D203" s="1870"/>
      <c r="E203" s="1870"/>
      <c r="F203" s="1862">
        <v>0.05</v>
      </c>
    </row>
    <row r="204" spans="1:6" ht="15" thickBot="1">
      <c r="A204" s="1856" t="s">
        <v>1411</v>
      </c>
      <c r="B204" s="1860" t="s">
        <v>2150</v>
      </c>
      <c r="C204" s="1870"/>
      <c r="D204" s="1870"/>
      <c r="E204" s="1870"/>
      <c r="F204" s="1862">
        <v>0.05</v>
      </c>
    </row>
    <row r="205" spans="1:6" ht="15" thickBot="1">
      <c r="A205" s="1864" t="s">
        <v>1411</v>
      </c>
      <c r="B205" s="1871" t="s">
        <v>2151</v>
      </c>
      <c r="C205" s="1867"/>
      <c r="D205" s="1867"/>
      <c r="E205" s="1867"/>
      <c r="F205" s="1872">
        <v>0.05</v>
      </c>
    </row>
    <row r="206" spans="1:6" ht="15" thickBot="1">
      <c r="A206" s="1856" t="s">
        <v>1413</v>
      </c>
      <c r="B206" s="1857" t="s">
        <v>2152</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2153</v>
      </c>
      <c r="C210" s="1861">
        <v>0.15</v>
      </c>
      <c r="D210" s="1861">
        <v>0.15</v>
      </c>
      <c r="E210" s="1861">
        <v>0.15</v>
      </c>
      <c r="F210" s="1862">
        <v>0.13800000000000001</v>
      </c>
    </row>
    <row r="211" spans="1:6" ht="15" thickBot="1">
      <c r="A211" s="1856" t="s">
        <v>1413</v>
      </c>
      <c r="B211" s="1860" t="s">
        <v>2154</v>
      </c>
      <c r="C211" s="1861">
        <v>0.13700000000000001</v>
      </c>
      <c r="D211" s="1861">
        <v>0.13500000000000001</v>
      </c>
      <c r="E211" s="1861">
        <v>0.13600000000000001</v>
      </c>
      <c r="F211" s="1862">
        <v>0.1</v>
      </c>
    </row>
    <row r="212" spans="1:6" ht="15" thickBot="1">
      <c r="A212" s="1856" t="s">
        <v>1413</v>
      </c>
      <c r="B212" s="1860" t="s">
        <v>2155</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2156</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2157</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2158</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2159</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2160</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2161</v>
      </c>
      <c r="C231" s="1861">
        <v>0.128</v>
      </c>
      <c r="D231" s="1861">
        <v>0.125</v>
      </c>
      <c r="E231" s="1861">
        <v>0.13200000000000001</v>
      </c>
      <c r="F231" s="1869"/>
    </row>
    <row r="232" spans="1:6" ht="15" thickBot="1">
      <c r="A232" s="1856" t="s">
        <v>1413</v>
      </c>
      <c r="B232" s="1860" t="s">
        <v>2162</v>
      </c>
      <c r="C232" s="1861">
        <v>0.14499999999999999</v>
      </c>
      <c r="D232" s="1861">
        <v>0.14399999999999999</v>
      </c>
      <c r="E232" s="1861">
        <v>0.14599999999999999</v>
      </c>
      <c r="F232" s="1862">
        <v>0.13800000000000001</v>
      </c>
    </row>
    <row r="233" spans="1:6" ht="15" thickBot="1">
      <c r="A233" s="1856" t="s">
        <v>1413</v>
      </c>
      <c r="B233" s="1860" t="s">
        <v>2163</v>
      </c>
      <c r="C233" s="1861">
        <v>0.14499999999999999</v>
      </c>
      <c r="D233" s="1861">
        <v>0.14299999999999999</v>
      </c>
      <c r="E233" s="1861">
        <v>0.14199999999999999</v>
      </c>
      <c r="F233" s="1869"/>
    </row>
    <row r="234" spans="1:6" ht="15" thickBot="1">
      <c r="A234" s="1856" t="s">
        <v>1413</v>
      </c>
      <c r="B234" s="1860" t="s">
        <v>2164</v>
      </c>
      <c r="C234" s="1861">
        <v>0.14000000000000001</v>
      </c>
      <c r="D234" s="1861">
        <v>0.14000000000000001</v>
      </c>
      <c r="E234" s="1861">
        <v>0.14399999999999999</v>
      </c>
      <c r="F234" s="1869"/>
    </row>
    <row r="235" spans="1:6" ht="15" thickBot="1">
      <c r="A235" s="1856" t="s">
        <v>1413</v>
      </c>
      <c r="B235" s="1860" t="s">
        <v>2165</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2166</v>
      </c>
      <c r="C237" s="1870"/>
      <c r="D237" s="1870"/>
      <c r="E237" s="1870"/>
      <c r="F237" s="1862">
        <v>0.05</v>
      </c>
    </row>
    <row r="238" spans="1:6" ht="24.6" thickBot="1">
      <c r="A238" s="1856" t="s">
        <v>1413</v>
      </c>
      <c r="B238" s="1860" t="s">
        <v>2167</v>
      </c>
      <c r="C238" s="1870"/>
      <c r="D238" s="1870"/>
      <c r="E238" s="1870"/>
      <c r="F238" s="1862">
        <v>0.05</v>
      </c>
    </row>
    <row r="239" spans="1:6" ht="24.6" thickBot="1">
      <c r="A239" s="1856" t="s">
        <v>1413</v>
      </c>
      <c r="B239" s="1860" t="s">
        <v>2168</v>
      </c>
      <c r="C239" s="1870"/>
      <c r="D239" s="1870"/>
      <c r="E239" s="1870"/>
      <c r="F239" s="1862">
        <v>0.05</v>
      </c>
    </row>
    <row r="240" spans="1:6" ht="24.6" thickBot="1">
      <c r="A240" s="1856" t="s">
        <v>1413</v>
      </c>
      <c r="B240" s="1860" t="s">
        <v>2169</v>
      </c>
      <c r="C240" s="1870"/>
      <c r="D240" s="1870"/>
      <c r="E240" s="1870"/>
      <c r="F240" s="1862">
        <v>0.05</v>
      </c>
    </row>
    <row r="241" spans="1:6" ht="24.6" thickBot="1">
      <c r="A241" s="1856" t="s">
        <v>1413</v>
      </c>
      <c r="B241" s="1860" t="s">
        <v>2170</v>
      </c>
      <c r="C241" s="1870"/>
      <c r="D241" s="1870"/>
      <c r="E241" s="1870"/>
      <c r="F241" s="1862">
        <v>0.05</v>
      </c>
    </row>
    <row r="242" spans="1:6" ht="24.6" thickBot="1">
      <c r="A242" s="1856" t="s">
        <v>1413</v>
      </c>
      <c r="B242" s="1860" t="s">
        <v>2171</v>
      </c>
      <c r="C242" s="1870"/>
      <c r="D242" s="1870"/>
      <c r="E242" s="1870"/>
      <c r="F242" s="1862">
        <v>0.05</v>
      </c>
    </row>
    <row r="243" spans="1:6" ht="24.6" thickBot="1">
      <c r="A243" s="1856" t="s">
        <v>1413</v>
      </c>
      <c r="B243" s="1860" t="s">
        <v>2172</v>
      </c>
      <c r="C243" s="1870"/>
      <c r="D243" s="1870"/>
      <c r="E243" s="1870"/>
      <c r="F243" s="1862">
        <v>0.05</v>
      </c>
    </row>
    <row r="244" spans="1:6" ht="24.6" thickBot="1">
      <c r="A244" s="1864" t="s">
        <v>1413</v>
      </c>
      <c r="B244" s="1871" t="s">
        <v>2173</v>
      </c>
      <c r="C244" s="1867"/>
      <c r="D244" s="1867"/>
      <c r="E244" s="1867"/>
      <c r="F244" s="1872">
        <v>0.05</v>
      </c>
    </row>
    <row r="245" spans="1:6" ht="15" thickBot="1">
      <c r="A245" s="1856" t="s">
        <v>1415</v>
      </c>
      <c r="B245" s="1857" t="s">
        <v>2174</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2175</v>
      </c>
      <c r="C247" s="1861">
        <v>0.15</v>
      </c>
      <c r="D247" s="1861">
        <v>0.15</v>
      </c>
      <c r="E247" s="1861">
        <v>0.15</v>
      </c>
      <c r="F247" s="1862">
        <v>0.15</v>
      </c>
    </row>
    <row r="248" spans="1:6" ht="15" thickBot="1">
      <c r="A248" s="1856" t="s">
        <v>1415</v>
      </c>
      <c r="B248" s="1860" t="s">
        <v>2176</v>
      </c>
      <c r="C248" s="1861">
        <v>0.15</v>
      </c>
      <c r="D248" s="1861">
        <v>0.15</v>
      </c>
      <c r="E248" s="1861">
        <v>0.15</v>
      </c>
      <c r="F248" s="1862">
        <v>0.14000000000000001</v>
      </c>
    </row>
    <row r="249" spans="1:6" ht="15" thickBot="1">
      <c r="A249" s="1856" t="s">
        <v>1415</v>
      </c>
      <c r="B249" s="1860" t="s">
        <v>2177</v>
      </c>
      <c r="C249" s="1861">
        <v>0.15</v>
      </c>
      <c r="D249" s="1861">
        <v>0.14899999999999999</v>
      </c>
      <c r="E249" s="1861">
        <v>0.15</v>
      </c>
      <c r="F249" s="1862">
        <v>0.1</v>
      </c>
    </row>
    <row r="250" spans="1:6" ht="15" thickBot="1">
      <c r="A250" s="1856" t="s">
        <v>1415</v>
      </c>
      <c r="B250" s="1860" t="s">
        <v>2178</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2179</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2180</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2181</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2182</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2183</v>
      </c>
      <c r="C273" s="1861">
        <v>0.14199999999999999</v>
      </c>
      <c r="D273" s="1861">
        <v>0.14299999999999999</v>
      </c>
      <c r="E273" s="1861">
        <v>0.15</v>
      </c>
      <c r="F273" s="1862">
        <v>0.1</v>
      </c>
    </row>
    <row r="274" spans="1:6" ht="15" thickBot="1">
      <c r="A274" s="1856" t="s">
        <v>1415</v>
      </c>
      <c r="B274" s="1860" t="s">
        <v>2184</v>
      </c>
      <c r="C274" s="1861">
        <v>0.14799999999999999</v>
      </c>
      <c r="D274" s="1861">
        <v>0.14799999999999999</v>
      </c>
      <c r="E274" s="1861">
        <v>0.15</v>
      </c>
      <c r="F274" s="1862">
        <v>6.7000000000000004E-2</v>
      </c>
    </row>
    <row r="275" spans="1:6" ht="15" thickBot="1">
      <c r="A275" s="1856" t="s">
        <v>1415</v>
      </c>
      <c r="B275" s="1860" t="s">
        <v>2185</v>
      </c>
      <c r="C275" s="1861">
        <v>0.15</v>
      </c>
      <c r="D275" s="1861">
        <v>0.15</v>
      </c>
      <c r="E275" s="1861">
        <v>0.15</v>
      </c>
      <c r="F275" s="1862">
        <v>0.15</v>
      </c>
    </row>
    <row r="276" spans="1:6" ht="15" thickBot="1">
      <c r="A276" s="1856" t="s">
        <v>1415</v>
      </c>
      <c r="B276" s="1860" t="s">
        <v>2186</v>
      </c>
      <c r="C276" s="1861">
        <v>0.14499999999999999</v>
      </c>
      <c r="D276" s="1861">
        <v>0.14299999999999999</v>
      </c>
      <c r="E276" s="1861">
        <v>0.15</v>
      </c>
      <c r="F276" s="1862">
        <v>5.8999999999999997E-2</v>
      </c>
    </row>
    <row r="277" spans="1:6" ht="15" thickBot="1">
      <c r="A277" s="1856" t="s">
        <v>1415</v>
      </c>
      <c r="B277" s="1860" t="s">
        <v>2187</v>
      </c>
      <c r="C277" s="1861">
        <v>0.15</v>
      </c>
      <c r="D277" s="1861">
        <v>0.15</v>
      </c>
      <c r="E277" s="1861">
        <v>0.15</v>
      </c>
      <c r="F277" s="1862">
        <v>0.121</v>
      </c>
    </row>
    <row r="278" spans="1:6" ht="15" thickBot="1">
      <c r="A278" s="1856" t="s">
        <v>1415</v>
      </c>
      <c r="B278" s="1860" t="s">
        <v>2188</v>
      </c>
      <c r="C278" s="1861">
        <v>0.15</v>
      </c>
      <c r="D278" s="1861">
        <v>0.15</v>
      </c>
      <c r="E278" s="1861">
        <v>0.15</v>
      </c>
      <c r="F278" s="1862">
        <v>0.13800000000000001</v>
      </c>
    </row>
    <row r="279" spans="1:6" ht="24.6" thickBot="1">
      <c r="A279" s="1856" t="s">
        <v>1415</v>
      </c>
      <c r="B279" s="1860" t="s">
        <v>2189</v>
      </c>
      <c r="C279" s="1870"/>
      <c r="D279" s="1870"/>
      <c r="E279" s="1870"/>
      <c r="F279" s="1862">
        <v>0.05</v>
      </c>
    </row>
    <row r="280" spans="1:6" ht="24.6" thickBot="1">
      <c r="A280" s="1856" t="s">
        <v>1415</v>
      </c>
      <c r="B280" s="1860" t="s">
        <v>2190</v>
      </c>
      <c r="C280" s="1870"/>
      <c r="D280" s="1870"/>
      <c r="E280" s="1870"/>
      <c r="F280" s="1862">
        <v>0.05</v>
      </c>
    </row>
    <row r="281" spans="1:6" ht="24.6" thickBot="1">
      <c r="A281" s="1856" t="s">
        <v>1415</v>
      </c>
      <c r="B281" s="1860" t="s">
        <v>2191</v>
      </c>
      <c r="C281" s="1870"/>
      <c r="D281" s="1870"/>
      <c r="E281" s="1870"/>
      <c r="F281" s="1862">
        <v>0.05</v>
      </c>
    </row>
    <row r="282" spans="1:6" ht="24.6" thickBot="1">
      <c r="A282" s="1856" t="s">
        <v>1415</v>
      </c>
      <c r="B282" s="1860" t="s">
        <v>2192</v>
      </c>
      <c r="C282" s="1870"/>
      <c r="D282" s="1870"/>
      <c r="E282" s="1870"/>
      <c r="F282" s="1862">
        <v>0.05</v>
      </c>
    </row>
    <row r="283" spans="1:6" ht="24.6" thickBot="1">
      <c r="A283" s="1856" t="s">
        <v>1415</v>
      </c>
      <c r="B283" s="1860" t="s">
        <v>2193</v>
      </c>
      <c r="C283" s="1870"/>
      <c r="D283" s="1870"/>
      <c r="E283" s="1870"/>
      <c r="F283" s="1862">
        <v>0.05</v>
      </c>
    </row>
    <row r="284" spans="1:6" ht="24.6" thickBot="1">
      <c r="A284" s="1856" t="s">
        <v>1415</v>
      </c>
      <c r="B284" s="1860" t="s">
        <v>2194</v>
      </c>
      <c r="C284" s="1870"/>
      <c r="D284" s="1870"/>
      <c r="E284" s="1870"/>
      <c r="F284" s="1862">
        <v>0.05</v>
      </c>
    </row>
    <row r="285" spans="1:6" ht="24.6" thickBot="1">
      <c r="A285" s="1856" t="s">
        <v>1415</v>
      </c>
      <c r="B285" s="1860" t="s">
        <v>2195</v>
      </c>
      <c r="C285" s="1870"/>
      <c r="D285" s="1870"/>
      <c r="E285" s="1870"/>
      <c r="F285" s="1862">
        <v>0.05</v>
      </c>
    </row>
    <row r="286" spans="1:6" ht="24.6" thickBot="1">
      <c r="A286" s="1856" t="s">
        <v>1415</v>
      </c>
      <c r="B286" s="1860" t="s">
        <v>2196</v>
      </c>
      <c r="C286" s="1870"/>
      <c r="D286" s="1870"/>
      <c r="E286" s="1870"/>
      <c r="F286" s="1862">
        <v>0.05</v>
      </c>
    </row>
    <row r="287" spans="1:6" ht="24.6" thickBot="1">
      <c r="A287" s="1856" t="s">
        <v>1415</v>
      </c>
      <c r="B287" s="1860" t="s">
        <v>2197</v>
      </c>
      <c r="C287" s="1870"/>
      <c r="D287" s="1870"/>
      <c r="E287" s="1870"/>
      <c r="F287" s="1862">
        <v>0.05</v>
      </c>
    </row>
    <row r="288" spans="1:6" ht="24.6" thickBot="1">
      <c r="A288" s="1856" t="s">
        <v>1415</v>
      </c>
      <c r="B288" s="1860" t="s">
        <v>2198</v>
      </c>
      <c r="C288" s="1870"/>
      <c r="D288" s="1870"/>
      <c r="E288" s="1870"/>
      <c r="F288" s="1862">
        <v>0.05</v>
      </c>
    </row>
    <row r="289" spans="1:6" ht="24.6" thickBot="1">
      <c r="A289" s="1864" t="s">
        <v>1415</v>
      </c>
      <c r="B289" s="1871" t="s">
        <v>2199</v>
      </c>
      <c r="C289" s="1867"/>
      <c r="D289" s="1867"/>
      <c r="E289" s="1867"/>
      <c r="F289" s="1872">
        <v>0.05</v>
      </c>
    </row>
    <row r="290" spans="1:6" ht="15" thickBot="1">
      <c r="A290" s="1856" t="s">
        <v>1419</v>
      </c>
      <c r="B290" s="1857" t="s">
        <v>2200</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2201</v>
      </c>
      <c r="C292" s="1861">
        <v>0.15</v>
      </c>
      <c r="D292" s="1861">
        <v>0.15</v>
      </c>
      <c r="E292" s="1861">
        <v>0.15</v>
      </c>
      <c r="F292" s="1862">
        <v>0.14699999999999999</v>
      </c>
    </row>
    <row r="293" spans="1:6" ht="15" thickBot="1">
      <c r="A293" s="1856" t="s">
        <v>1419</v>
      </c>
      <c r="B293" s="1860" t="s">
        <v>2202</v>
      </c>
      <c r="C293" s="1870"/>
      <c r="D293" s="1870"/>
      <c r="E293" s="1870"/>
      <c r="F293" s="1862">
        <v>0.1</v>
      </c>
    </row>
    <row r="294" spans="1:6" ht="15" thickBot="1">
      <c r="A294" s="1856" t="s">
        <v>1419</v>
      </c>
      <c r="B294" s="1860" t="s">
        <v>2203</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2204</v>
      </c>
      <c r="C296" s="1861">
        <v>0.15</v>
      </c>
      <c r="D296" s="1861">
        <v>0.15</v>
      </c>
      <c r="E296" s="1861">
        <v>0.15</v>
      </c>
      <c r="F296" s="1862">
        <v>0.15</v>
      </c>
    </row>
    <row r="297" spans="1:6" ht="15" thickBot="1">
      <c r="A297" s="1856" t="s">
        <v>1419</v>
      </c>
      <c r="B297" s="1860" t="s">
        <v>2205</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2206</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2207</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2208</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2209</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2210</v>
      </c>
      <c r="C310" s="1861">
        <v>0.15</v>
      </c>
      <c r="D310" s="1861">
        <v>0.15</v>
      </c>
      <c r="E310" s="1861">
        <v>0.15</v>
      </c>
      <c r="F310" s="1862">
        <v>0.13700000000000001</v>
      </c>
    </row>
    <row r="311" spans="1:6" ht="15" thickBot="1">
      <c r="A311" s="1856" t="s">
        <v>1419</v>
      </c>
      <c r="B311" s="1860" t="s">
        <v>2211</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2212</v>
      </c>
      <c r="C313" s="1861">
        <v>0.15</v>
      </c>
      <c r="D313" s="1861">
        <v>0.15</v>
      </c>
      <c r="E313" s="1861">
        <v>0.15</v>
      </c>
      <c r="F313" s="1862">
        <v>0.15</v>
      </c>
    </row>
    <row r="314" spans="1:6" ht="24.6" thickBot="1">
      <c r="A314" s="1856" t="s">
        <v>1419</v>
      </c>
      <c r="B314" s="1860" t="s">
        <v>2213</v>
      </c>
      <c r="C314" s="1870"/>
      <c r="D314" s="1870"/>
      <c r="E314" s="1870"/>
      <c r="F314" s="1862">
        <v>0.05</v>
      </c>
    </row>
    <row r="315" spans="1:6" ht="24.6" thickBot="1">
      <c r="A315" s="1856" t="s">
        <v>1419</v>
      </c>
      <c r="B315" s="1860" t="s">
        <v>2214</v>
      </c>
      <c r="C315" s="1870"/>
      <c r="D315" s="1870"/>
      <c r="E315" s="1870"/>
      <c r="F315" s="1862">
        <v>0.05</v>
      </c>
    </row>
    <row r="316" spans="1:6" ht="24.6" thickBot="1">
      <c r="A316" s="1864" t="s">
        <v>1419</v>
      </c>
      <c r="B316" s="1871" t="s">
        <v>2215</v>
      </c>
      <c r="C316" s="1867"/>
      <c r="D316" s="1867"/>
      <c r="E316" s="1867"/>
      <c r="F316" s="1872">
        <v>0.05</v>
      </c>
    </row>
    <row r="317" spans="1:6" ht="15" thickBot="1">
      <c r="A317" s="1856" t="s">
        <v>2216</v>
      </c>
      <c r="B317" s="1857" t="s">
        <v>2217</v>
      </c>
      <c r="C317" s="1858">
        <v>0.15</v>
      </c>
      <c r="D317" s="1858">
        <v>0.15</v>
      </c>
      <c r="E317" s="1858">
        <v>0.15</v>
      </c>
      <c r="F317" s="1859">
        <v>0.15</v>
      </c>
    </row>
    <row r="318" spans="1:6" ht="15" thickBot="1">
      <c r="A318" s="1856" t="s">
        <v>2216</v>
      </c>
      <c r="B318" s="1860" t="s">
        <v>2218</v>
      </c>
      <c r="C318" s="1861">
        <v>0.107</v>
      </c>
      <c r="D318" s="1861">
        <v>0.11</v>
      </c>
      <c r="E318" s="1861">
        <v>0.112</v>
      </c>
      <c r="F318" s="1869"/>
    </row>
    <row r="319" spans="1:6" ht="15" thickBot="1">
      <c r="A319" s="1856" t="s">
        <v>2216</v>
      </c>
      <c r="B319" s="1860" t="s">
        <v>2219</v>
      </c>
      <c r="C319" s="1861">
        <v>0.15</v>
      </c>
      <c r="D319" s="1861">
        <v>0.15</v>
      </c>
      <c r="E319" s="1861">
        <v>0.15</v>
      </c>
      <c r="F319" s="1862">
        <v>0.15</v>
      </c>
    </row>
    <row r="320" spans="1:6" ht="15" thickBot="1">
      <c r="A320" s="1856" t="s">
        <v>2216</v>
      </c>
      <c r="B320" s="1860" t="s">
        <v>1107</v>
      </c>
      <c r="C320" s="1861">
        <v>0.15</v>
      </c>
      <c r="D320" s="1861">
        <v>0.15</v>
      </c>
      <c r="E320" s="1861">
        <v>0.15</v>
      </c>
      <c r="F320" s="1869"/>
    </row>
    <row r="321" spans="1:6" ht="15" thickBot="1">
      <c r="A321" s="1856" t="s">
        <v>2216</v>
      </c>
      <c r="B321" s="1860" t="s">
        <v>2220</v>
      </c>
      <c r="C321" s="1861">
        <v>0.15</v>
      </c>
      <c r="D321" s="1861">
        <v>0.15</v>
      </c>
      <c r="E321" s="1861">
        <v>0.15</v>
      </c>
      <c r="F321" s="1869"/>
    </row>
    <row r="322" spans="1:6" ht="15" thickBot="1">
      <c r="A322" s="1856" t="s">
        <v>2216</v>
      </c>
      <c r="B322" s="1860" t="s">
        <v>2221</v>
      </c>
      <c r="C322" s="1861">
        <v>0.15</v>
      </c>
      <c r="D322" s="1861">
        <v>0.15</v>
      </c>
      <c r="E322" s="1861">
        <v>0.15</v>
      </c>
      <c r="F322" s="1862">
        <v>0.15</v>
      </c>
    </row>
    <row r="323" spans="1:6" ht="15" thickBot="1">
      <c r="A323" s="1856" t="s">
        <v>2216</v>
      </c>
      <c r="B323" s="1860" t="s">
        <v>2222</v>
      </c>
      <c r="C323" s="1861">
        <v>0.15</v>
      </c>
      <c r="D323" s="1861">
        <v>0.15</v>
      </c>
      <c r="E323" s="1861">
        <v>0.15</v>
      </c>
      <c r="F323" s="1869"/>
    </row>
    <row r="324" spans="1:6" ht="15" thickBot="1">
      <c r="A324" s="1856" t="s">
        <v>2216</v>
      </c>
      <c r="B324" s="1860" t="s">
        <v>2223</v>
      </c>
      <c r="C324" s="1861">
        <v>0.15</v>
      </c>
      <c r="D324" s="1861">
        <v>0.15</v>
      </c>
      <c r="E324" s="1861">
        <v>0.15</v>
      </c>
      <c r="F324" s="1869"/>
    </row>
    <row r="325" spans="1:6" ht="15" thickBot="1">
      <c r="A325" s="1856" t="s">
        <v>2216</v>
      </c>
      <c r="B325" s="1860" t="s">
        <v>2224</v>
      </c>
      <c r="C325" s="1861">
        <v>0.15</v>
      </c>
      <c r="D325" s="1861">
        <v>0.15</v>
      </c>
      <c r="E325" s="1861">
        <v>0.15</v>
      </c>
      <c r="F325" s="1862">
        <v>0.14699999999999999</v>
      </c>
    </row>
    <row r="326" spans="1:6" ht="15" thickBot="1">
      <c r="A326" s="1856" t="s">
        <v>2216</v>
      </c>
      <c r="B326" s="1860" t="s">
        <v>1176</v>
      </c>
      <c r="C326" s="1861">
        <v>0.15</v>
      </c>
      <c r="D326" s="1861">
        <v>0.15</v>
      </c>
      <c r="E326" s="1861">
        <v>0.15</v>
      </c>
      <c r="F326" s="1869"/>
    </row>
    <row r="327" spans="1:6" ht="15" thickBot="1">
      <c r="A327" s="1856" t="s">
        <v>2216</v>
      </c>
      <c r="B327" s="1860" t="s">
        <v>2225</v>
      </c>
      <c r="C327" s="1861">
        <v>0.15</v>
      </c>
      <c r="D327" s="1861">
        <v>0.15</v>
      </c>
      <c r="E327" s="1861">
        <v>0.15</v>
      </c>
      <c r="F327" s="1862">
        <v>0.15</v>
      </c>
    </row>
    <row r="328" spans="1:6" ht="15" thickBot="1">
      <c r="A328" s="1856" t="s">
        <v>2216</v>
      </c>
      <c r="B328" s="1860" t="s">
        <v>1196</v>
      </c>
      <c r="C328" s="1861">
        <v>0.15</v>
      </c>
      <c r="D328" s="1861">
        <v>0.15</v>
      </c>
      <c r="E328" s="1861">
        <v>0.15</v>
      </c>
      <c r="F328" s="1862">
        <v>0.14099999999999999</v>
      </c>
    </row>
    <row r="329" spans="1:6" ht="15" thickBot="1">
      <c r="A329" s="1856" t="s">
        <v>2216</v>
      </c>
      <c r="B329" s="1860" t="s">
        <v>1206</v>
      </c>
      <c r="C329" s="1861">
        <v>0.15</v>
      </c>
      <c r="D329" s="1861">
        <v>0.15</v>
      </c>
      <c r="E329" s="1861">
        <v>0.15</v>
      </c>
      <c r="F329" s="1862">
        <v>0.15</v>
      </c>
    </row>
    <row r="330" spans="1:6" ht="15" thickBot="1">
      <c r="A330" s="1856" t="s">
        <v>2216</v>
      </c>
      <c r="B330" s="1860" t="s">
        <v>1216</v>
      </c>
      <c r="C330" s="1861">
        <v>0.15</v>
      </c>
      <c r="D330" s="1861">
        <v>0.15</v>
      </c>
      <c r="E330" s="1861">
        <v>0.15</v>
      </c>
      <c r="F330" s="1869"/>
    </row>
    <row r="331" spans="1:6" ht="15" thickBot="1">
      <c r="A331" s="1856" t="s">
        <v>2216</v>
      </c>
      <c r="B331" s="1860" t="s">
        <v>2226</v>
      </c>
      <c r="C331" s="1861">
        <v>0.15</v>
      </c>
      <c r="D331" s="1861">
        <v>0.15</v>
      </c>
      <c r="E331" s="1861">
        <v>0.15</v>
      </c>
      <c r="F331" s="1862">
        <v>0.15</v>
      </c>
    </row>
    <row r="332" spans="1:6" ht="15" thickBot="1">
      <c r="A332" s="1856" t="s">
        <v>2216</v>
      </c>
      <c r="B332" s="1860" t="s">
        <v>1236</v>
      </c>
      <c r="C332" s="1861">
        <v>0.15</v>
      </c>
      <c r="D332" s="1861">
        <v>0.15</v>
      </c>
      <c r="E332" s="1861">
        <v>0.15</v>
      </c>
      <c r="F332" s="1862">
        <v>0.15</v>
      </c>
    </row>
    <row r="333" spans="1:6" ht="15" thickBot="1">
      <c r="A333" s="1856" t="s">
        <v>2216</v>
      </c>
      <c r="B333" s="1860" t="s">
        <v>2227</v>
      </c>
      <c r="C333" s="1861">
        <v>0.15</v>
      </c>
      <c r="D333" s="1861">
        <v>0.15</v>
      </c>
      <c r="E333" s="1861">
        <v>0.15</v>
      </c>
      <c r="F333" s="1862">
        <v>0.14099999999999999</v>
      </c>
    </row>
    <row r="334" spans="1:6" ht="15" thickBot="1">
      <c r="A334" s="1856" t="s">
        <v>2216</v>
      </c>
      <c r="B334" s="1860" t="s">
        <v>1256</v>
      </c>
      <c r="C334" s="1861">
        <v>0.15</v>
      </c>
      <c r="D334" s="1861">
        <v>0.15</v>
      </c>
      <c r="E334" s="1861">
        <v>0.15</v>
      </c>
      <c r="F334" s="1862">
        <v>0.15</v>
      </c>
    </row>
    <row r="335" spans="1:6" ht="15" thickBot="1">
      <c r="A335" s="1856" t="s">
        <v>2216</v>
      </c>
      <c r="B335" s="1860" t="s">
        <v>1266</v>
      </c>
      <c r="C335" s="1861">
        <v>0.15</v>
      </c>
      <c r="D335" s="1861">
        <v>0.15</v>
      </c>
      <c r="E335" s="1861">
        <v>0.15</v>
      </c>
      <c r="F335" s="1869"/>
    </row>
    <row r="336" spans="1:6" ht="15" thickBot="1">
      <c r="A336" s="1856" t="s">
        <v>2216</v>
      </c>
      <c r="B336" s="1860" t="s">
        <v>2228</v>
      </c>
      <c r="C336" s="1861">
        <v>0.15</v>
      </c>
      <c r="D336" s="1861">
        <v>0.15</v>
      </c>
      <c r="E336" s="1861">
        <v>0.15</v>
      </c>
      <c r="F336" s="1862">
        <v>0.11799999999999999</v>
      </c>
    </row>
    <row r="337" spans="1:6" ht="15" thickBot="1">
      <c r="A337" s="1864" t="s">
        <v>2216</v>
      </c>
      <c r="B337" s="1871" t="s">
        <v>1284</v>
      </c>
      <c r="C337" s="1867"/>
      <c r="D337" s="1867"/>
      <c r="E337" s="1867"/>
      <c r="F337" s="1872">
        <v>0.14299999999999999</v>
      </c>
    </row>
    <row r="338" spans="1:6" ht="15" thickBot="1">
      <c r="A338" s="1856" t="s">
        <v>2229</v>
      </c>
      <c r="B338" s="1857" t="s">
        <v>2230</v>
      </c>
      <c r="C338" s="1858">
        <v>0.15</v>
      </c>
      <c r="D338" s="1858">
        <v>0.15</v>
      </c>
      <c r="E338" s="1858">
        <v>0.15</v>
      </c>
      <c r="F338" s="1880"/>
    </row>
    <row r="339" spans="1:6" ht="15" thickBot="1">
      <c r="A339" s="1856" t="s">
        <v>2229</v>
      </c>
      <c r="B339" s="1860" t="s">
        <v>2231</v>
      </c>
      <c r="C339" s="1861">
        <v>0.15</v>
      </c>
      <c r="D339" s="1861">
        <v>0.15</v>
      </c>
      <c r="E339" s="1861">
        <v>0.15</v>
      </c>
      <c r="F339" s="1869"/>
    </row>
    <row r="340" spans="1:6" ht="15" thickBot="1">
      <c r="A340" s="1856" t="s">
        <v>2229</v>
      </c>
      <c r="B340" s="1860" t="s">
        <v>2232</v>
      </c>
      <c r="C340" s="1861">
        <v>0.15</v>
      </c>
      <c r="D340" s="1861">
        <v>0.15</v>
      </c>
      <c r="E340" s="1861">
        <v>0.15</v>
      </c>
      <c r="F340" s="1869"/>
    </row>
    <row r="341" spans="1:6" ht="15" thickBot="1">
      <c r="A341" s="1856" t="s">
        <v>2233</v>
      </c>
      <c r="B341" s="1860" t="s">
        <v>2234</v>
      </c>
      <c r="C341" s="1861">
        <v>0.15</v>
      </c>
      <c r="D341" s="1861">
        <v>0.15</v>
      </c>
      <c r="E341" s="1861">
        <v>0.15</v>
      </c>
      <c r="F341" s="1862">
        <v>0.15</v>
      </c>
    </row>
    <row r="342" spans="1:6" ht="15" thickBot="1">
      <c r="A342" s="1856" t="s">
        <v>2229</v>
      </c>
      <c r="B342" s="1860" t="s">
        <v>2235</v>
      </c>
      <c r="C342" s="1861">
        <v>0.15</v>
      </c>
      <c r="D342" s="1861">
        <v>0.15</v>
      </c>
      <c r="E342" s="1861">
        <v>0.15</v>
      </c>
      <c r="F342" s="1862">
        <v>0.15</v>
      </c>
    </row>
    <row r="343" spans="1:6" ht="15" thickBot="1">
      <c r="A343" s="1856" t="s">
        <v>2229</v>
      </c>
      <c r="B343" s="1860" t="s">
        <v>2236</v>
      </c>
      <c r="C343" s="1861">
        <v>0.15</v>
      </c>
      <c r="D343" s="1861">
        <v>0.15</v>
      </c>
      <c r="E343" s="1861">
        <v>0.15</v>
      </c>
      <c r="F343" s="1862">
        <v>0.15</v>
      </c>
    </row>
    <row r="344" spans="1:6" ht="1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9" t="s">
        <v>2948</v>
      </c>
      <c r="B1" s="3081"/>
      <c r="C1" s="3081"/>
      <c r="D1" s="3081"/>
      <c r="E1" s="3081"/>
      <c r="F1" s="3081"/>
    </row>
    <row r="2" spans="1:6" ht="15.6">
      <c r="A2" s="3082" t="s">
        <v>2943</v>
      </c>
      <c r="B2" s="3083" t="e">
        <f ca="1">SUMIF(B7:B14,"&lt;&gt;#ref!",B7:B14)</f>
        <v>#DIV/0!</v>
      </c>
      <c r="C2" s="3082" t="s">
        <v>2944</v>
      </c>
      <c r="D2" s="3081"/>
      <c r="E2" s="3081"/>
      <c r="F2" s="3081"/>
    </row>
    <row r="3" spans="1:6" ht="15.6">
      <c r="A3" s="3082" t="s">
        <v>2976</v>
      </c>
      <c r="B3" s="3083" t="e">
        <f ca="1">ROUND(B2*10000/E3,0)</f>
        <v>#DIV/0!</v>
      </c>
      <c r="C3" s="3082" t="s">
        <v>2078</v>
      </c>
      <c r="D3" s="3082" t="s">
        <v>2945</v>
      </c>
      <c r="E3" s="3083">
        <f ca="1">SUMIF(E7:E14,"&lt;&gt;#ref!",E7:E14)</f>
        <v>0</v>
      </c>
      <c r="F3" s="3081"/>
    </row>
    <row r="4" spans="1:6" ht="15.6">
      <c r="A4" s="3082" t="s">
        <v>2952</v>
      </c>
      <c r="B4" s="3083" t="e">
        <f ca="1">ROUND(B2*10000/E4,0)</f>
        <v>#DIV/0!</v>
      </c>
      <c r="C4" s="3082" t="s">
        <v>2078</v>
      </c>
      <c r="D4" s="3082" t="s">
        <v>2953</v>
      </c>
      <c r="E4" s="3083">
        <f ca="1">SUMIF(F7:F14,"&lt;&gt;#ref!",F7:F14)</f>
        <v>0</v>
      </c>
      <c r="F4" s="3081"/>
    </row>
    <row r="5" spans="1:6" ht="15.6">
      <c r="A5" s="3084"/>
      <c r="B5" s="1882"/>
      <c r="C5" s="1882"/>
      <c r="D5" s="1882"/>
      <c r="E5" s="1882"/>
      <c r="F5" s="3081"/>
    </row>
    <row r="6" spans="1:6" ht="31.2">
      <c r="A6" s="3085" t="s">
        <v>2949</v>
      </c>
      <c r="B6" s="3082" t="s">
        <v>2946</v>
      </c>
      <c r="C6" s="3083"/>
      <c r="D6" s="1882"/>
      <c r="E6" s="3082" t="s">
        <v>2947</v>
      </c>
      <c r="F6" s="3082" t="s">
        <v>2951</v>
      </c>
    </row>
    <row r="7" spans="1:6" ht="15.6">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5.6">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5.6">
      <c r="A9" s="260"/>
      <c r="B9" s="3086" t="e">
        <f t="shared" ca="1" si="0"/>
        <v>#REF!</v>
      </c>
      <c r="C9" s="3082" t="s">
        <v>2944</v>
      </c>
      <c r="D9" s="1882"/>
      <c r="E9" s="3087" t="e">
        <f t="shared" ca="1" si="1"/>
        <v>#REF!</v>
      </c>
      <c r="F9" s="3087" t="e">
        <f t="shared" ca="1" si="2"/>
        <v>#REF!</v>
      </c>
    </row>
    <row r="10" spans="1:6" ht="15.6">
      <c r="A10" s="260"/>
      <c r="B10" s="3086" t="e">
        <f t="shared" ca="1" si="0"/>
        <v>#REF!</v>
      </c>
      <c r="C10" s="3082" t="s">
        <v>2944</v>
      </c>
      <c r="D10" s="1882"/>
      <c r="E10" s="3087" t="e">
        <f t="shared" ca="1" si="1"/>
        <v>#REF!</v>
      </c>
      <c r="F10" s="3087" t="e">
        <f t="shared" ca="1" si="2"/>
        <v>#REF!</v>
      </c>
    </row>
    <row r="11" spans="1:6" ht="15.6">
      <c r="A11" s="260"/>
      <c r="B11" s="3086" t="e">
        <f t="shared" ca="1" si="0"/>
        <v>#REF!</v>
      </c>
      <c r="C11" s="3082" t="s">
        <v>2944</v>
      </c>
      <c r="D11" s="1882"/>
      <c r="E11" s="3087" t="e">
        <f t="shared" ca="1" si="1"/>
        <v>#REF!</v>
      </c>
      <c r="F11" s="3087" t="e">
        <f t="shared" ca="1" si="2"/>
        <v>#REF!</v>
      </c>
    </row>
    <row r="12" spans="1:6" ht="15.6">
      <c r="A12" s="260"/>
      <c r="B12" s="3086" t="e">
        <f t="shared" ca="1" si="0"/>
        <v>#REF!</v>
      </c>
      <c r="C12" s="3082" t="s">
        <v>2944</v>
      </c>
      <c r="D12" s="1882"/>
      <c r="E12" s="3087" t="e">
        <f t="shared" ca="1" si="1"/>
        <v>#REF!</v>
      </c>
      <c r="F12" s="3087" t="e">
        <f t="shared" ca="1" si="2"/>
        <v>#REF!</v>
      </c>
    </row>
    <row r="13" spans="1:6" ht="15.6">
      <c r="A13" s="260"/>
      <c r="B13" s="3086" t="e">
        <f t="shared" ca="1" si="0"/>
        <v>#REF!</v>
      </c>
      <c r="C13" s="3082" t="s">
        <v>2944</v>
      </c>
      <c r="D13" s="1882"/>
      <c r="E13" s="3087" t="e">
        <f t="shared" ca="1" si="1"/>
        <v>#REF!</v>
      </c>
      <c r="F13" s="3087" t="e">
        <f t="shared" ca="1" si="2"/>
        <v>#REF!</v>
      </c>
    </row>
    <row r="14" spans="1:6" ht="15.6">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23" t="s">
        <v>2460</v>
      </c>
      <c r="C8" s="1826">
        <f ca="1">ROUND(F8*F10*F9*(1-F11)/10000,0)</f>
        <v>0</v>
      </c>
      <c r="D8" s="1823" t="s">
        <v>2531</v>
      </c>
      <c r="E8" s="61" t="s">
        <v>637</v>
      </c>
      <c r="F8" s="785">
        <f ca="1">INDIRECT("'数据-取费表'!u"&amp;$G$1)</f>
        <v>0</v>
      </c>
      <c r="G8" s="1593"/>
      <c r="H8" s="2483" t="s">
        <v>1824</v>
      </c>
      <c r="I8" s="3423" t="s">
        <v>2460</v>
      </c>
      <c r="J8" s="783">
        <f ca="1">ROUND(M8*M10*M9*(1-M11)/10000,0)</f>
        <v>0</v>
      </c>
      <c r="K8" s="341" t="s">
        <v>2531</v>
      </c>
      <c r="L8" s="784" t="s">
        <v>1738</v>
      </c>
      <c r="M8" s="785">
        <f ca="1">INDIRECT("'数据-取费表'!z"&amp;$G$1)</f>
        <v>0</v>
      </c>
    </row>
    <row r="9" spans="1:25" ht="18" customHeight="1">
      <c r="A9" s="2479"/>
      <c r="B9" s="3424"/>
      <c r="C9" s="1827"/>
      <c r="D9" s="1824"/>
      <c r="E9" s="61" t="s">
        <v>638</v>
      </c>
      <c r="F9" s="785">
        <f ca="1">IF(INDIRECT("'数据-取费表'!ah"&amp;$G$1)="",INDIRECT("'数据-取费表'!k"&amp;$G$1),INDIRECT("'数据-取费表'!ah"&amp;$G$1))</f>
        <v>0</v>
      </c>
      <c r="G9" s="1593"/>
      <c r="H9" s="2468"/>
      <c r="I9" s="3424"/>
      <c r="J9" s="788"/>
      <c r="K9" s="789"/>
      <c r="L9" s="784" t="s">
        <v>1739</v>
      </c>
      <c r="M9" s="785">
        <f ca="1">F9</f>
        <v>0</v>
      </c>
    </row>
    <row r="10" spans="1:25" ht="18" customHeight="1">
      <c r="A10" s="2472"/>
      <c r="B10" s="3425"/>
      <c r="C10" s="1827"/>
      <c r="D10" s="1824"/>
      <c r="E10" s="61" t="s">
        <v>639</v>
      </c>
      <c r="F10" s="785">
        <f ca="1">INDIRECT("'数据-取费表'!ai"&amp;$G$1)</f>
        <v>0</v>
      </c>
      <c r="G10" s="1593"/>
      <c r="H10" s="2468"/>
      <c r="I10" s="3425"/>
      <c r="J10" s="788"/>
      <c r="K10" s="789"/>
      <c r="L10" s="784" t="s">
        <v>1740</v>
      </c>
      <c r="M10" s="785">
        <f ca="1">INDIRECT("'数据-取费表'!ai"&amp;$G$1)</f>
        <v>0</v>
      </c>
    </row>
    <row r="11" spans="1:25" ht="18" customHeight="1">
      <c r="A11" s="786"/>
      <c r="B11" s="3426"/>
      <c r="C11" s="1827"/>
      <c r="D11" s="1824"/>
      <c r="E11" s="61" t="s">
        <v>640</v>
      </c>
      <c r="F11" s="794">
        <f ca="1">INDIRECT("'数据-取费表'!w"&amp;$G$1)</f>
        <v>0</v>
      </c>
      <c r="G11" s="1593"/>
      <c r="H11" s="2484"/>
      <c r="I11" s="3425"/>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5.0000000000000001E-4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31.8" thickBot="1">
      <c r="A54" s="2097"/>
      <c r="I54" s="3126" t="s">
        <v>2977</v>
      </c>
      <c r="J54" s="3129">
        <f ca="1">IF(M48="住宅",MAX(J52,L49-'数据-取费表'!B20),MIN(J52,L49-'数据-取费表'!B20))</f>
        <v>-1.5</v>
      </c>
      <c r="K54" s="3427"/>
      <c r="L54" s="3428"/>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2"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7.4"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31.8"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31.8"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31.8"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6.2"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19.2" thickBot="1">
      <c r="A62" s="2097"/>
      <c r="B62" s="2098"/>
      <c r="C62" s="2098"/>
      <c r="K62" s="2087"/>
      <c r="O62" s="2380" t="s">
        <v>2383</v>
      </c>
      <c r="P62" s="2378" t="s">
        <v>2391</v>
      </c>
      <c r="Q62" s="2379">
        <f ca="1">L59</f>
        <v>0</v>
      </c>
      <c r="R62" s="2382" t="s">
        <v>2392</v>
      </c>
    </row>
    <row r="63" spans="1:18" s="2060" customFormat="1" ht="19.2"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6.2"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2" thickBot="1">
      <c r="A65" s="2097"/>
      <c r="B65" s="2098"/>
      <c r="C65" s="2098"/>
      <c r="I65" s="3146" t="s">
        <v>2368</v>
      </c>
      <c r="J65" s="3147">
        <v>50</v>
      </c>
      <c r="K65" s="3147">
        <v>35</v>
      </c>
      <c r="L65" s="3147">
        <v>60</v>
      </c>
      <c r="M65" s="846">
        <v>0</v>
      </c>
      <c r="O65" s="2383" t="s">
        <v>2412</v>
      </c>
      <c r="P65" s="1593"/>
      <c r="Q65" s="1605"/>
      <c r="R65" s="1593"/>
    </row>
    <row r="66" spans="1:18" s="2060" customFormat="1" ht="16.2"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6.2" thickBot="1">
      <c r="A67" s="2097"/>
      <c r="B67" s="2098"/>
      <c r="C67" s="2098"/>
      <c r="K67" s="2087"/>
      <c r="O67" s="2377" t="s">
        <v>2376</v>
      </c>
      <c r="P67" s="2378" t="s">
        <v>2402</v>
      </c>
      <c r="Q67" s="2379">
        <f ca="1">C41+J31</f>
        <v>0</v>
      </c>
      <c r="R67" s="2378" t="s">
        <v>2377</v>
      </c>
    </row>
    <row r="68" spans="1:18" s="2060" customFormat="1" ht="19.2" thickBot="1">
      <c r="A68" s="2097"/>
      <c r="B68" s="2098"/>
      <c r="C68" s="2098"/>
      <c r="K68" s="2087"/>
      <c r="O68" s="2377" t="s">
        <v>2378</v>
      </c>
      <c r="P68" s="2378" t="s">
        <v>2409</v>
      </c>
      <c r="Q68" s="2379" t="e">
        <f ca="1">L61</f>
        <v>#DIV/0!</v>
      </c>
      <c r="R68" s="2382" t="s">
        <v>2411</v>
      </c>
    </row>
    <row r="69" spans="1:18" s="2060" customFormat="1" ht="20.399999999999999" thickBot="1">
      <c r="A69" s="2097"/>
      <c r="B69" s="2098"/>
      <c r="C69" s="2098"/>
      <c r="K69" s="2087"/>
      <c r="O69" s="2380" t="s">
        <v>2380</v>
      </c>
      <c r="P69" s="2378" t="s">
        <v>2410</v>
      </c>
      <c r="Q69" s="2384">
        <f ca="1">L52</f>
        <v>0</v>
      </c>
      <c r="R69" s="2385" t="s">
        <v>2413</v>
      </c>
    </row>
    <row r="70" spans="1:18" s="2060" customFormat="1" ht="19.2" thickBot="1">
      <c r="A70" s="2097"/>
      <c r="B70" s="2098"/>
      <c r="C70" s="2098"/>
      <c r="K70" s="2087"/>
      <c r="O70" s="2380" t="s">
        <v>2381</v>
      </c>
      <c r="P70" s="2386" t="s">
        <v>2395</v>
      </c>
      <c r="Q70" s="2379">
        <f ca="1">ROUND(Q71-Q72*Q73,0)</f>
        <v>0</v>
      </c>
      <c r="R70" s="2382"/>
    </row>
    <row r="71" spans="1:18" s="2060" customFormat="1" ht="16.2" thickBot="1">
      <c r="A71" s="2097"/>
      <c r="B71" s="2098"/>
      <c r="C71" s="2098"/>
      <c r="K71" s="2087"/>
      <c r="O71" s="2380" t="s">
        <v>2396</v>
      </c>
      <c r="P71" s="2386" t="s">
        <v>2397</v>
      </c>
      <c r="Q71" s="2379">
        <f ca="1">C42</f>
        <v>0</v>
      </c>
      <c r="R71" s="2378" t="s">
        <v>2377</v>
      </c>
    </row>
    <row r="72" spans="1:18" s="2060" customFormat="1" ht="16.2" thickBot="1">
      <c r="A72" s="2097"/>
      <c r="B72" s="2098"/>
      <c r="C72" s="2098"/>
      <c r="K72" s="2087"/>
      <c r="O72" s="2380" t="s">
        <v>2398</v>
      </c>
      <c r="P72" s="2386" t="s">
        <v>2399</v>
      </c>
      <c r="Q72" s="2379">
        <f ca="1">C15</f>
        <v>0</v>
      </c>
      <c r="R72" s="2378" t="s">
        <v>2377</v>
      </c>
    </row>
    <row r="73" spans="1:18" s="2060" customFormat="1" ht="16.2" thickBot="1">
      <c r="A73" s="2097"/>
      <c r="B73" s="2098"/>
      <c r="C73" s="2098"/>
      <c r="K73" s="2087"/>
      <c r="O73" s="2380" t="s">
        <v>2400</v>
      </c>
      <c r="P73" s="2386" t="s">
        <v>2401</v>
      </c>
      <c r="Q73" s="2381">
        <f ca="1">F43</f>
        <v>0</v>
      </c>
      <c r="R73" s="2382"/>
    </row>
    <row r="74" spans="1:18" s="2060" customFormat="1" ht="16.2" thickBot="1">
      <c r="A74" s="2097"/>
      <c r="B74" s="2098"/>
      <c r="C74" s="2098"/>
      <c r="K74" s="2087"/>
      <c r="O74" s="2380" t="s">
        <v>2383</v>
      </c>
      <c r="P74" s="2378" t="s">
        <v>2390</v>
      </c>
      <c r="Q74" s="2381">
        <f>L53</f>
        <v>0</v>
      </c>
      <c r="R74" s="2382"/>
    </row>
    <row r="75" spans="1:18" s="2060" customFormat="1" ht="19.2" thickBot="1">
      <c r="A75" s="2097"/>
      <c r="B75" s="2098"/>
      <c r="C75" s="2098"/>
      <c r="K75" s="2087"/>
      <c r="O75" s="2380" t="s">
        <v>2385</v>
      </c>
      <c r="P75" s="2378" t="s">
        <v>2391</v>
      </c>
      <c r="Q75" s="2379">
        <f ca="1">L59</f>
        <v>0</v>
      </c>
      <c r="R75" s="2382" t="s">
        <v>2392</v>
      </c>
    </row>
    <row r="76" spans="1:18" s="2060" customFormat="1" ht="19.2" thickBot="1">
      <c r="A76" s="2097"/>
      <c r="B76" s="2098"/>
      <c r="C76" s="2098"/>
      <c r="K76" s="2087"/>
      <c r="O76" s="2380" t="s">
        <v>2414</v>
      </c>
      <c r="P76" s="2378" t="s">
        <v>2393</v>
      </c>
      <c r="Q76" s="2379">
        <f ca="1">L60</f>
        <v>0</v>
      </c>
      <c r="R76" s="2382" t="s">
        <v>2394</v>
      </c>
    </row>
    <row r="77" spans="1:18" s="2060" customFormat="1" ht="16.2"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3.2"/>
  <cols>
    <col min="1" max="1" width="9" style="2641"/>
    <col min="2" max="6" width="9" style="2641" customWidth="1"/>
    <col min="7" max="7" width="9" style="2657" customWidth="1"/>
    <col min="8" max="12" width="9" style="2641" customWidth="1"/>
    <col min="13" max="13" width="2.21875" style="2641" customWidth="1"/>
    <col min="14" max="14" width="9" style="2657" customWidth="1"/>
    <col min="15" max="17" width="9" style="2641" customWidth="1"/>
    <col min="18" max="18" width="2.33203125" style="2641" customWidth="1"/>
    <col min="19" max="19" width="7.109375" style="2657" customWidth="1"/>
    <col min="20" max="22" width="7.109375" style="2641" customWidth="1"/>
    <col min="23" max="23" width="24" style="2641" customWidth="1"/>
    <col min="24" max="25" width="9" style="2641"/>
    <col min="26" max="27" width="11.6640625" style="2641" customWidth="1"/>
    <col min="28" max="28" width="9" style="2641"/>
    <col min="29" max="29" width="2" style="2641" customWidth="1"/>
    <col min="30" max="16384" width="9" style="2641"/>
  </cols>
  <sheetData>
    <row r="1" spans="1:34" s="2632" customFormat="1">
      <c r="B1" s="3436" t="s">
        <v>2573</v>
      </c>
      <c r="C1" s="3436"/>
      <c r="D1" s="3436"/>
      <c r="E1" s="3436"/>
      <c r="F1" s="3436"/>
      <c r="G1" s="3435" t="s">
        <v>2574</v>
      </c>
      <c r="H1" s="3435"/>
      <c r="I1" s="3435"/>
      <c r="J1" s="3435"/>
      <c r="K1" s="3435"/>
      <c r="L1" s="3435"/>
      <c r="N1" s="3435" t="s">
        <v>2575</v>
      </c>
      <c r="O1" s="3435"/>
      <c r="P1" s="3435"/>
      <c r="Q1" s="3435"/>
      <c r="R1" s="2633"/>
      <c r="S1" s="3435" t="s">
        <v>2576</v>
      </c>
      <c r="T1" s="3435"/>
      <c r="U1" s="3435"/>
      <c r="V1" s="3435"/>
      <c r="X1" s="3434" t="s">
        <v>2636</v>
      </c>
      <c r="Y1" s="3435"/>
      <c r="Z1" s="3435"/>
      <c r="AA1" s="3435"/>
      <c r="AB1" s="3435"/>
      <c r="AD1" s="3434" t="s">
        <v>2640</v>
      </c>
      <c r="AE1" s="3435"/>
      <c r="AF1" s="3435"/>
      <c r="AG1" s="3435"/>
      <c r="AH1" s="3435"/>
    </row>
    <row r="2" spans="1:34" s="2734" customFormat="1" ht="1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4">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4">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30">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0"/>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0"/>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29">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0"/>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30"/>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3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29">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0"/>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30"/>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8"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3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8" thickBot="1">
      <c r="A18" s="2634" t="s">
        <v>967</v>
      </c>
      <c r="B18" s="2639">
        <v>333</v>
      </c>
      <c r="C18" s="2639">
        <v>277</v>
      </c>
      <c r="D18" s="2639">
        <f t="shared" si="65"/>
        <v>277</v>
      </c>
      <c r="E18" s="2639">
        <v>459</v>
      </c>
      <c r="F18" s="2640">
        <v>249</v>
      </c>
      <c r="G18" s="3432">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0"/>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30"/>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3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8" thickBot="1">
      <c r="A22" s="2634" t="s">
        <v>963</v>
      </c>
      <c r="B22" s="2661">
        <v>318</v>
      </c>
      <c r="C22" s="2661">
        <v>268</v>
      </c>
      <c r="D22" s="2661">
        <f t="shared" si="65"/>
        <v>268</v>
      </c>
      <c r="E22" s="2661">
        <v>437</v>
      </c>
      <c r="F22" s="2662">
        <v>237</v>
      </c>
      <c r="G22" s="3432">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0"/>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8"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30"/>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8"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3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8" thickBot="1">
      <c r="A26" s="2634" t="s">
        <v>2580</v>
      </c>
      <c r="B26" s="2639">
        <v>299</v>
      </c>
      <c r="C26" s="2639">
        <v>252</v>
      </c>
      <c r="D26" s="2639">
        <f t="shared" si="65"/>
        <v>252</v>
      </c>
      <c r="E26" s="2639">
        <v>409</v>
      </c>
      <c r="F26" s="2640">
        <v>227</v>
      </c>
      <c r="G26" s="343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3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3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8" thickBot="1">
      <c r="A30" s="2634" t="s">
        <v>2584</v>
      </c>
      <c r="B30" s="2677">
        <v>278</v>
      </c>
      <c r="C30" s="2677">
        <v>234</v>
      </c>
      <c r="D30" s="2677">
        <f t="shared" si="65"/>
        <v>234</v>
      </c>
      <c r="E30" s="2677">
        <v>379</v>
      </c>
      <c r="F30" s="2678">
        <v>220</v>
      </c>
      <c r="G30" s="3432">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30"/>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30"/>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8" thickBot="1">
      <c r="A33" s="2634" t="s">
        <v>2587</v>
      </c>
      <c r="B33" s="2647">
        <f>B32/(1+N32)</f>
        <v>275.19025476197027</v>
      </c>
      <c r="C33" s="2679">
        <v>232</v>
      </c>
      <c r="D33" s="2679">
        <f t="shared" si="65"/>
        <v>232</v>
      </c>
      <c r="E33" s="2647">
        <f t="shared" si="76"/>
        <v>375.65990977608692</v>
      </c>
      <c r="F33" s="2647">
        <f t="shared" si="76"/>
        <v>214.12518283971252</v>
      </c>
      <c r="G33" s="343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8" thickBot="1">
      <c r="A34" s="2634" t="s">
        <v>2588</v>
      </c>
      <c r="B34" s="2639">
        <v>275</v>
      </c>
      <c r="C34" s="2639">
        <v>232</v>
      </c>
      <c r="D34" s="2639">
        <f t="shared" si="65"/>
        <v>232</v>
      </c>
      <c r="E34" s="2639">
        <v>376</v>
      </c>
      <c r="F34" s="2640">
        <v>213</v>
      </c>
      <c r="G34" s="3432">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0">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30">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8"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3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8" thickBot="1">
      <c r="A38" s="2634" t="s">
        <v>2592</v>
      </c>
      <c r="B38" s="2639">
        <v>269</v>
      </c>
      <c r="C38" s="2639">
        <v>221</v>
      </c>
      <c r="D38" s="2639">
        <f t="shared" si="65"/>
        <v>221</v>
      </c>
      <c r="E38" s="2639">
        <v>373</v>
      </c>
      <c r="F38" s="2640">
        <v>196</v>
      </c>
      <c r="G38" s="3432">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0">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30">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8"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3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8" thickBot="1">
      <c r="A42" s="2634" t="s">
        <v>2596</v>
      </c>
      <c r="B42" s="2639">
        <v>220</v>
      </c>
      <c r="C42" s="2639">
        <v>187</v>
      </c>
      <c r="D42" s="2639">
        <f t="shared" si="65"/>
        <v>187</v>
      </c>
      <c r="E42" s="2639">
        <v>301</v>
      </c>
      <c r="F42" s="2640">
        <v>168</v>
      </c>
      <c r="G42" s="3432">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0">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30">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3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8" thickBot="1">
      <c r="A46" s="2634" t="s">
        <v>2600</v>
      </c>
      <c r="B46" s="2677">
        <v>214</v>
      </c>
      <c r="C46" s="2677">
        <v>188</v>
      </c>
      <c r="D46" s="2677">
        <f t="shared" si="65"/>
        <v>188</v>
      </c>
      <c r="E46" s="2677">
        <v>289</v>
      </c>
      <c r="F46" s="2678">
        <v>166</v>
      </c>
      <c r="G46" s="3432">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0">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30">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8"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3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8" thickBot="1">
      <c r="A50" s="2634" t="s">
        <v>2604</v>
      </c>
      <c r="B50" s="2639">
        <v>188</v>
      </c>
      <c r="C50" s="2639">
        <v>165</v>
      </c>
      <c r="D50" s="2639">
        <f t="shared" si="65"/>
        <v>165</v>
      </c>
      <c r="E50" s="2639">
        <v>254</v>
      </c>
      <c r="F50" s="2640">
        <v>148</v>
      </c>
      <c r="G50" s="3432">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0">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30">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3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8" thickBot="1">
      <c r="A54" s="2634" t="s">
        <v>2608</v>
      </c>
      <c r="B54" s="2661">
        <v>159</v>
      </c>
      <c r="C54" s="2661">
        <v>141</v>
      </c>
      <c r="D54" s="2661">
        <f t="shared" si="65"/>
        <v>141</v>
      </c>
      <c r="E54" s="2661">
        <v>195</v>
      </c>
      <c r="F54" s="2662">
        <v>122</v>
      </c>
      <c r="G54" s="3432">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0">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30">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3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8" thickBot="1">
      <c r="A58" s="2634" t="s">
        <v>2612</v>
      </c>
      <c r="B58" s="2661">
        <v>138</v>
      </c>
      <c r="C58" s="2661">
        <v>131</v>
      </c>
      <c r="D58" s="2661">
        <f t="shared" si="65"/>
        <v>131</v>
      </c>
      <c r="E58" s="2661">
        <v>155</v>
      </c>
      <c r="F58" s="2662">
        <v>114</v>
      </c>
      <c r="G58" s="3432">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0">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30">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3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8" thickBot="1">
      <c r="A62" s="2634" t="s">
        <v>2616</v>
      </c>
      <c r="B62" s="2677">
        <v>121</v>
      </c>
      <c r="C62" s="2677">
        <v>122</v>
      </c>
      <c r="D62" s="2677">
        <f t="shared" si="65"/>
        <v>122</v>
      </c>
      <c r="E62" s="2677">
        <v>124</v>
      </c>
      <c r="F62" s="2678">
        <v>107</v>
      </c>
      <c r="G62" s="3432">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0">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30">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8"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3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8" thickBot="1">
      <c r="A66" s="2634" t="s">
        <v>2620</v>
      </c>
      <c r="B66" s="2698">
        <v>111</v>
      </c>
      <c r="C66" s="2698">
        <v>114</v>
      </c>
      <c r="D66" s="2698">
        <f t="shared" si="65"/>
        <v>114</v>
      </c>
      <c r="E66" s="2698">
        <v>108</v>
      </c>
      <c r="F66" s="2699">
        <v>104</v>
      </c>
      <c r="G66" s="3432">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30">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30">
        <v>2003</v>
      </c>
      <c r="H68" s="2638">
        <v>2</v>
      </c>
      <c r="I68" s="2700"/>
      <c r="J68" s="2700"/>
      <c r="K68" s="2700"/>
      <c r="L68" s="2700"/>
      <c r="X68" s="2692"/>
      <c r="Y68" s="2692"/>
      <c r="Z68" s="2692"/>
    </row>
    <row r="69" spans="1:26" ht="13.8" thickBot="1">
      <c r="A69" s="2634" t="s">
        <v>2623</v>
      </c>
      <c r="B69" s="2702">
        <f t="shared" si="101"/>
        <v>107.25</v>
      </c>
      <c r="C69" s="2702">
        <f t="shared" si="101"/>
        <v>108.75</v>
      </c>
      <c r="D69" s="2702">
        <f t="shared" si="65"/>
        <v>108.75</v>
      </c>
      <c r="E69" s="2702">
        <f t="shared" si="102"/>
        <v>105.75</v>
      </c>
      <c r="F69" s="2702">
        <f t="shared" si="102"/>
        <v>102.5</v>
      </c>
      <c r="G69" s="3433">
        <v>2003</v>
      </c>
      <c r="H69" s="2703">
        <v>1</v>
      </c>
      <c r="I69" s="2700"/>
      <c r="J69" s="2700"/>
      <c r="K69" s="2700"/>
      <c r="L69" s="2700"/>
      <c r="S69" s="2642"/>
      <c r="T69" s="2643"/>
      <c r="U69" s="2643"/>
      <c r="X69" s="2692"/>
      <c r="Y69" s="2692"/>
      <c r="Z69" s="2692"/>
    </row>
    <row r="70" spans="1:26" ht="13.8" thickBot="1">
      <c r="A70" s="2634" t="s">
        <v>2624</v>
      </c>
      <c r="B70" s="2704">
        <v>106</v>
      </c>
      <c r="C70" s="2704">
        <v>107</v>
      </c>
      <c r="D70" s="2704">
        <f t="shared" si="65"/>
        <v>107</v>
      </c>
      <c r="E70" s="2704">
        <v>105</v>
      </c>
      <c r="F70" s="2705">
        <v>102</v>
      </c>
      <c r="G70" s="3432">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30">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30">
        <v>2002</v>
      </c>
      <c r="H72" s="2638">
        <v>2</v>
      </c>
      <c r="I72" s="2700"/>
      <c r="J72" s="2700"/>
      <c r="K72" s="2700"/>
      <c r="L72" s="2700"/>
      <c r="X72" s="2692"/>
      <c r="Y72" s="2692"/>
      <c r="Z72" s="2692"/>
    </row>
    <row r="73" spans="1:26" s="2669" customFormat="1" ht="13.8" thickBot="1">
      <c r="A73" s="2665" t="s">
        <v>2627</v>
      </c>
      <c r="B73" s="2706">
        <f t="shared" si="103"/>
        <v>103</v>
      </c>
      <c r="C73" s="2706">
        <f t="shared" si="103"/>
        <v>104</v>
      </c>
      <c r="D73" s="2706">
        <f t="shared" si="65"/>
        <v>104</v>
      </c>
      <c r="E73" s="2706">
        <f t="shared" si="104"/>
        <v>103.5</v>
      </c>
      <c r="F73" s="2706">
        <f t="shared" si="104"/>
        <v>100.5</v>
      </c>
      <c r="G73" s="3433">
        <v>2002</v>
      </c>
      <c r="H73" s="2707">
        <v>1</v>
      </c>
      <c r="I73" s="2708"/>
      <c r="J73" s="2708"/>
      <c r="K73" s="2708"/>
      <c r="L73" s="2708"/>
      <c r="N73" s="2709"/>
      <c r="S73" s="2709"/>
      <c r="X73" s="2710"/>
      <c r="Y73" s="2710"/>
      <c r="Z73" s="2710"/>
    </row>
    <row r="74" spans="1:26" ht="13.8"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8"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8"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受贵公司委托，我公司对出让国有建设用地使用权市场价格进行了预评估。</v>
      </c>
    </row>
    <row r="5" spans="1:4" ht="17.399999999999999">
      <c r="A5" s="1795" t="s">
        <v>1905</v>
      </c>
    </row>
    <row r="6" spans="1:4" ht="69.599999999999994">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2.2">
      <c r="A7" s="1796" t="s">
        <v>2744</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2026</v>
      </c>
    </row>
    <row r="11" spans="1:4" ht="17.399999999999999">
      <c r="A11" s="1781" t="str">
        <f>TEXT(项目基本情况!D3,"yyyy年m月d日;;")&amp;IF(项目基本情况!B3=项目基本情况!D3,"（评估专业人员勘察现场之日）","")</f>
        <v>2019年1月21日（评估专业人员勘察现场之日）</v>
      </c>
    </row>
    <row r="12" spans="1:4" ht="17.399999999999999">
      <c r="A12" s="1798" t="s">
        <v>2025</v>
      </c>
    </row>
    <row r="13" spans="1:4" ht="17.399999999999999">
      <c r="A13" s="1792" t="s">
        <v>2940</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2072</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2073</v>
      </c>
    </row>
    <row r="20" spans="1:1" ht="52.2">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7.399999999999999">
      <c r="A21" s="1792" t="s">
        <v>2074</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2075</v>
      </c>
    </row>
    <row r="25" spans="1:1" ht="87">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2027</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42" sqref="F42"/>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47201</v>
      </c>
      <c r="C2" s="2058"/>
      <c r="D2" s="2056"/>
      <c r="E2" s="2057"/>
      <c r="F2" s="2057"/>
      <c r="G2" s="1591"/>
      <c r="H2" s="2058"/>
      <c r="I2" s="2058"/>
      <c r="J2" s="2058"/>
      <c r="K2" s="2059"/>
      <c r="L2" s="2058"/>
      <c r="M2" s="2058"/>
    </row>
    <row r="3" spans="1:33" ht="18" customHeight="1" thickBot="1">
      <c r="A3" s="833" t="s">
        <v>1727</v>
      </c>
      <c r="B3" s="834">
        <f ca="1">IF(ISERROR(B2*10000/F43),0,ROUND(B2*10000/F43,0))</f>
        <v>14230</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2837</v>
      </c>
      <c r="D5" s="2475" t="s">
        <v>2458</v>
      </c>
      <c r="E5" s="2469"/>
      <c r="F5" s="2470"/>
      <c r="G5" s="1593"/>
      <c r="H5" s="781">
        <v>1</v>
      </c>
      <c r="I5" s="782" t="s">
        <v>2455</v>
      </c>
      <c r="J5" s="55">
        <f ca="1">J6+J10+J12</f>
        <v>0</v>
      </c>
      <c r="K5" s="2475" t="s">
        <v>2458</v>
      </c>
      <c r="L5" s="2469"/>
      <c r="M5" s="2470"/>
    </row>
    <row r="6" spans="1:33" ht="18" customHeight="1">
      <c r="A6" s="1831" t="s">
        <v>1824</v>
      </c>
      <c r="B6" s="3423" t="s">
        <v>2460</v>
      </c>
      <c r="C6" s="783">
        <f ca="1">ROUND(F6*F8*F7*(1-F9)/10000,0)</f>
        <v>2833</v>
      </c>
      <c r="D6" s="2476" t="s">
        <v>2459</v>
      </c>
      <c r="E6" s="784" t="s">
        <v>1738</v>
      </c>
      <c r="F6" s="785">
        <f ca="1">INDIRECT("'数据-取费表'!u"&amp;$G$1)</f>
        <v>2.6</v>
      </c>
      <c r="G6" s="1593"/>
      <c r="H6" s="2483" t="s">
        <v>2465</v>
      </c>
      <c r="I6" s="3423" t="s">
        <v>2460</v>
      </c>
      <c r="J6" s="783">
        <f ca="1">ROUND(M6*M8*M7*(1-M9)/10000,0)</f>
        <v>0</v>
      </c>
      <c r="K6" s="341" t="s">
        <v>1737</v>
      </c>
      <c r="L6" s="784" t="s">
        <v>1738</v>
      </c>
      <c r="M6" s="785">
        <f ca="1">INDIRECT("'数据-取费表'!z"&amp;$G$1)</f>
        <v>0</v>
      </c>
    </row>
    <row r="7" spans="1:33" ht="18" customHeight="1">
      <c r="A7" s="2479"/>
      <c r="B7" s="3424"/>
      <c r="C7" s="788"/>
      <c r="D7" s="789"/>
      <c r="E7" s="784" t="s">
        <v>1739</v>
      </c>
      <c r="F7" s="785">
        <f ca="1">IF(INDIRECT("'数据-取费表'!ah"&amp;$G$1)="",INDIRECT("'数据-取费表'!k"&amp;$G$1),INDIRECT("'数据-取费表'!ah"&amp;$G$1))</f>
        <v>33168.99</v>
      </c>
      <c r="G7" s="1593"/>
      <c r="H7" s="2468"/>
      <c r="I7" s="3424"/>
      <c r="J7" s="788"/>
      <c r="K7" s="789"/>
      <c r="L7" s="784" t="s">
        <v>1739</v>
      </c>
      <c r="M7" s="785">
        <f ca="1">F7</f>
        <v>33168.99</v>
      </c>
    </row>
    <row r="8" spans="1:33" ht="18" customHeight="1">
      <c r="A8" s="2472"/>
      <c r="B8" s="3425"/>
      <c r="C8" s="788"/>
      <c r="D8" s="789"/>
      <c r="E8" s="784" t="s">
        <v>1740</v>
      </c>
      <c r="F8" s="785">
        <f ca="1">INDIRECT("'数据-取费表'!ai"&amp;$G$1)</f>
        <v>365</v>
      </c>
      <c r="G8" s="1593"/>
      <c r="H8" s="2468"/>
      <c r="I8" s="3425"/>
      <c r="J8" s="788"/>
      <c r="K8" s="789"/>
      <c r="L8" s="784" t="s">
        <v>1740</v>
      </c>
      <c r="M8" s="785">
        <f ca="1">INDIRECT("'数据-取费表'!ai"&amp;$G$1)</f>
        <v>365</v>
      </c>
    </row>
    <row r="9" spans="1:33" ht="18" customHeight="1">
      <c r="A9" s="786"/>
      <c r="B9" s="3426"/>
      <c r="C9" s="788"/>
      <c r="D9" s="789"/>
      <c r="E9" s="784" t="s">
        <v>1741</v>
      </c>
      <c r="F9" s="794">
        <f ca="1">INDIRECT("'数据-取费表'!w"&amp;$G$1)</f>
        <v>0.1</v>
      </c>
      <c r="G9" s="1593"/>
      <c r="H9" s="2484"/>
      <c r="I9" s="3425"/>
      <c r="J9" s="788"/>
      <c r="K9" s="789"/>
      <c r="L9" s="795" t="s">
        <v>1741</v>
      </c>
      <c r="M9" s="796">
        <f ca="1">INDIRECT("'数据-取费表'!ab"&amp;$G$1)</f>
        <v>0</v>
      </c>
    </row>
    <row r="10" spans="1:33" ht="18" customHeight="1">
      <c r="A10" s="1831" t="s">
        <v>2463</v>
      </c>
      <c r="B10" s="2473" t="s">
        <v>2456</v>
      </c>
      <c r="C10" s="799">
        <f ca="1">ROUND(IF(F10="押一",C6/12*F11,IF(F10="押二",C6/12*2*F11,IF(F10="押三",C6/12*3*F11,C11*F11))),0)</f>
        <v>4</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13808</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9981</v>
      </c>
      <c r="D14" s="1980" t="s">
        <v>1745</v>
      </c>
      <c r="E14" s="1981"/>
      <c r="F14" s="805"/>
      <c r="G14" s="1593"/>
      <c r="H14" s="1650" t="s">
        <v>1830</v>
      </c>
      <c r="I14" s="2232" t="s">
        <v>2823</v>
      </c>
      <c r="J14" s="53">
        <f ca="1">C29</f>
        <v>13808</v>
      </c>
      <c r="K14" s="26"/>
      <c r="L14" s="801"/>
      <c r="M14" s="802"/>
    </row>
    <row r="15" spans="1:33" s="2065" customFormat="1" ht="18" customHeight="1" thickBot="1">
      <c r="A15" s="1649" t="s">
        <v>1885</v>
      </c>
      <c r="B15" s="784" t="s">
        <v>647</v>
      </c>
      <c r="C15" s="53">
        <f ca="1">ROUND(C14*F15,0)</f>
        <v>299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1367</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1160</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150</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11095</v>
      </c>
      <c r="D19" s="261" t="s">
        <v>1757</v>
      </c>
      <c r="E19" s="1983"/>
      <c r="F19" s="56"/>
      <c r="G19" s="1593"/>
      <c r="H19" s="1649" t="s">
        <v>1885</v>
      </c>
      <c r="I19" s="784" t="s">
        <v>1758</v>
      </c>
      <c r="J19" s="53">
        <f ca="1">IF(K19="按租金收入计税",ROUND(J5*M19,1),ROUND(C29*F33*0.7,1))</f>
        <v>1159.9000000000001</v>
      </c>
      <c r="K19" s="811" t="s">
        <v>665</v>
      </c>
      <c r="L19" s="784" t="s">
        <v>1747</v>
      </c>
      <c r="M19" s="809">
        <f>IF(K19="按租金收入计税",'数据-取费表'!B51,'数据-取费表'!B50)</f>
        <v>1.2E-2</v>
      </c>
    </row>
    <row r="20" spans="1:33" s="2065" customFormat="1" ht="18" customHeight="1">
      <c r="A20" s="1650" t="s">
        <v>1889</v>
      </c>
      <c r="B20" s="784" t="s">
        <v>666</v>
      </c>
      <c r="C20" s="53">
        <f ca="1">ROUND(C19*F20,0)</f>
        <v>222</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1.4999999999999999E-2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207</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401</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5.0000000000000001E-4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-1367</v>
      </c>
      <c r="K25" s="2527" t="s">
        <v>1777</v>
      </c>
      <c r="L25" s="2528"/>
      <c r="M25" s="2529"/>
    </row>
    <row r="26" spans="1:33" ht="18" customHeight="1">
      <c r="A26" s="1649" t="s">
        <v>1831</v>
      </c>
      <c r="B26" s="784" t="s">
        <v>2435</v>
      </c>
      <c r="C26" s="53">
        <f ca="1">ROUND((C19+C20)*F26,0)</f>
        <v>1132</v>
      </c>
      <c r="D26" s="812" t="s">
        <v>1778</v>
      </c>
      <c r="E26" s="795" t="s">
        <v>1779</v>
      </c>
      <c r="F26" s="794">
        <f ca="1">INDIRECT("'数据-取费表'!q"&amp;$G$1)</f>
        <v>0.1</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1.5E-3</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13808</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745</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489</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148.6</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340.4</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1174</v>
      </c>
      <c r="K35" s="2079"/>
      <c r="L35" s="2078"/>
      <c r="M35" s="2078"/>
    </row>
    <row r="36" spans="1:18" ht="18" customHeight="1">
      <c r="A36" s="1650" t="s">
        <v>1889</v>
      </c>
      <c r="B36" s="784" t="s">
        <v>1802</v>
      </c>
      <c r="C36" s="53">
        <f ca="1">ROUND(C29*F36,1)</f>
        <v>207.1</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20.7</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28.4</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2092</v>
      </c>
      <c r="D39" s="2527" t="s">
        <v>1806</v>
      </c>
      <c r="E39" s="2528"/>
      <c r="F39" s="2529"/>
      <c r="G39" s="2063"/>
      <c r="H39" s="2078"/>
      <c r="I39" s="837" t="s">
        <v>1818</v>
      </c>
      <c r="J39" s="845">
        <f ca="1">ROUND(J35/C39,3)</f>
        <v>0.56100000000000005</v>
      </c>
      <c r="K39" s="2084"/>
      <c r="L39" s="2078"/>
      <c r="M39" s="2078"/>
    </row>
    <row r="40" spans="1:18" ht="18" customHeight="1">
      <c r="A40" s="781" t="s">
        <v>1895</v>
      </c>
      <c r="B40" s="2233" t="s">
        <v>2301</v>
      </c>
      <c r="C40" s="783">
        <f ca="1">ROUND(C39*(1-((1+F42)/(1+F40))^F41)/(F40-F42),0)</f>
        <v>47201</v>
      </c>
      <c r="D40" s="814" t="s">
        <v>1807</v>
      </c>
      <c r="E40" s="784" t="s">
        <v>2416</v>
      </c>
      <c r="F40" s="794">
        <f ca="1">INDIRECT("'数据-取费表'!I"&amp;$G$1)</f>
        <v>5.5E-2</v>
      </c>
      <c r="G40" s="2063"/>
      <c r="H40" s="2063"/>
      <c r="I40" s="837" t="s">
        <v>1819</v>
      </c>
      <c r="J40" s="845">
        <f ca="1">1-J39</f>
        <v>0.43899999999999995</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0.29299999999999998</v>
      </c>
      <c r="K42" s="2083"/>
      <c r="L42" s="1989"/>
      <c r="M42" s="1989"/>
    </row>
    <row r="43" spans="1:18" ht="18" customHeight="1" thickBot="1">
      <c r="A43" s="823" t="s">
        <v>1787</v>
      </c>
      <c r="B43" s="824" t="s">
        <v>1810</v>
      </c>
      <c r="C43" s="825">
        <f ca="1">ROUND(C40*10000/F43,0)</f>
        <v>14230</v>
      </c>
      <c r="D43" s="826" t="s">
        <v>1811</v>
      </c>
      <c r="E43" s="827" t="s">
        <v>1812</v>
      </c>
      <c r="F43" s="828">
        <f ca="1">INDIRECT("'数据-取费表'!k"&amp;$G$1)</f>
        <v>33168.99</v>
      </c>
      <c r="G43" s="2063"/>
      <c r="H43" s="1989"/>
      <c r="I43" s="847" t="s">
        <v>1822</v>
      </c>
      <c r="J43" s="848">
        <f ca="1">1-J42</f>
        <v>0.70700000000000007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-50697</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47201</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301</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13808</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15214</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40" t="s">
        <v>2965</v>
      </c>
      <c r="L53" s="3441"/>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47502</v>
      </c>
      <c r="R54" s="2382" t="s">
        <v>2389</v>
      </c>
    </row>
    <row r="55" spans="1:18" s="2060" customFormat="1" ht="18" customHeight="1" thickTop="1" thickBot="1">
      <c r="A55" s="797">
        <v>2</v>
      </c>
      <c r="B55" s="798" t="s">
        <v>644</v>
      </c>
      <c r="C55" s="799">
        <f ca="1">C13</f>
        <v>13808</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13808</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228</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47201</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5951</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301</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6.2"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6.2" thickBot="1">
      <c r="A63" s="1650" t="s">
        <v>1889</v>
      </c>
      <c r="B63" s="784" t="s">
        <v>676</v>
      </c>
      <c r="C63" s="53">
        <f ca="1">ROUND(C56*F63,1)</f>
        <v>207.1</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47201</v>
      </c>
      <c r="R63" s="2382" t="s">
        <v>2389</v>
      </c>
    </row>
    <row r="64" spans="1:18" s="2060" customFormat="1" ht="16.2" thickBot="1">
      <c r="A64" s="1650" t="s">
        <v>1890</v>
      </c>
      <c r="B64" s="784" t="s">
        <v>679</v>
      </c>
      <c r="C64" s="53">
        <f ca="1">ROUND(C55*F64,1)</f>
        <v>20.7</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6.2"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6" thickBot="1">
      <c r="A66" s="797" t="s">
        <v>1776</v>
      </c>
      <c r="B66" s="2986" t="s">
        <v>2819</v>
      </c>
      <c r="C66" s="799">
        <f ca="1">C47-C57</f>
        <v>-228</v>
      </c>
      <c r="D66" s="2617" t="s">
        <v>700</v>
      </c>
      <c r="E66" s="2616"/>
      <c r="F66" s="820"/>
      <c r="K66" s="2087"/>
      <c r="O66" s="2377" t="s">
        <v>2376</v>
      </c>
      <c r="P66" s="2378" t="s">
        <v>2406</v>
      </c>
      <c r="Q66" s="2379">
        <f ca="1">C40+J29</f>
        <v>47201</v>
      </c>
      <c r="R66" s="2378" t="s">
        <v>2377</v>
      </c>
    </row>
    <row r="67" spans="1:18" s="2060" customFormat="1" ht="19.2" thickBot="1">
      <c r="A67" s="781" t="s">
        <v>1780</v>
      </c>
      <c r="B67" s="2233" t="s">
        <v>2301</v>
      </c>
      <c r="C67" s="783">
        <f ca="1">ROUND(C66*(1-((1+F69)/(1+F67))^F68)/(F67-F69),0)</f>
        <v>-3496</v>
      </c>
      <c r="D67" s="814" t="s">
        <v>704</v>
      </c>
      <c r="E67" s="784" t="s">
        <v>705</v>
      </c>
      <c r="F67" s="794">
        <f ca="1">F40</f>
        <v>5.5E-2</v>
      </c>
      <c r="K67" s="2087"/>
      <c r="O67" s="2377" t="s">
        <v>2378</v>
      </c>
      <c r="P67" s="2378" t="s">
        <v>2409</v>
      </c>
      <c r="Q67" s="2379">
        <f ca="1">L60</f>
        <v>0</v>
      </c>
      <c r="R67" s="2382" t="s">
        <v>2411</v>
      </c>
    </row>
    <row r="68" spans="1:18" ht="20.399999999999999" thickBot="1">
      <c r="A68" s="786"/>
      <c r="B68" s="787"/>
      <c r="C68" s="788"/>
      <c r="D68" s="821" t="s">
        <v>1808</v>
      </c>
      <c r="E68" s="784" t="s">
        <v>1784</v>
      </c>
      <c r="F68" s="822">
        <f ca="1">F41</f>
        <v>34.619999999999997</v>
      </c>
      <c r="O68" s="2380" t="s">
        <v>2380</v>
      </c>
      <c r="P68" s="2378" t="s">
        <v>2410</v>
      </c>
      <c r="Q68" s="2384">
        <f ca="1">L51</f>
        <v>15214</v>
      </c>
      <c r="R68" s="2385" t="s">
        <v>2413</v>
      </c>
    </row>
    <row r="69" spans="1:18" ht="19.2" thickBot="1">
      <c r="A69" s="790"/>
      <c r="B69" s="791"/>
      <c r="C69" s="792"/>
      <c r="D69" s="816"/>
      <c r="E69" s="784" t="s">
        <v>710</v>
      </c>
      <c r="F69" s="2350"/>
      <c r="O69" s="2380" t="s">
        <v>2381</v>
      </c>
      <c r="P69" s="2386" t="s">
        <v>2395</v>
      </c>
      <c r="Q69" s="2379">
        <f ca="1">ROUND(Q70-Q71*Q72,0)</f>
        <v>918</v>
      </c>
      <c r="R69" s="2382"/>
    </row>
    <row r="70" spans="1:18" ht="16.2" thickBot="1">
      <c r="A70" s="823" t="s">
        <v>1787</v>
      </c>
      <c r="B70" s="824" t="s">
        <v>1810</v>
      </c>
      <c r="C70" s="825">
        <f ca="1">ROUND(C67*10000/F70,0)</f>
        <v>-1054</v>
      </c>
      <c r="D70" s="826" t="s">
        <v>1811</v>
      </c>
      <c r="E70" s="827" t="s">
        <v>1812</v>
      </c>
      <c r="F70" s="828">
        <f ca="1">F43</f>
        <v>33168.99</v>
      </c>
      <c r="O70" s="2380" t="s">
        <v>2396</v>
      </c>
      <c r="P70" s="2386" t="s">
        <v>2397</v>
      </c>
      <c r="Q70" s="2379">
        <f ca="1">C39</f>
        <v>2092</v>
      </c>
      <c r="R70" s="2378" t="s">
        <v>2377</v>
      </c>
    </row>
    <row r="71" spans="1:18" ht="16.2" thickBot="1">
      <c r="O71" s="2380" t="s">
        <v>2398</v>
      </c>
      <c r="P71" s="2386" t="s">
        <v>2399</v>
      </c>
      <c r="Q71" s="2379">
        <f ca="1">C13</f>
        <v>13808</v>
      </c>
      <c r="R71" s="2378" t="s">
        <v>2377</v>
      </c>
    </row>
    <row r="72" spans="1:18" ht="16.2" thickBot="1">
      <c r="O72" s="2380" t="s">
        <v>2400</v>
      </c>
      <c r="P72" s="2386" t="s">
        <v>2401</v>
      </c>
      <c r="Q72" s="2381">
        <f ca="1">J36</f>
        <v>8.5000000000000006E-2</v>
      </c>
      <c r="R72" s="2382"/>
    </row>
    <row r="73" spans="1:18" ht="16.2" thickBot="1">
      <c r="O73" s="2380" t="s">
        <v>2383</v>
      </c>
      <c r="P73" s="2378" t="s">
        <v>2390</v>
      </c>
      <c r="Q73" s="2381">
        <f>L52</f>
        <v>0</v>
      </c>
      <c r="R73" s="2382"/>
    </row>
    <row r="74" spans="1:18" ht="19.2" thickBot="1">
      <c r="O74" s="2380" t="s">
        <v>2385</v>
      </c>
      <c r="P74" s="2378" t="s">
        <v>2391</v>
      </c>
      <c r="Q74" s="2379" t="e">
        <f ca="1">L58</f>
        <v>#DIV/0!</v>
      </c>
      <c r="R74" s="2382" t="s">
        <v>2392</v>
      </c>
    </row>
    <row r="75" spans="1:18" ht="16.2" thickBot="1">
      <c r="O75" s="2380" t="s">
        <v>2414</v>
      </c>
      <c r="P75" s="2378" t="str">
        <f>K59</f>
        <v>建设期及建筑物耐用年限下的土地年期修正系数Kn</v>
      </c>
      <c r="Q75" s="2379" t="e">
        <f ca="1">L59</f>
        <v>#DIV/0!</v>
      </c>
      <c r="R75" s="2382" t="s">
        <v>2394</v>
      </c>
    </row>
    <row r="76" spans="1:18" ht="16.2" thickBot="1">
      <c r="O76" s="2377" t="s">
        <v>2388</v>
      </c>
      <c r="P76" s="2378" t="s">
        <v>2405</v>
      </c>
      <c r="Q76" s="2379">
        <f ca="1">Q66+Q67</f>
        <v>47201</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4.4"/>
  <cols>
    <col min="1" max="1" width="10.44140625" customWidth="1"/>
    <col min="2" max="2" width="12.88671875" customWidth="1"/>
    <col min="3" max="3" width="8.77734375" customWidth="1"/>
  </cols>
  <sheetData>
    <row r="1" spans="1:9" ht="15.6">
      <c r="A1" s="3442" t="s">
        <v>2468</v>
      </c>
      <c r="B1" s="3443"/>
      <c r="C1" s="3444"/>
      <c r="D1" s="3445">
        <f>SUM(I10,I15,I20,I21,I23)</f>
        <v>0</v>
      </c>
      <c r="E1" s="3445"/>
      <c r="F1" s="3445"/>
      <c r="G1" s="3445"/>
      <c r="H1" s="3445"/>
      <c r="I1" s="3446"/>
    </row>
    <row r="2" spans="1:9">
      <c r="A2" s="3447" t="s">
        <v>2469</v>
      </c>
      <c r="B2" s="3448" t="s">
        <v>2470</v>
      </c>
      <c r="C2" s="3448"/>
      <c r="D2" s="2486" t="s">
        <v>2471</v>
      </c>
      <c r="E2" s="2486" t="s">
        <v>2472</v>
      </c>
      <c r="F2" s="2486" t="s">
        <v>2473</v>
      </c>
      <c r="G2" s="2486" t="s">
        <v>2474</v>
      </c>
      <c r="H2" s="2486" t="s">
        <v>2475</v>
      </c>
      <c r="I2" s="2487" t="s">
        <v>2476</v>
      </c>
    </row>
    <row r="3" spans="1:9">
      <c r="A3" s="3447"/>
      <c r="B3" s="3448" t="s">
        <v>2477</v>
      </c>
      <c r="C3" s="3448"/>
      <c r="D3" s="2488"/>
      <c r="E3" s="2486"/>
      <c r="F3" s="2489"/>
      <c r="G3" s="2489"/>
      <c r="H3" s="2490"/>
      <c r="I3" s="2491">
        <f>ROUND(D3*E3*F3*G3*H3/10000,0)</f>
        <v>0</v>
      </c>
    </row>
    <row r="4" spans="1:9">
      <c r="A4" s="3447"/>
      <c r="B4" s="3448" t="s">
        <v>2478</v>
      </c>
      <c r="C4" s="3448"/>
      <c r="D4" s="2488"/>
      <c r="E4" s="2486"/>
      <c r="F4" s="2489"/>
      <c r="G4" s="2489"/>
      <c r="H4" s="2490"/>
      <c r="I4" s="2491">
        <f t="shared" ref="I4:I9" si="0">ROUND(D4*E4*F4*G4*H4/10000,0)</f>
        <v>0</v>
      </c>
    </row>
    <row r="5" spans="1:9">
      <c r="A5" s="3447"/>
      <c r="B5" s="3448" t="s">
        <v>2479</v>
      </c>
      <c r="C5" s="3448"/>
      <c r="D5" s="2488"/>
      <c r="E5" s="2486"/>
      <c r="F5" s="2489"/>
      <c r="G5" s="2489"/>
      <c r="H5" s="2490"/>
      <c r="I5" s="2491">
        <f t="shared" si="0"/>
        <v>0</v>
      </c>
    </row>
    <row r="6" spans="1:9">
      <c r="A6" s="3447"/>
      <c r="B6" s="3448" t="s">
        <v>2480</v>
      </c>
      <c r="C6" s="3448"/>
      <c r="D6" s="2488"/>
      <c r="E6" s="2486"/>
      <c r="F6" s="2489"/>
      <c r="G6" s="2489"/>
      <c r="H6" s="2490"/>
      <c r="I6" s="2491">
        <f t="shared" si="0"/>
        <v>0</v>
      </c>
    </row>
    <row r="7" spans="1:9">
      <c r="A7" s="3447"/>
      <c r="B7" s="3448" t="s">
        <v>2481</v>
      </c>
      <c r="C7" s="3448"/>
      <c r="D7" s="2488"/>
      <c r="E7" s="2486"/>
      <c r="F7" s="2489"/>
      <c r="G7" s="2489"/>
      <c r="H7" s="2490"/>
      <c r="I7" s="2491">
        <f t="shared" si="0"/>
        <v>0</v>
      </c>
    </row>
    <row r="8" spans="1:9">
      <c r="A8" s="3447"/>
      <c r="B8" s="3448" t="s">
        <v>2482</v>
      </c>
      <c r="C8" s="3448"/>
      <c r="D8" s="2488"/>
      <c r="E8" s="2486"/>
      <c r="F8" s="2489"/>
      <c r="G8" s="2489"/>
      <c r="H8" s="2490"/>
      <c r="I8" s="2491">
        <f t="shared" si="0"/>
        <v>0</v>
      </c>
    </row>
    <row r="9" spans="1:9">
      <c r="A9" s="3447"/>
      <c r="B9" s="3448" t="s">
        <v>2483</v>
      </c>
      <c r="C9" s="3448"/>
      <c r="D9" s="2488"/>
      <c r="E9" s="2486"/>
      <c r="F9" s="2489"/>
      <c r="G9" s="2489"/>
      <c r="H9" s="2490"/>
      <c r="I9" s="2491">
        <f t="shared" si="0"/>
        <v>0</v>
      </c>
    </row>
    <row r="10" spans="1:9">
      <c r="A10" s="3447"/>
      <c r="B10" s="3449" t="s">
        <v>2484</v>
      </c>
      <c r="C10" s="3449"/>
      <c r="D10" s="2492">
        <v>527</v>
      </c>
      <c r="E10" s="2492" t="e">
        <f>ROUND(D1*10000/D10/H9,0)</f>
        <v>#DIV/0!</v>
      </c>
      <c r="F10" s="2493"/>
      <c r="G10" s="2493"/>
      <c r="H10" s="2494"/>
      <c r="I10" s="2495">
        <f>SUM(I3:I9)</f>
        <v>0</v>
      </c>
    </row>
    <row r="11" spans="1:9" ht="15.6">
      <c r="A11" s="3447" t="s">
        <v>2485</v>
      </c>
      <c r="B11" s="3448" t="s">
        <v>2486</v>
      </c>
      <c r="C11" s="3448"/>
      <c r="D11" s="2488" t="s">
        <v>2487</v>
      </c>
      <c r="E11" s="2488" t="s">
        <v>2488</v>
      </c>
      <c r="F11" s="2489" t="s">
        <v>2489</v>
      </c>
      <c r="G11" s="2489" t="s">
        <v>2490</v>
      </c>
      <c r="H11" s="2496" t="s">
        <v>2491</v>
      </c>
      <c r="I11" s="2487" t="s">
        <v>2492</v>
      </c>
    </row>
    <row r="12" spans="1:9">
      <c r="A12" s="3447"/>
      <c r="B12" s="3448" t="s">
        <v>2493</v>
      </c>
      <c r="C12" s="3448"/>
      <c r="D12" s="2488"/>
      <c r="E12" s="2488"/>
      <c r="F12" s="2489"/>
      <c r="G12" s="2490"/>
      <c r="H12" s="2497"/>
      <c r="I12" s="2487">
        <f>ROUND(D12*E12*F12*G12/10000,0)</f>
        <v>0</v>
      </c>
    </row>
    <row r="13" spans="1:9">
      <c r="A13" s="3447"/>
      <c r="B13" s="3448" t="s">
        <v>2494</v>
      </c>
      <c r="C13" s="3448"/>
      <c r="D13" s="2488"/>
      <c r="E13" s="2488"/>
      <c r="F13" s="2489"/>
      <c r="G13" s="2490"/>
      <c r="H13" s="2497"/>
      <c r="I13" s="2487">
        <f>ROUND(D13*E13*F13*G13/10000,0)</f>
        <v>0</v>
      </c>
    </row>
    <row r="14" spans="1:9">
      <c r="A14" s="3447"/>
      <c r="B14" s="3448" t="s">
        <v>2495</v>
      </c>
      <c r="C14" s="3448"/>
      <c r="D14" s="2488"/>
      <c r="E14" s="2488"/>
      <c r="F14" s="2489"/>
      <c r="G14" s="2490"/>
      <c r="H14" s="2497"/>
      <c r="I14" s="2487">
        <f>ROUND(D14*E14*F14*G14/10000,0)</f>
        <v>0</v>
      </c>
    </row>
    <row r="15" spans="1:9">
      <c r="A15" s="3447"/>
      <c r="B15" s="3449" t="s">
        <v>2484</v>
      </c>
      <c r="C15" s="3449"/>
      <c r="D15" s="2492"/>
      <c r="E15" s="2492">
        <f>SUM(E12:E14)</f>
        <v>0</v>
      </c>
      <c r="F15" s="2493"/>
      <c r="G15" s="2490"/>
      <c r="H15" s="2497"/>
      <c r="I15" s="2498">
        <f>SUM(I12:I14)</f>
        <v>0</v>
      </c>
    </row>
    <row r="16" spans="1:9" ht="24">
      <c r="A16" s="3447" t="s">
        <v>2496</v>
      </c>
      <c r="B16" s="3448" t="s">
        <v>2497</v>
      </c>
      <c r="C16" s="3448"/>
      <c r="D16" s="2488" t="s">
        <v>2498</v>
      </c>
      <c r="E16" s="2499" t="s">
        <v>2499</v>
      </c>
      <c r="F16" s="2489" t="s">
        <v>2500</v>
      </c>
      <c r="G16" s="2490" t="s">
        <v>2490</v>
      </c>
      <c r="H16" s="2496" t="s">
        <v>2491</v>
      </c>
      <c r="I16" s="2487" t="s">
        <v>2492</v>
      </c>
    </row>
    <row r="17" spans="1:9" ht="15.6">
      <c r="A17" s="3447"/>
      <c r="B17" s="3448" t="s">
        <v>2501</v>
      </c>
      <c r="C17" s="3448"/>
      <c r="D17" s="2488"/>
      <c r="E17" s="2488"/>
      <c r="F17" s="2489"/>
      <c r="G17" s="2490"/>
      <c r="H17" s="2500"/>
      <c r="I17" s="2501">
        <f>ROUND(D17*E17*F17*G17/10000,0)</f>
        <v>0</v>
      </c>
    </row>
    <row r="18" spans="1:9" ht="15.6">
      <c r="A18" s="3447"/>
      <c r="B18" s="3448" t="s">
        <v>2502</v>
      </c>
      <c r="C18" s="3448"/>
      <c r="D18" s="2488"/>
      <c r="E18" s="2488"/>
      <c r="F18" s="2489"/>
      <c r="G18" s="2490"/>
      <c r="H18" s="2500"/>
      <c r="I18" s="2501">
        <f>ROUND(D18*E18*F18*G18/10000,0)</f>
        <v>0</v>
      </c>
    </row>
    <row r="19" spans="1:9" ht="15.6">
      <c r="A19" s="3447"/>
      <c r="B19" s="3448" t="s">
        <v>2503</v>
      </c>
      <c r="C19" s="3448"/>
      <c r="D19" s="2488"/>
      <c r="E19" s="2488"/>
      <c r="F19" s="2489"/>
      <c r="G19" s="2490"/>
      <c r="H19" s="2500"/>
      <c r="I19" s="2501">
        <f>ROUND(D19*E19*F19*G19/10000,0)</f>
        <v>0</v>
      </c>
    </row>
    <row r="20" spans="1:9">
      <c r="A20" s="3447"/>
      <c r="B20" s="3449" t="s">
        <v>2484</v>
      </c>
      <c r="C20" s="3449"/>
      <c r="D20" s="2492">
        <f>SUM(D17:D19)</f>
        <v>0</v>
      </c>
      <c r="E20" s="2492"/>
      <c r="F20" s="2493"/>
      <c r="G20" s="2490"/>
      <c r="H20" s="2497"/>
      <c r="I20" s="2498">
        <f>SUM(I17:I19)</f>
        <v>0</v>
      </c>
    </row>
    <row r="21" spans="1:9">
      <c r="A21" s="3447" t="s">
        <v>2504</v>
      </c>
      <c r="B21" s="3451"/>
      <c r="C21" s="3451"/>
      <c r="D21" s="3451"/>
      <c r="E21" s="3451"/>
      <c r="F21" s="3451"/>
      <c r="G21" s="3451"/>
      <c r="H21" s="2502">
        <v>0.1</v>
      </c>
      <c r="I21" s="2495">
        <f>ROUND(I10*H21,0)</f>
        <v>0</v>
      </c>
    </row>
    <row r="22" spans="1:9" ht="15.6">
      <c r="A22" s="3452" t="s">
        <v>2505</v>
      </c>
      <c r="B22" s="3453"/>
      <c r="C22" s="3454"/>
      <c r="D22" s="2503" t="s">
        <v>2506</v>
      </c>
      <c r="E22" s="2503" t="s">
        <v>2507</v>
      </c>
      <c r="F22" s="2504" t="s">
        <v>2508</v>
      </c>
      <c r="G22" s="2504" t="s">
        <v>2509</v>
      </c>
      <c r="H22" s="2496" t="s">
        <v>2510</v>
      </c>
      <c r="I22" s="2487" t="s">
        <v>2511</v>
      </c>
    </row>
    <row r="23" spans="1:9" ht="15" thickBot="1">
      <c r="A23" s="3455"/>
      <c r="B23" s="3456"/>
      <c r="C23" s="3457"/>
      <c r="D23" s="2505"/>
      <c r="E23" s="2505"/>
      <c r="F23" s="2505"/>
      <c r="G23" s="2506"/>
      <c r="H23" s="2507"/>
      <c r="I23" s="2508">
        <f>ROUND(E23*D23*F23*(1-G23)/10000,0)</f>
        <v>0</v>
      </c>
    </row>
    <row r="26" spans="1:9">
      <c r="A26" s="2509" t="s">
        <v>2512</v>
      </c>
      <c r="B26" s="2509"/>
      <c r="C26" s="2509"/>
      <c r="D26" s="2509"/>
      <c r="E26" s="3458">
        <f>C27-C30-C31-C32</f>
        <v>0</v>
      </c>
      <c r="F26" s="3458"/>
      <c r="G26" s="3458"/>
      <c r="H26" s="3019" t="s">
        <v>2839</v>
      </c>
    </row>
    <row r="27" spans="1:9">
      <c r="A27" s="2510">
        <v>1</v>
      </c>
      <c r="B27" s="2511" t="s">
        <v>2513</v>
      </c>
      <c r="C27" s="2511"/>
      <c r="D27" s="2511"/>
      <c r="E27" s="3459"/>
      <c r="F27" s="3459"/>
      <c r="G27" s="3459"/>
    </row>
    <row r="28" spans="1:9">
      <c r="A28" s="2512" t="s">
        <v>2514</v>
      </c>
      <c r="B28" s="2511" t="s">
        <v>2515</v>
      </c>
      <c r="C28" s="2511"/>
      <c r="D28" s="2511"/>
      <c r="E28" s="3459"/>
      <c r="F28" s="3459"/>
      <c r="G28" s="3459"/>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50"/>
      <c r="F32" s="3450"/>
      <c r="G32" s="3450"/>
    </row>
    <row r="33" spans="1:7" hidden="1">
      <c r="A33" s="3460" t="s">
        <v>2523</v>
      </c>
      <c r="B33" s="3461"/>
      <c r="C33" s="3461"/>
      <c r="D33" s="3462"/>
      <c r="E33" s="3458"/>
      <c r="F33" s="3458"/>
      <c r="G33" s="3458"/>
    </row>
    <row r="34" spans="1:7" hidden="1">
      <c r="A34" s="2514">
        <v>1</v>
      </c>
      <c r="B34" s="2511" t="s">
        <v>2524</v>
      </c>
      <c r="C34" s="2511"/>
      <c r="D34" s="2511"/>
      <c r="E34" s="3459"/>
      <c r="F34" s="3459"/>
      <c r="G34" s="3459"/>
    </row>
    <row r="35" spans="1:7" hidden="1">
      <c r="A35" s="2514">
        <v>2</v>
      </c>
      <c r="B35" s="2511" t="s">
        <v>2525</v>
      </c>
      <c r="C35" s="2511"/>
      <c r="D35" s="2511"/>
      <c r="E35" s="3459"/>
      <c r="F35" s="3459"/>
      <c r="G35" s="3459"/>
    </row>
    <row r="36" spans="1:7" hidden="1">
      <c r="A36" s="2514">
        <v>3</v>
      </c>
      <c r="B36" s="2511" t="s">
        <v>2526</v>
      </c>
      <c r="C36" s="2511"/>
      <c r="D36" s="2511"/>
      <c r="E36" s="3459"/>
      <c r="F36" s="3459"/>
      <c r="G36" s="3459"/>
    </row>
    <row r="37" spans="1:7" hidden="1">
      <c r="A37" s="2514">
        <v>4</v>
      </c>
      <c r="B37" s="2511" t="s">
        <v>2527</v>
      </c>
      <c r="C37" s="2511"/>
      <c r="D37" s="2511"/>
      <c r="E37" s="3459"/>
      <c r="F37" s="3459"/>
      <c r="G37" s="3459"/>
    </row>
    <row r="38" spans="1:7" hidden="1">
      <c r="A38" s="3460" t="s">
        <v>2528</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4.4">
      <c r="A4" s="512" t="s">
        <v>521</v>
      </c>
      <c r="B4" s="513"/>
      <c r="C4" s="3356" t="s">
        <v>522</v>
      </c>
      <c r="D4" s="3357"/>
      <c r="E4" s="3390" t="s">
        <v>523</v>
      </c>
      <c r="F4" s="3391"/>
      <c r="G4" s="3356" t="s">
        <v>524</v>
      </c>
      <c r="H4" s="3357"/>
      <c r="I4" s="3356" t="s">
        <v>525</v>
      </c>
      <c r="J4" s="3357"/>
      <c r="K4" s="853"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3" t="s">
        <v>524</v>
      </c>
      <c r="AC4" s="3353" t="s">
        <v>525</v>
      </c>
    </row>
    <row r="5" spans="1:29">
      <c r="A5" s="515"/>
      <c r="B5" s="516"/>
      <c r="C5" s="3372" t="s">
        <v>2926</v>
      </c>
      <c r="D5" s="3373"/>
      <c r="E5" s="3392" t="s">
        <v>2927</v>
      </c>
      <c r="F5" s="3393"/>
      <c r="G5" s="3372" t="s">
        <v>2928</v>
      </c>
      <c r="H5" s="3373"/>
      <c r="I5" s="3372" t="s">
        <v>2929</v>
      </c>
      <c r="J5" s="3373"/>
      <c r="K5" s="854"/>
      <c r="L5" s="2134"/>
      <c r="M5" s="2135"/>
      <c r="N5" s="2135"/>
      <c r="O5" s="2135"/>
      <c r="P5" s="3360"/>
      <c r="Q5" s="3361"/>
      <c r="R5" s="3366"/>
      <c r="S5" s="3367"/>
      <c r="T5" s="3366"/>
      <c r="U5" s="3367"/>
      <c r="V5" s="3351"/>
      <c r="W5" s="3351"/>
      <c r="X5" s="1568"/>
      <c r="Y5" s="3366"/>
      <c r="Z5" s="3367"/>
      <c r="AA5" s="3354"/>
      <c r="AB5" s="3354"/>
      <c r="AC5" s="3354"/>
    </row>
    <row r="6" spans="1:29" ht="15" thickBot="1">
      <c r="A6" s="517"/>
      <c r="B6" s="518"/>
      <c r="C6" s="3370" t="s">
        <v>2930</v>
      </c>
      <c r="D6" s="3371"/>
      <c r="E6" s="3388" t="s">
        <v>2930</v>
      </c>
      <c r="F6" s="3389"/>
      <c r="G6" s="3370" t="s">
        <v>2930</v>
      </c>
      <c r="H6" s="3371"/>
      <c r="I6" s="3370" t="s">
        <v>2930</v>
      </c>
      <c r="J6" s="3371"/>
      <c r="K6" s="854" t="s">
        <v>528</v>
      </c>
      <c r="L6" s="2134"/>
      <c r="M6" s="2135"/>
      <c r="N6" s="2135"/>
      <c r="O6" s="2135"/>
      <c r="P6" s="3362"/>
      <c r="Q6" s="3363"/>
      <c r="R6" s="3366"/>
      <c r="S6" s="3367"/>
      <c r="T6" s="3368"/>
      <c r="U6" s="3369"/>
      <c r="V6" s="3351"/>
      <c r="W6" s="3351"/>
      <c r="X6" s="1568"/>
      <c r="Y6" s="3368"/>
      <c r="Z6" s="3369"/>
      <c r="AA6" s="3355"/>
      <c r="AB6" s="3355"/>
      <c r="AC6" s="3355"/>
    </row>
    <row r="7" spans="1:29" s="1220" customFormat="1" ht="1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4.4">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8.8">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0"/>
      <c r="Q11" s="1151" t="str">
        <f t="shared" si="6"/>
        <v>容积率</v>
      </c>
      <c r="R11" s="1569" t="s">
        <v>11</v>
      </c>
      <c r="S11" s="1570" t="e">
        <f t="shared" si="0"/>
        <v>#N/A</v>
      </c>
      <c r="T11" s="1569" t="s">
        <v>11</v>
      </c>
      <c r="U11" s="1570" t="e">
        <f t="shared" si="1"/>
        <v>#N/A</v>
      </c>
      <c r="V11" s="1569" t="s">
        <v>11</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6"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96.6">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1.4">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6">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8" t="str">
        <f>B21</f>
        <v>基础设施水平</v>
      </c>
      <c r="R21" s="1574" t="s">
        <v>11</v>
      </c>
      <c r="S21" s="1575">
        <f>F21</f>
        <v>100</v>
      </c>
      <c r="T21" s="1574" t="s">
        <v>11</v>
      </c>
      <c r="U21" s="1575">
        <f>H21</f>
        <v>100</v>
      </c>
      <c r="V21" s="1574" t="s">
        <v>11</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85"/>
      <c r="Q22" s="2558"/>
      <c r="R22" s="1574"/>
      <c r="S22" s="1575"/>
      <c r="T22" s="1574"/>
      <c r="U22" s="1575"/>
      <c r="V22" s="1574"/>
      <c r="W22" s="1575"/>
      <c r="X22" s="2560"/>
      <c r="Y22" s="3385"/>
      <c r="Z22" s="2559"/>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11"/>
        <v>建筑类型</v>
      </c>
      <c r="R32" s="1574" t="s">
        <v>11</v>
      </c>
      <c r="S32" s="1575">
        <f t="shared" si="12"/>
        <v>100</v>
      </c>
      <c r="T32" s="1574" t="s">
        <v>11</v>
      </c>
      <c r="U32" s="1575">
        <f t="shared" si="13"/>
        <v>100</v>
      </c>
      <c r="V32" s="1574" t="s">
        <v>11</v>
      </c>
      <c r="W32" s="1575">
        <f t="shared" si="14"/>
        <v>100</v>
      </c>
      <c r="X32" s="1568"/>
      <c r="Y32" s="33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4.4">
      <c r="A47" s="607" t="s">
        <v>736</v>
      </c>
      <c r="B47" s="887"/>
      <c r="C47" s="2606" t="s">
        <v>9</v>
      </c>
      <c r="D47" s="2607"/>
      <c r="E47" s="2608"/>
      <c r="F47" s="2609"/>
      <c r="G47" s="2610"/>
      <c r="H47" s="2611"/>
      <c r="I47" s="2608"/>
      <c r="J47" s="2611"/>
      <c r="K47" s="1607"/>
      <c r="L47" s="2145"/>
      <c r="M47" s="2146"/>
      <c r="N47" s="2135"/>
      <c r="O47" s="2146"/>
      <c r="P47" s="3350" t="str">
        <f>A47</f>
        <v>成交单价（元/平方米）</v>
      </c>
      <c r="Q47" s="3350"/>
      <c r="R47" s="3464">
        <f>E47</f>
        <v>0</v>
      </c>
      <c r="S47" s="3464"/>
      <c r="T47" s="3464">
        <f>G47</f>
        <v>0</v>
      </c>
      <c r="U47" s="3464"/>
      <c r="V47" s="3464">
        <f>I47</f>
        <v>0</v>
      </c>
      <c r="W47" s="3464"/>
      <c r="X47" s="1560"/>
      <c r="Y47" s="1582"/>
      <c r="Z47" s="1560"/>
      <c r="AA47" s="1560"/>
      <c r="AB47" s="1560"/>
      <c r="AC47" s="1560"/>
    </row>
    <row r="48" spans="1:29" ht="1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 thickBot="1">
      <c r="A49" s="621" t="s">
        <v>2932</v>
      </c>
      <c r="B49" s="622"/>
      <c r="C49" s="2615" t="e">
        <f>R49</f>
        <v>#DIV/0!</v>
      </c>
      <c r="D49" s="2615"/>
      <c r="E49" s="2615"/>
      <c r="F49" s="2615"/>
      <c r="G49" s="2615"/>
      <c r="H49" s="2615"/>
      <c r="I49" s="2615"/>
      <c r="J49" s="2615"/>
      <c r="K49" s="1609"/>
      <c r="L49" s="2145"/>
      <c r="M49" s="2146"/>
      <c r="N49" s="2146"/>
      <c r="O49" s="2146"/>
      <c r="P49" s="3347" t="str">
        <f>A49</f>
        <v>估价对象XX用房的比较价格（楼面单价，元/平方米）</v>
      </c>
      <c r="Q49" s="3348"/>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4.4">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1" t="s">
        <v>524</v>
      </c>
      <c r="AC4" s="3353" t="s">
        <v>525</v>
      </c>
    </row>
    <row r="5" spans="1:29">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1"/>
      <c r="AC5" s="3354"/>
    </row>
    <row r="6" spans="1:29" ht="1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1"/>
      <c r="AC6" s="3355"/>
    </row>
    <row r="7" spans="1:29" s="1220" customFormat="1" ht="1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4.4">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8.8">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6"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82.8">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1.4">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41.4">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85"/>
      <c r="Q22" s="2558"/>
      <c r="R22" s="1574"/>
      <c r="S22" s="1575"/>
      <c r="T22" s="1574"/>
      <c r="U22" s="1575"/>
      <c r="V22" s="1574"/>
      <c r="W22" s="1575"/>
      <c r="X22" s="2560"/>
      <c r="Y22" s="3385"/>
      <c r="Z22" s="2559"/>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4.4">
      <c r="A47" s="607" t="s">
        <v>736</v>
      </c>
      <c r="B47" s="887"/>
      <c r="C47" s="2606" t="s">
        <v>1</v>
      </c>
      <c r="D47" s="2607"/>
      <c r="E47" s="2608"/>
      <c r="F47" s="2609"/>
      <c r="G47" s="2610"/>
      <c r="H47" s="2611"/>
      <c r="I47" s="2608"/>
      <c r="J47" s="2611"/>
      <c r="K47" s="1612"/>
      <c r="L47" s="2145"/>
      <c r="M47" s="2146"/>
      <c r="N47" s="2135"/>
      <c r="O47" s="2146"/>
      <c r="P47" s="3350" t="str">
        <f>A47</f>
        <v>成交单价（元/平方米）</v>
      </c>
      <c r="Q47" s="3350"/>
      <c r="R47" s="3464">
        <f>E47</f>
        <v>0</v>
      </c>
      <c r="S47" s="3464"/>
      <c r="T47" s="3464">
        <f>G47</f>
        <v>0</v>
      </c>
      <c r="U47" s="3464"/>
      <c r="V47" s="3464">
        <f>I47</f>
        <v>0</v>
      </c>
      <c r="W47" s="3464"/>
      <c r="X47" s="1560"/>
      <c r="Y47" s="1582"/>
      <c r="Z47" s="1560"/>
      <c r="AA47" s="1560"/>
      <c r="AB47" s="1560"/>
      <c r="AC47" s="1560"/>
    </row>
    <row r="48" spans="1:29" ht="1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 thickBot="1">
      <c r="A49" s="621" t="s">
        <v>2932</v>
      </c>
      <c r="B49" s="622"/>
      <c r="C49" s="2615" t="e">
        <f>R49</f>
        <v>#DIV/0!</v>
      </c>
      <c r="D49" s="2615"/>
      <c r="E49" s="2615"/>
      <c r="F49" s="2615"/>
      <c r="G49" s="2615"/>
      <c r="H49" s="2615"/>
      <c r="I49" s="2615"/>
      <c r="J49" s="2615"/>
      <c r="K49" s="1614"/>
      <c r="L49" s="2145"/>
      <c r="M49" s="2146"/>
      <c r="N49" s="2135"/>
      <c r="O49" s="2146"/>
      <c r="P49" s="3347" t="str">
        <f>A49</f>
        <v>估价对象XX用房的比较价格（楼面单价，元/平方米）</v>
      </c>
      <c r="Q49" s="3348"/>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4.4">
      <c r="A4" s="512" t="s">
        <v>521</v>
      </c>
      <c r="B4" s="513"/>
      <c r="C4" s="3356" t="s">
        <v>522</v>
      </c>
      <c r="D4" s="3357"/>
      <c r="E4" s="3390" t="s">
        <v>523</v>
      </c>
      <c r="F4" s="3391"/>
      <c r="G4" s="3356" t="s">
        <v>524</v>
      </c>
      <c r="H4" s="3357"/>
      <c r="I4" s="3356" t="s">
        <v>525</v>
      </c>
      <c r="J4" s="3357"/>
      <c r="K4" s="514" t="s">
        <v>526</v>
      </c>
      <c r="L4" s="2134"/>
      <c r="M4" s="2135"/>
      <c r="N4" s="2135"/>
      <c r="O4" s="2135"/>
      <c r="P4" s="3467" t="s">
        <v>527</v>
      </c>
      <c r="Q4" s="3359"/>
      <c r="R4" s="3364" t="s">
        <v>523</v>
      </c>
      <c r="S4" s="3365"/>
      <c r="T4" s="3364" t="s">
        <v>524</v>
      </c>
      <c r="U4" s="3365"/>
      <c r="V4" s="3351" t="s">
        <v>525</v>
      </c>
      <c r="W4" s="3351"/>
      <c r="X4" s="1568"/>
      <c r="Y4" s="3364" t="s">
        <v>527</v>
      </c>
      <c r="Z4" s="3365"/>
      <c r="AA4" s="3353" t="s">
        <v>523</v>
      </c>
      <c r="AB4" s="3353" t="s">
        <v>524</v>
      </c>
      <c r="AC4" s="3353" t="s">
        <v>525</v>
      </c>
    </row>
    <row r="5" spans="1:29">
      <c r="A5" s="515"/>
      <c r="B5" s="516"/>
      <c r="C5" s="3372" t="s">
        <v>2926</v>
      </c>
      <c r="D5" s="3373"/>
      <c r="E5" s="3392" t="s">
        <v>2927</v>
      </c>
      <c r="F5" s="3393"/>
      <c r="G5" s="3372" t="s">
        <v>2928</v>
      </c>
      <c r="H5" s="3373"/>
      <c r="I5" s="3372" t="s">
        <v>2929</v>
      </c>
      <c r="J5" s="3373"/>
      <c r="K5" s="514"/>
      <c r="L5" s="2134"/>
      <c r="M5" s="2135"/>
      <c r="N5" s="2135"/>
      <c r="O5" s="2135"/>
      <c r="P5" s="3468"/>
      <c r="Q5" s="3361"/>
      <c r="R5" s="3366"/>
      <c r="S5" s="3367"/>
      <c r="T5" s="3366"/>
      <c r="U5" s="3367"/>
      <c r="V5" s="3351"/>
      <c r="W5" s="3351"/>
      <c r="X5" s="1568"/>
      <c r="Y5" s="3366"/>
      <c r="Z5" s="3367"/>
      <c r="AA5" s="3354"/>
      <c r="AB5" s="3354"/>
      <c r="AC5" s="3354"/>
    </row>
    <row r="6" spans="1:29" ht="15" thickBot="1">
      <c r="A6" s="517"/>
      <c r="B6" s="518"/>
      <c r="C6" s="3370" t="s">
        <v>2930</v>
      </c>
      <c r="D6" s="3371"/>
      <c r="E6" s="3388" t="s">
        <v>2930</v>
      </c>
      <c r="F6" s="3389"/>
      <c r="G6" s="3370" t="s">
        <v>2930</v>
      </c>
      <c r="H6" s="3371"/>
      <c r="I6" s="3370" t="s">
        <v>2930</v>
      </c>
      <c r="J6" s="3371"/>
      <c r="K6" s="514" t="s">
        <v>528</v>
      </c>
      <c r="L6" s="2134"/>
      <c r="M6" s="2135"/>
      <c r="N6" s="2135"/>
      <c r="O6" s="2135"/>
      <c r="P6" s="3469"/>
      <c r="Q6" s="3363"/>
      <c r="R6" s="3366"/>
      <c r="S6" s="3367"/>
      <c r="T6" s="3368"/>
      <c r="U6" s="3369"/>
      <c r="V6" s="3351"/>
      <c r="W6" s="3351"/>
      <c r="X6" s="1568"/>
      <c r="Y6" s="3368"/>
      <c r="Z6" s="3369"/>
      <c r="AA6" s="3355"/>
      <c r="AB6" s="3355"/>
      <c r="AC6" s="3355"/>
    </row>
    <row r="7" spans="1:29" s="1220" customFormat="1" ht="1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4.4">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8.8">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6"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82.8">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1.4">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41.4">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85"/>
      <c r="Q22" s="2558"/>
      <c r="R22" s="1574"/>
      <c r="S22" s="1575"/>
      <c r="T22" s="1574"/>
      <c r="U22" s="1575"/>
      <c r="V22" s="1574"/>
      <c r="W22" s="1575"/>
      <c r="X22" s="2560"/>
      <c r="Y22" s="3385"/>
      <c r="Z22" s="2559"/>
      <c r="AA22" s="1577">
        <v>1</v>
      </c>
      <c r="AB22" s="1577">
        <v>1</v>
      </c>
      <c r="AC22" s="1577">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4.4">
      <c r="A48" s="607" t="s">
        <v>736</v>
      </c>
      <c r="B48" s="887"/>
      <c r="C48" s="2606" t="s">
        <v>1</v>
      </c>
      <c r="D48" s="2607"/>
      <c r="E48" s="2608"/>
      <c r="F48" s="2609"/>
      <c r="G48" s="2610"/>
      <c r="H48" s="2611"/>
      <c r="I48" s="2608"/>
      <c r="J48" s="2611"/>
      <c r="K48" s="1612"/>
      <c r="L48" s="2145"/>
      <c r="M48" s="2135"/>
      <c r="N48" s="2135"/>
      <c r="O48" s="2135"/>
      <c r="P48" s="3348" t="str">
        <f>A48</f>
        <v>成交单价（元/平方米）</v>
      </c>
      <c r="Q48" s="3350"/>
      <c r="R48" s="3464">
        <f>E48</f>
        <v>0</v>
      </c>
      <c r="S48" s="3464"/>
      <c r="T48" s="3464">
        <f>G48</f>
        <v>0</v>
      </c>
      <c r="U48" s="3464"/>
      <c r="V48" s="3464">
        <f>I48</f>
        <v>0</v>
      </c>
      <c r="W48" s="3464"/>
      <c r="X48" s="1560"/>
      <c r="Y48" s="1582"/>
      <c r="Z48" s="1560"/>
      <c r="AA48" s="1560"/>
      <c r="AB48" s="1560"/>
      <c r="AC48" s="1560"/>
    </row>
    <row r="49" spans="1:29" ht="1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48" t="str">
        <f>A49</f>
        <v>比较价格（元/平方米）</v>
      </c>
      <c r="Q49" s="3350"/>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 thickBot="1">
      <c r="A50" s="621" t="s">
        <v>2932</v>
      </c>
      <c r="B50" s="622"/>
      <c r="C50" s="2615" t="e">
        <f>R50</f>
        <v>#DIV/0!</v>
      </c>
      <c r="D50" s="2615"/>
      <c r="E50" s="2615"/>
      <c r="F50" s="2615"/>
      <c r="G50" s="2615"/>
      <c r="H50" s="2615"/>
      <c r="I50" s="2615"/>
      <c r="J50" s="2615"/>
      <c r="K50" s="1614"/>
      <c r="L50" s="2145"/>
      <c r="M50" s="2135"/>
      <c r="N50" s="2135"/>
      <c r="O50" s="2135"/>
      <c r="P50" s="3466" t="str">
        <f>A50</f>
        <v>估价对象XX用房的比较价格（楼面单价，元/平方米）</v>
      </c>
      <c r="Q50" s="3348"/>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4.4">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8"/>
      <c r="Y4" s="3364" t="s">
        <v>527</v>
      </c>
      <c r="Z4" s="3365"/>
      <c r="AA4" s="3353" t="s">
        <v>523</v>
      </c>
      <c r="AB4" s="3354" t="s">
        <v>524</v>
      </c>
      <c r="AC4" s="3353" t="s">
        <v>525</v>
      </c>
    </row>
    <row r="5" spans="1:29">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4.4">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8.8">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6"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69">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1.4">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41.4">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8" t="str">
        <f>B21</f>
        <v>基础设施水平</v>
      </c>
      <c r="R21" s="1574" t="s">
        <v>8</v>
      </c>
      <c r="S21" s="1575">
        <f>F21</f>
        <v>100</v>
      </c>
      <c r="T21" s="1574" t="s">
        <v>8</v>
      </c>
      <c r="U21" s="1575">
        <f>H21</f>
        <v>100</v>
      </c>
      <c r="V21" s="1574" t="s">
        <v>8</v>
      </c>
      <c r="W21" s="1575">
        <f>J21</f>
        <v>100</v>
      </c>
      <c r="X21" s="2560"/>
      <c r="Y21" s="3385"/>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85"/>
      <c r="Q22" s="2558"/>
      <c r="R22" s="1574"/>
      <c r="S22" s="1575"/>
      <c r="T22" s="1574"/>
      <c r="U22" s="1575"/>
      <c r="V22" s="1574"/>
      <c r="W22" s="1575"/>
      <c r="X22" s="2560"/>
      <c r="Y22" s="3385"/>
      <c r="Z22" s="2559"/>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4.4">
      <c r="A41" s="607" t="s">
        <v>736</v>
      </c>
      <c r="B41" s="887"/>
      <c r="C41" s="2606" t="s">
        <v>1</v>
      </c>
      <c r="D41" s="2607"/>
      <c r="E41" s="2608"/>
      <c r="F41" s="2609"/>
      <c r="G41" s="2610"/>
      <c r="H41" s="2611"/>
      <c r="I41" s="2608"/>
      <c r="J41" s="2611"/>
      <c r="K41" s="1612"/>
      <c r="L41" s="2145"/>
      <c r="M41" s="2146"/>
      <c r="N41" s="2135"/>
      <c r="O41" s="2146"/>
      <c r="P41" s="3350" t="str">
        <f>A41</f>
        <v>成交单价（元/平方米）</v>
      </c>
      <c r="Q41" s="3350"/>
      <c r="R41" s="3464">
        <f>E41</f>
        <v>0</v>
      </c>
      <c r="S41" s="3464"/>
      <c r="T41" s="3464">
        <f>G41</f>
        <v>0</v>
      </c>
      <c r="U41" s="3464"/>
      <c r="V41" s="3464">
        <f>I41</f>
        <v>0</v>
      </c>
      <c r="W41" s="3464"/>
      <c r="X41" s="1560"/>
      <c r="Y41" s="1582"/>
      <c r="Z41" s="1560"/>
      <c r="AA41" s="1560"/>
      <c r="AB41" s="1560"/>
      <c r="AC41" s="1560"/>
    </row>
    <row r="42" spans="1:29" ht="1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50" t="str">
        <f>A42</f>
        <v>比较价格（元/平方米）</v>
      </c>
      <c r="Q42" s="3350"/>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 thickBot="1">
      <c r="A43" s="621" t="s">
        <v>2932</v>
      </c>
      <c r="B43" s="622"/>
      <c r="C43" s="2615" t="e">
        <f>R43</f>
        <v>#DIV/0!</v>
      </c>
      <c r="D43" s="2615"/>
      <c r="E43" s="2615"/>
      <c r="F43" s="2615"/>
      <c r="G43" s="2615"/>
      <c r="H43" s="2615"/>
      <c r="I43" s="2615"/>
      <c r="J43" s="2615"/>
      <c r="K43" s="1614"/>
      <c r="L43" s="2145"/>
      <c r="M43" s="2146"/>
      <c r="N43" s="2146"/>
      <c r="O43" s="2146"/>
      <c r="P43" s="3347" t="str">
        <f>A43</f>
        <v>估价对象XX用房的比较价格（楼面单价，元/平方米）</v>
      </c>
      <c r="Q43" s="3348"/>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4.4">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56" t="s">
        <v>798</v>
      </c>
      <c r="D4" s="3357"/>
      <c r="E4" s="3356" t="s">
        <v>799</v>
      </c>
      <c r="F4" s="3357"/>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c r="A5" s="515"/>
      <c r="B5" s="516"/>
      <c r="C5" s="3372" t="s">
        <v>2926</v>
      </c>
      <c r="D5" s="3373"/>
      <c r="E5" s="3372" t="s">
        <v>2927</v>
      </c>
      <c r="F5" s="337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 thickBot="1">
      <c r="A6" s="517"/>
      <c r="B6" s="518"/>
      <c r="C6" s="3370" t="s">
        <v>2930</v>
      </c>
      <c r="D6" s="3371"/>
      <c r="E6" s="3374" t="s">
        <v>2930</v>
      </c>
      <c r="F6" s="3375"/>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4.4">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8.8">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6"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6.6">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1.4">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41.4">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8" t="str">
        <f>B18</f>
        <v>基础设施水平</v>
      </c>
      <c r="R18" s="1574" t="s">
        <v>8</v>
      </c>
      <c r="S18" s="1575">
        <f>F18</f>
        <v>100</v>
      </c>
      <c r="T18" s="1574" t="s">
        <v>8</v>
      </c>
      <c r="U18" s="1575">
        <f>H18</f>
        <v>100</v>
      </c>
      <c r="V18" s="1574" t="s">
        <v>8</v>
      </c>
      <c r="W18" s="1575">
        <f>J18</f>
        <v>100</v>
      </c>
      <c r="X18" s="2560"/>
      <c r="Y18" s="3385"/>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85"/>
      <c r="Q19" s="2558"/>
      <c r="R19" s="1574"/>
      <c r="S19" s="1575"/>
      <c r="T19" s="1574"/>
      <c r="U19" s="1575"/>
      <c r="V19" s="1574"/>
      <c r="W19" s="1575"/>
      <c r="X19" s="2560"/>
      <c r="Y19" s="3385"/>
      <c r="Z19" s="2559"/>
      <c r="AA19" s="1577">
        <v>1</v>
      </c>
      <c r="AB19" s="1577">
        <v>1</v>
      </c>
      <c r="AC19" s="1577">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4.4">
      <c r="A37" s="1847" t="s">
        <v>2077</v>
      </c>
      <c r="B37" s="1848" t="s">
        <v>2078</v>
      </c>
      <c r="C37" s="2606" t="s">
        <v>1</v>
      </c>
      <c r="D37" s="2607"/>
      <c r="E37" s="2608"/>
      <c r="F37" s="2609"/>
      <c r="G37" s="2610"/>
      <c r="H37" s="2611"/>
      <c r="I37" s="2608"/>
      <c r="J37" s="2611"/>
      <c r="K37" s="1612"/>
      <c r="L37" s="2145"/>
      <c r="M37" s="2146"/>
      <c r="N37" s="2135"/>
      <c r="O37" s="2146"/>
      <c r="P37" s="3350" t="str">
        <f>A37</f>
        <v>成交单价</v>
      </c>
      <c r="Q37" s="3350"/>
      <c r="R37" s="3464">
        <f>E37</f>
        <v>0</v>
      </c>
      <c r="S37" s="3464"/>
      <c r="T37" s="3464">
        <f>G37</f>
        <v>0</v>
      </c>
      <c r="U37" s="3464"/>
      <c r="V37" s="3464">
        <f>I37</f>
        <v>0</v>
      </c>
      <c r="W37" s="3464"/>
      <c r="X37" s="1560"/>
      <c r="Y37" s="1582"/>
      <c r="Z37" s="1560"/>
      <c r="AA37" s="1560"/>
      <c r="AB37" s="1560"/>
      <c r="AC37" s="1560"/>
    </row>
    <row r="38" spans="1:29" ht="1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50" t="str">
        <f>A38</f>
        <v>比较价格（元/平方米）</v>
      </c>
      <c r="Q38" s="3350"/>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 thickBot="1">
      <c r="A39" s="621" t="s">
        <v>2932</v>
      </c>
      <c r="B39" s="622"/>
      <c r="C39" s="2615" t="e">
        <f>R39</f>
        <v>#DIV/0!</v>
      </c>
      <c r="D39" s="2615"/>
      <c r="E39" s="2615"/>
      <c r="F39" s="2615"/>
      <c r="G39" s="2615"/>
      <c r="H39" s="2615"/>
      <c r="I39" s="2615"/>
      <c r="J39" s="2615"/>
      <c r="K39" s="1614"/>
      <c r="L39" s="2145"/>
      <c r="M39" s="2146"/>
      <c r="N39" s="2146"/>
      <c r="O39" s="2146"/>
      <c r="P39" s="3347" t="str">
        <f>A39</f>
        <v>估价对象XX用房的比较价格（楼面单价，元/平方米）</v>
      </c>
      <c r="Q39" s="3348"/>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56" t="s">
        <v>798</v>
      </c>
      <c r="D4" s="3357"/>
      <c r="E4" s="3390" t="s">
        <v>799</v>
      </c>
      <c r="F4" s="3391"/>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8"/>
      <c r="Y5" s="3366"/>
      <c r="Z5" s="3367"/>
      <c r="AA5" s="3354"/>
      <c r="AB5" s="3354"/>
      <c r="AC5" s="3354"/>
    </row>
    <row r="6" spans="1:29" ht="1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8"/>
      <c r="Y6" s="3368"/>
      <c r="Z6" s="3369"/>
      <c r="AA6" s="3355"/>
      <c r="AB6" s="3355"/>
      <c r="AC6" s="3355"/>
    </row>
    <row r="7" spans="1:29" s="1220" customFormat="1" ht="1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4.4">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8.8">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6"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6.6">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1.4">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41.4">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8" t="str">
        <f>B18</f>
        <v>基础设施水平</v>
      </c>
      <c r="R18" s="1574" t="s">
        <v>8</v>
      </c>
      <c r="S18" s="1575">
        <f>F18</f>
        <v>100</v>
      </c>
      <c r="T18" s="1574" t="s">
        <v>8</v>
      </c>
      <c r="U18" s="1575">
        <f>H18</f>
        <v>100</v>
      </c>
      <c r="V18" s="1574" t="s">
        <v>8</v>
      </c>
      <c r="W18" s="1575">
        <f>J18</f>
        <v>100</v>
      </c>
      <c r="X18" s="2560"/>
      <c r="Y18" s="3385"/>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85"/>
      <c r="Q19" s="2558"/>
      <c r="R19" s="1574"/>
      <c r="S19" s="1575"/>
      <c r="T19" s="1574"/>
      <c r="U19" s="1575"/>
      <c r="V19" s="1574"/>
      <c r="W19" s="1575"/>
      <c r="X19" s="2560"/>
      <c r="Y19" s="3385"/>
      <c r="Z19" s="2559"/>
      <c r="AA19" s="1577">
        <v>1</v>
      </c>
      <c r="AB19" s="1577">
        <v>1</v>
      </c>
      <c r="AC19" s="1577">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4.4">
      <c r="A35" s="607" t="s">
        <v>736</v>
      </c>
      <c r="B35" s="887"/>
      <c r="C35" s="2606" t="s">
        <v>1</v>
      </c>
      <c r="D35" s="2607"/>
      <c r="E35" s="2608"/>
      <c r="F35" s="2609"/>
      <c r="G35" s="2610"/>
      <c r="H35" s="2611"/>
      <c r="I35" s="2608"/>
      <c r="J35" s="2611"/>
      <c r="K35" s="1612"/>
      <c r="L35" s="2145"/>
      <c r="M35" s="2146"/>
      <c r="N35" s="2135"/>
      <c r="O35" s="2146"/>
      <c r="P35" s="3350" t="str">
        <f>A35</f>
        <v>成交单价（元/平方米）</v>
      </c>
      <c r="Q35" s="3350"/>
      <c r="R35" s="3464">
        <f>E35</f>
        <v>0</v>
      </c>
      <c r="S35" s="3464"/>
      <c r="T35" s="3464">
        <f>G35</f>
        <v>0</v>
      </c>
      <c r="U35" s="3464"/>
      <c r="V35" s="3464">
        <f>I35</f>
        <v>0</v>
      </c>
      <c r="W35" s="3464"/>
      <c r="X35" s="1560"/>
      <c r="Y35" s="1582"/>
      <c r="Z35" s="1560"/>
      <c r="AA35" s="1560"/>
      <c r="AB35" s="1560"/>
      <c r="AC35" s="1560"/>
    </row>
    <row r="36" spans="1:29" ht="1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50" t="str">
        <f>A36</f>
        <v>比较价格（元/平方米）</v>
      </c>
      <c r="Q36" s="3350"/>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 thickBot="1">
      <c r="A37" s="621" t="s">
        <v>2932</v>
      </c>
      <c r="B37" s="622"/>
      <c r="C37" s="2615" t="e">
        <f>R37</f>
        <v>#DIV/0!</v>
      </c>
      <c r="D37" s="2615"/>
      <c r="E37" s="2615"/>
      <c r="F37" s="2615"/>
      <c r="G37" s="2615"/>
      <c r="H37" s="2615"/>
      <c r="I37" s="2615"/>
      <c r="J37" s="2615"/>
      <c r="K37" s="1614"/>
      <c r="L37" s="2145"/>
      <c r="M37" s="2146"/>
      <c r="N37" s="2146"/>
      <c r="O37" s="2146"/>
      <c r="P37" s="3347" t="str">
        <f>A37</f>
        <v>估价对象XX用房的比较价格（楼面单价，元/平方米）</v>
      </c>
      <c r="Q37" s="3348"/>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4.4">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A33" sqref="A33"/>
    </sheetView>
  </sheetViews>
  <sheetFormatPr defaultColWidth="9" defaultRowHeight="13.2"/>
  <cols>
    <col min="1" max="1" width="30.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3" t="s">
        <v>2304</v>
      </c>
      <c r="D1" s="3474"/>
      <c r="E1" s="3474"/>
      <c r="F1" s="3474"/>
      <c r="G1" s="3474"/>
      <c r="H1" s="3474"/>
      <c r="I1" s="3474"/>
      <c r="J1" s="3474"/>
      <c r="K1" s="3474"/>
      <c r="L1" s="3474"/>
      <c r="M1" s="3474"/>
      <c r="N1" s="3474"/>
      <c r="O1" s="3474"/>
      <c r="P1" s="3474"/>
      <c r="Q1" s="3474"/>
      <c r="R1" s="3474"/>
      <c r="S1" s="3475"/>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26.4">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828</v>
      </c>
      <c r="B20" s="775">
        <f ca="1">S22</f>
        <v>24998</v>
      </c>
      <c r="C20" s="1991"/>
      <c r="D20" s="1991"/>
      <c r="E20" s="1991"/>
      <c r="F20" s="1991"/>
      <c r="G20" s="1991"/>
      <c r="H20" s="1991"/>
      <c r="I20" s="1991"/>
      <c r="J20" s="1991"/>
      <c r="K20" s="1991"/>
      <c r="L20" s="1991"/>
      <c r="M20" s="1991"/>
      <c r="N20" s="1991"/>
      <c r="O20" s="1991"/>
      <c r="P20" s="1991"/>
      <c r="Q20" s="1991"/>
      <c r="R20" s="2226"/>
      <c r="S20" s="2029"/>
    </row>
    <row r="21" spans="1:45" ht="15.6">
      <c r="A21" s="960" t="s">
        <v>829</v>
      </c>
      <c r="B21" s="775">
        <f ca="1">R22</f>
        <v>18033</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70" t="s">
        <v>20</v>
      </c>
      <c r="D22" s="3471"/>
      <c r="E22" s="3471"/>
      <c r="F22" s="3471"/>
      <c r="G22" s="3471"/>
      <c r="H22" s="3471"/>
      <c r="I22" s="3471"/>
      <c r="J22" s="3471"/>
      <c r="K22" s="3471"/>
      <c r="L22" s="3471"/>
      <c r="M22" s="3471"/>
      <c r="N22" s="3471"/>
      <c r="O22" s="3471"/>
      <c r="P22" s="3471"/>
      <c r="Q22" s="3472"/>
      <c r="R22" s="490">
        <f ca="1">ROUND(S22*10000/B22,0)</f>
        <v>18033</v>
      </c>
      <c r="S22" s="53">
        <f ca="1">SUM(S24:S10000)</f>
        <v>24998</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178"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18033</v>
      </c>
      <c r="S24" s="962">
        <f t="shared" ref="S24:S54" ca="1" si="11">ROUND(R24*B24/10000,0)</f>
        <v>18917</v>
      </c>
      <c r="T24" s="1974"/>
      <c r="U24" s="1974"/>
      <c r="V24" s="1974"/>
      <c r="W24" s="1974"/>
      <c r="X24" s="1974"/>
      <c r="Y24" s="1974"/>
      <c r="Z24" s="1974"/>
      <c r="AA24" s="1974"/>
      <c r="AB24" s="1974"/>
      <c r="AC24" s="1974"/>
      <c r="AD24" s="1974"/>
      <c r="AE24" s="1974"/>
      <c r="AF24" s="1974"/>
      <c r="AG24" s="1974"/>
      <c r="AH24" s="1974"/>
      <c r="AI24" s="1974"/>
    </row>
    <row r="25" spans="1:45">
      <c r="A25" s="3178"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18033</v>
      </c>
      <c r="S25" s="799">
        <f t="shared" ca="1" si="11"/>
        <v>6081</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受贵公司委托，我公司对出让国有建设用地使用权市场价格进行了预评估。</v>
      </c>
    </row>
    <row r="5" spans="1:4" ht="17.399999999999999">
      <c r="A5" s="1795" t="s">
        <v>1905</v>
      </c>
    </row>
    <row r="6" spans="1:4" ht="69.599999999999994">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87">
      <c r="A7" s="2851" t="s">
        <v>2745</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2026</v>
      </c>
    </row>
    <row r="11" spans="1:4" ht="17.399999999999999">
      <c r="A11" s="1781" t="str">
        <f>TEXT(项目基本情况!D3,"yyyy年m月d日;;")&amp;IF(项目基本情况!B3=项目基本情况!D3,"（评估专业人员勘察现场之日）","")</f>
        <v>2019年1月21日（评估专业人员勘察现场之日）</v>
      </c>
    </row>
    <row r="12" spans="1:4" ht="17.399999999999999">
      <c r="A12" s="1798" t="s">
        <v>2025</v>
      </c>
    </row>
    <row r="13" spans="1:4" ht="17.399999999999999">
      <c r="A13" s="1792" t="s">
        <v>2071</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2072</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2073</v>
      </c>
    </row>
    <row r="20" spans="1:1" ht="52.2">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87">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2074</v>
      </c>
    </row>
    <row r="23" spans="1:1" ht="17.399999999999999">
      <c r="A23" s="2853" t="s">
        <v>2746</v>
      </c>
    </row>
    <row r="24" spans="1:1" ht="17.399999999999999">
      <c r="A24" s="1792" t="s">
        <v>2075</v>
      </c>
    </row>
    <row r="25" spans="1:1" ht="87">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92" t="str">
        <f>IF(项目基本情况!E9="——","",定义!C57)</f>
        <v/>
      </c>
    </row>
    <row r="29" spans="1:1" ht="17.399999999999999">
      <c r="A29" s="1798" t="s">
        <v>2027</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9" customWidth="1"/>
    <col min="2" max="2" width="13.21875" style="2925" customWidth="1"/>
    <col min="3" max="3" width="15.6640625" style="2925" customWidth="1"/>
    <col min="4" max="4" width="9.33203125" style="2925" bestFit="1" customWidth="1"/>
    <col min="5" max="5" width="13.44140625" style="2925" customWidth="1"/>
    <col min="6" max="6" width="9" style="2925"/>
    <col min="7" max="7" width="9.33203125" style="2925" bestFit="1" customWidth="1"/>
    <col min="8" max="9" width="9" style="2925"/>
    <col min="10" max="10" width="9.33203125" style="2925" bestFit="1" customWidth="1"/>
    <col min="11" max="11" width="4" style="2919" customWidth="1"/>
    <col min="12" max="12" width="5.109375" style="2925" customWidth="1"/>
    <col min="13" max="13" width="13.77734375" style="2925" customWidth="1"/>
    <col min="14" max="256" width="9" style="2925"/>
    <col min="257" max="257" width="4.88671875" style="2917" customWidth="1"/>
    <col min="258" max="258" width="13.21875" style="2917" customWidth="1"/>
    <col min="259" max="259" width="15.6640625" style="2917" customWidth="1"/>
    <col min="260" max="260" width="9.33203125" style="2917" bestFit="1" customWidth="1"/>
    <col min="261" max="261" width="13.44140625" style="2917" customWidth="1"/>
    <col min="262" max="262" width="9" style="2917"/>
    <col min="263" max="263" width="9.33203125" style="2917" bestFit="1" customWidth="1"/>
    <col min="264" max="265" width="9" style="2917"/>
    <col min="266" max="266" width="9.33203125" style="2917" bestFit="1" customWidth="1"/>
    <col min="267" max="267" width="4" style="2917" customWidth="1"/>
    <col min="268" max="268" width="5.109375" style="2917" customWidth="1"/>
    <col min="269" max="269" width="13.77734375" style="2917" customWidth="1"/>
    <col min="270" max="512" width="9" style="2917"/>
    <col min="513" max="513" width="4.88671875" style="2917" customWidth="1"/>
    <col min="514" max="514" width="13.21875" style="2917" customWidth="1"/>
    <col min="515" max="515" width="15.6640625" style="2917" customWidth="1"/>
    <col min="516" max="516" width="9.33203125" style="2917" bestFit="1" customWidth="1"/>
    <col min="517" max="517" width="13.44140625" style="2917" customWidth="1"/>
    <col min="518" max="518" width="9" style="2917"/>
    <col min="519" max="519" width="9.33203125" style="2917" bestFit="1" customWidth="1"/>
    <col min="520" max="521" width="9" style="2917"/>
    <col min="522" max="522" width="9.33203125" style="2917" bestFit="1" customWidth="1"/>
    <col min="523" max="523" width="4" style="2917" customWidth="1"/>
    <col min="524" max="524" width="5.109375" style="2917" customWidth="1"/>
    <col min="525" max="525" width="13.77734375" style="2917" customWidth="1"/>
    <col min="526" max="768" width="9" style="2917"/>
    <col min="769" max="769" width="4.88671875" style="2917" customWidth="1"/>
    <col min="770" max="770" width="13.21875" style="2917" customWidth="1"/>
    <col min="771" max="771" width="15.6640625" style="2917" customWidth="1"/>
    <col min="772" max="772" width="9.33203125" style="2917" bestFit="1" customWidth="1"/>
    <col min="773" max="773" width="13.44140625" style="2917" customWidth="1"/>
    <col min="774" max="774" width="9" style="2917"/>
    <col min="775" max="775" width="9.33203125" style="2917" bestFit="1" customWidth="1"/>
    <col min="776" max="777" width="9" style="2917"/>
    <col min="778" max="778" width="9.33203125" style="2917" bestFit="1" customWidth="1"/>
    <col min="779" max="779" width="4" style="2917" customWidth="1"/>
    <col min="780" max="780" width="5.109375" style="2917" customWidth="1"/>
    <col min="781" max="781" width="13.77734375" style="2917" customWidth="1"/>
    <col min="782" max="1024" width="9" style="2917"/>
    <col min="1025" max="1025" width="4.88671875" style="2917" customWidth="1"/>
    <col min="1026" max="1026" width="13.21875" style="2917" customWidth="1"/>
    <col min="1027" max="1027" width="15.6640625" style="2917" customWidth="1"/>
    <col min="1028" max="1028" width="9.33203125" style="2917" bestFit="1" customWidth="1"/>
    <col min="1029" max="1029" width="13.44140625" style="2917" customWidth="1"/>
    <col min="1030" max="1030" width="9" style="2917"/>
    <col min="1031" max="1031" width="9.33203125" style="2917" bestFit="1" customWidth="1"/>
    <col min="1032" max="1033" width="9" style="2917"/>
    <col min="1034" max="1034" width="9.33203125" style="2917" bestFit="1" customWidth="1"/>
    <col min="1035" max="1035" width="4" style="2917" customWidth="1"/>
    <col min="1036" max="1036" width="5.109375" style="2917" customWidth="1"/>
    <col min="1037" max="1037" width="13.77734375" style="2917" customWidth="1"/>
    <col min="1038" max="1280" width="9" style="2917"/>
    <col min="1281" max="1281" width="4.88671875" style="2917" customWidth="1"/>
    <col min="1282" max="1282" width="13.21875" style="2917" customWidth="1"/>
    <col min="1283" max="1283" width="15.6640625" style="2917" customWidth="1"/>
    <col min="1284" max="1284" width="9.33203125" style="2917" bestFit="1" customWidth="1"/>
    <col min="1285" max="1285" width="13.44140625" style="2917" customWidth="1"/>
    <col min="1286" max="1286" width="9" style="2917"/>
    <col min="1287" max="1287" width="9.33203125" style="2917" bestFit="1" customWidth="1"/>
    <col min="1288" max="1289" width="9" style="2917"/>
    <col min="1290" max="1290" width="9.33203125" style="2917" bestFit="1" customWidth="1"/>
    <col min="1291" max="1291" width="4" style="2917" customWidth="1"/>
    <col min="1292" max="1292" width="5.109375" style="2917" customWidth="1"/>
    <col min="1293" max="1293" width="13.77734375" style="2917" customWidth="1"/>
    <col min="1294" max="1536" width="9" style="2917"/>
    <col min="1537" max="1537" width="4.88671875" style="2917" customWidth="1"/>
    <col min="1538" max="1538" width="13.21875" style="2917" customWidth="1"/>
    <col min="1539" max="1539" width="15.6640625" style="2917" customWidth="1"/>
    <col min="1540" max="1540" width="9.33203125" style="2917" bestFit="1" customWidth="1"/>
    <col min="1541" max="1541" width="13.44140625" style="2917" customWidth="1"/>
    <col min="1542" max="1542" width="9" style="2917"/>
    <col min="1543" max="1543" width="9.33203125" style="2917" bestFit="1" customWidth="1"/>
    <col min="1544" max="1545" width="9" style="2917"/>
    <col min="1546" max="1546" width="9.33203125" style="2917" bestFit="1" customWidth="1"/>
    <col min="1547" max="1547" width="4" style="2917" customWidth="1"/>
    <col min="1548" max="1548" width="5.109375" style="2917" customWidth="1"/>
    <col min="1549" max="1549" width="13.77734375" style="2917" customWidth="1"/>
    <col min="1550" max="1792" width="9" style="2917"/>
    <col min="1793" max="1793" width="4.88671875" style="2917" customWidth="1"/>
    <col min="1794" max="1794" width="13.21875" style="2917" customWidth="1"/>
    <col min="1795" max="1795" width="15.6640625" style="2917" customWidth="1"/>
    <col min="1796" max="1796" width="9.33203125" style="2917" bestFit="1" customWidth="1"/>
    <col min="1797" max="1797" width="13.44140625" style="2917" customWidth="1"/>
    <col min="1798" max="1798" width="9" style="2917"/>
    <col min="1799" max="1799" width="9.33203125" style="2917" bestFit="1" customWidth="1"/>
    <col min="1800" max="1801" width="9" style="2917"/>
    <col min="1802" max="1802" width="9.33203125" style="2917" bestFit="1" customWidth="1"/>
    <col min="1803" max="1803" width="4" style="2917" customWidth="1"/>
    <col min="1804" max="1804" width="5.109375" style="2917" customWidth="1"/>
    <col min="1805" max="1805" width="13.77734375" style="2917" customWidth="1"/>
    <col min="1806" max="2048" width="9" style="2917"/>
    <col min="2049" max="2049" width="4.88671875" style="2917" customWidth="1"/>
    <col min="2050" max="2050" width="13.21875" style="2917" customWidth="1"/>
    <col min="2051" max="2051" width="15.6640625" style="2917" customWidth="1"/>
    <col min="2052" max="2052" width="9.33203125" style="2917" bestFit="1" customWidth="1"/>
    <col min="2053" max="2053" width="13.44140625" style="2917" customWidth="1"/>
    <col min="2054" max="2054" width="9" style="2917"/>
    <col min="2055" max="2055" width="9.33203125" style="2917" bestFit="1" customWidth="1"/>
    <col min="2056" max="2057" width="9" style="2917"/>
    <col min="2058" max="2058" width="9.33203125" style="2917" bestFit="1" customWidth="1"/>
    <col min="2059" max="2059" width="4" style="2917" customWidth="1"/>
    <col min="2060" max="2060" width="5.109375" style="2917" customWidth="1"/>
    <col min="2061" max="2061" width="13.77734375" style="2917" customWidth="1"/>
    <col min="2062" max="2304" width="9" style="2917"/>
    <col min="2305" max="2305" width="4.88671875" style="2917" customWidth="1"/>
    <col min="2306" max="2306" width="13.21875" style="2917" customWidth="1"/>
    <col min="2307" max="2307" width="15.6640625" style="2917" customWidth="1"/>
    <col min="2308" max="2308" width="9.33203125" style="2917" bestFit="1" customWidth="1"/>
    <col min="2309" max="2309" width="13.44140625" style="2917" customWidth="1"/>
    <col min="2310" max="2310" width="9" style="2917"/>
    <col min="2311" max="2311" width="9.33203125" style="2917" bestFit="1" customWidth="1"/>
    <col min="2312" max="2313" width="9" style="2917"/>
    <col min="2314" max="2314" width="9.33203125" style="2917" bestFit="1" customWidth="1"/>
    <col min="2315" max="2315" width="4" style="2917" customWidth="1"/>
    <col min="2316" max="2316" width="5.109375" style="2917" customWidth="1"/>
    <col min="2317" max="2317" width="13.77734375" style="2917" customWidth="1"/>
    <col min="2318" max="2560" width="9" style="2917"/>
    <col min="2561" max="2561" width="4.88671875" style="2917" customWidth="1"/>
    <col min="2562" max="2562" width="13.21875" style="2917" customWidth="1"/>
    <col min="2563" max="2563" width="15.6640625" style="2917" customWidth="1"/>
    <col min="2564" max="2564" width="9.33203125" style="2917" bestFit="1" customWidth="1"/>
    <col min="2565" max="2565" width="13.44140625" style="2917" customWidth="1"/>
    <col min="2566" max="2566" width="9" style="2917"/>
    <col min="2567" max="2567" width="9.33203125" style="2917" bestFit="1" customWidth="1"/>
    <col min="2568" max="2569" width="9" style="2917"/>
    <col min="2570" max="2570" width="9.33203125" style="2917" bestFit="1" customWidth="1"/>
    <col min="2571" max="2571" width="4" style="2917" customWidth="1"/>
    <col min="2572" max="2572" width="5.109375" style="2917" customWidth="1"/>
    <col min="2573" max="2573" width="13.77734375" style="2917" customWidth="1"/>
    <col min="2574" max="2816" width="9" style="2917"/>
    <col min="2817" max="2817" width="4.88671875" style="2917" customWidth="1"/>
    <col min="2818" max="2818" width="13.21875" style="2917" customWidth="1"/>
    <col min="2819" max="2819" width="15.6640625" style="2917" customWidth="1"/>
    <col min="2820" max="2820" width="9.33203125" style="2917" bestFit="1" customWidth="1"/>
    <col min="2821" max="2821" width="13.44140625" style="2917" customWidth="1"/>
    <col min="2822" max="2822" width="9" style="2917"/>
    <col min="2823" max="2823" width="9.33203125" style="2917" bestFit="1" customWidth="1"/>
    <col min="2824" max="2825" width="9" style="2917"/>
    <col min="2826" max="2826" width="9.33203125" style="2917" bestFit="1" customWidth="1"/>
    <col min="2827" max="2827" width="4" style="2917" customWidth="1"/>
    <col min="2828" max="2828" width="5.109375" style="2917" customWidth="1"/>
    <col min="2829" max="2829" width="13.77734375" style="2917" customWidth="1"/>
    <col min="2830" max="3072" width="9" style="2917"/>
    <col min="3073" max="3073" width="4.88671875" style="2917" customWidth="1"/>
    <col min="3074" max="3074" width="13.21875" style="2917" customWidth="1"/>
    <col min="3075" max="3075" width="15.6640625" style="2917" customWidth="1"/>
    <col min="3076" max="3076" width="9.33203125" style="2917" bestFit="1" customWidth="1"/>
    <col min="3077" max="3077" width="13.44140625" style="2917" customWidth="1"/>
    <col min="3078" max="3078" width="9" style="2917"/>
    <col min="3079" max="3079" width="9.33203125" style="2917" bestFit="1" customWidth="1"/>
    <col min="3080" max="3081" width="9" style="2917"/>
    <col min="3082" max="3082" width="9.33203125" style="2917" bestFit="1" customWidth="1"/>
    <col min="3083" max="3083" width="4" style="2917" customWidth="1"/>
    <col min="3084" max="3084" width="5.109375" style="2917" customWidth="1"/>
    <col min="3085" max="3085" width="13.77734375" style="2917" customWidth="1"/>
    <col min="3086" max="3328" width="9" style="2917"/>
    <col min="3329" max="3329" width="4.88671875" style="2917" customWidth="1"/>
    <col min="3330" max="3330" width="13.21875" style="2917" customWidth="1"/>
    <col min="3331" max="3331" width="15.6640625" style="2917" customWidth="1"/>
    <col min="3332" max="3332" width="9.33203125" style="2917" bestFit="1" customWidth="1"/>
    <col min="3333" max="3333" width="13.44140625" style="2917" customWidth="1"/>
    <col min="3334" max="3334" width="9" style="2917"/>
    <col min="3335" max="3335" width="9.33203125" style="2917" bestFit="1" customWidth="1"/>
    <col min="3336" max="3337" width="9" style="2917"/>
    <col min="3338" max="3338" width="9.33203125" style="2917" bestFit="1" customWidth="1"/>
    <col min="3339" max="3339" width="4" style="2917" customWidth="1"/>
    <col min="3340" max="3340" width="5.109375" style="2917" customWidth="1"/>
    <col min="3341" max="3341" width="13.77734375" style="2917" customWidth="1"/>
    <col min="3342" max="3584" width="9" style="2917"/>
    <col min="3585" max="3585" width="4.88671875" style="2917" customWidth="1"/>
    <col min="3586" max="3586" width="13.21875" style="2917" customWidth="1"/>
    <col min="3587" max="3587" width="15.6640625" style="2917" customWidth="1"/>
    <col min="3588" max="3588" width="9.33203125" style="2917" bestFit="1" customWidth="1"/>
    <col min="3589" max="3589" width="13.44140625" style="2917" customWidth="1"/>
    <col min="3590" max="3590" width="9" style="2917"/>
    <col min="3591" max="3591" width="9.33203125" style="2917" bestFit="1" customWidth="1"/>
    <col min="3592" max="3593" width="9" style="2917"/>
    <col min="3594" max="3594" width="9.33203125" style="2917" bestFit="1" customWidth="1"/>
    <col min="3595" max="3595" width="4" style="2917" customWidth="1"/>
    <col min="3596" max="3596" width="5.109375" style="2917" customWidth="1"/>
    <col min="3597" max="3597" width="13.77734375" style="2917" customWidth="1"/>
    <col min="3598" max="3840" width="9" style="2917"/>
    <col min="3841" max="3841" width="4.88671875" style="2917" customWidth="1"/>
    <col min="3842" max="3842" width="13.21875" style="2917" customWidth="1"/>
    <col min="3843" max="3843" width="15.6640625" style="2917" customWidth="1"/>
    <col min="3844" max="3844" width="9.33203125" style="2917" bestFit="1" customWidth="1"/>
    <col min="3845" max="3845" width="13.44140625" style="2917" customWidth="1"/>
    <col min="3846" max="3846" width="9" style="2917"/>
    <col min="3847" max="3847" width="9.33203125" style="2917" bestFit="1" customWidth="1"/>
    <col min="3848" max="3849" width="9" style="2917"/>
    <col min="3850" max="3850" width="9.33203125" style="2917" bestFit="1" customWidth="1"/>
    <col min="3851" max="3851" width="4" style="2917" customWidth="1"/>
    <col min="3852" max="3852" width="5.109375" style="2917" customWidth="1"/>
    <col min="3853" max="3853" width="13.77734375" style="2917" customWidth="1"/>
    <col min="3854" max="4096" width="9" style="2917"/>
    <col min="4097" max="4097" width="4.88671875" style="2917" customWidth="1"/>
    <col min="4098" max="4098" width="13.21875" style="2917" customWidth="1"/>
    <col min="4099" max="4099" width="15.6640625" style="2917" customWidth="1"/>
    <col min="4100" max="4100" width="9.33203125" style="2917" bestFit="1" customWidth="1"/>
    <col min="4101" max="4101" width="13.44140625" style="2917" customWidth="1"/>
    <col min="4102" max="4102" width="9" style="2917"/>
    <col min="4103" max="4103" width="9.33203125" style="2917" bestFit="1" customWidth="1"/>
    <col min="4104" max="4105" width="9" style="2917"/>
    <col min="4106" max="4106" width="9.33203125" style="2917" bestFit="1" customWidth="1"/>
    <col min="4107" max="4107" width="4" style="2917" customWidth="1"/>
    <col min="4108" max="4108" width="5.109375" style="2917" customWidth="1"/>
    <col min="4109" max="4109" width="13.77734375" style="2917" customWidth="1"/>
    <col min="4110" max="4352" width="9" style="2917"/>
    <col min="4353" max="4353" width="4.88671875" style="2917" customWidth="1"/>
    <col min="4354" max="4354" width="13.21875" style="2917" customWidth="1"/>
    <col min="4355" max="4355" width="15.6640625" style="2917" customWidth="1"/>
    <col min="4356" max="4356" width="9.33203125" style="2917" bestFit="1" customWidth="1"/>
    <col min="4357" max="4357" width="13.44140625" style="2917" customWidth="1"/>
    <col min="4358" max="4358" width="9" style="2917"/>
    <col min="4359" max="4359" width="9.33203125" style="2917" bestFit="1" customWidth="1"/>
    <col min="4360" max="4361" width="9" style="2917"/>
    <col min="4362" max="4362" width="9.33203125" style="2917" bestFit="1" customWidth="1"/>
    <col min="4363" max="4363" width="4" style="2917" customWidth="1"/>
    <col min="4364" max="4364" width="5.109375" style="2917" customWidth="1"/>
    <col min="4365" max="4365" width="13.77734375" style="2917" customWidth="1"/>
    <col min="4366" max="4608" width="9" style="2917"/>
    <col min="4609" max="4609" width="4.88671875" style="2917" customWidth="1"/>
    <col min="4610" max="4610" width="13.21875" style="2917" customWidth="1"/>
    <col min="4611" max="4611" width="15.6640625" style="2917" customWidth="1"/>
    <col min="4612" max="4612" width="9.33203125" style="2917" bestFit="1" customWidth="1"/>
    <col min="4613" max="4613" width="13.44140625" style="2917" customWidth="1"/>
    <col min="4614" max="4614" width="9" style="2917"/>
    <col min="4615" max="4615" width="9.33203125" style="2917" bestFit="1" customWidth="1"/>
    <col min="4616" max="4617" width="9" style="2917"/>
    <col min="4618" max="4618" width="9.33203125" style="2917" bestFit="1" customWidth="1"/>
    <col min="4619" max="4619" width="4" style="2917" customWidth="1"/>
    <col min="4620" max="4620" width="5.109375" style="2917" customWidth="1"/>
    <col min="4621" max="4621" width="13.77734375" style="2917" customWidth="1"/>
    <col min="4622" max="4864" width="9" style="2917"/>
    <col min="4865" max="4865" width="4.88671875" style="2917" customWidth="1"/>
    <col min="4866" max="4866" width="13.21875" style="2917" customWidth="1"/>
    <col min="4867" max="4867" width="15.6640625" style="2917" customWidth="1"/>
    <col min="4868" max="4868" width="9.33203125" style="2917" bestFit="1" customWidth="1"/>
    <col min="4869" max="4869" width="13.44140625" style="2917" customWidth="1"/>
    <col min="4870" max="4870" width="9" style="2917"/>
    <col min="4871" max="4871" width="9.33203125" style="2917" bestFit="1" customWidth="1"/>
    <col min="4872" max="4873" width="9" style="2917"/>
    <col min="4874" max="4874" width="9.33203125" style="2917" bestFit="1" customWidth="1"/>
    <col min="4875" max="4875" width="4" style="2917" customWidth="1"/>
    <col min="4876" max="4876" width="5.109375" style="2917" customWidth="1"/>
    <col min="4877" max="4877" width="13.77734375" style="2917" customWidth="1"/>
    <col min="4878" max="5120" width="9" style="2917"/>
    <col min="5121" max="5121" width="4.88671875" style="2917" customWidth="1"/>
    <col min="5122" max="5122" width="13.21875" style="2917" customWidth="1"/>
    <col min="5123" max="5123" width="15.6640625" style="2917" customWidth="1"/>
    <col min="5124" max="5124" width="9.33203125" style="2917" bestFit="1" customWidth="1"/>
    <col min="5125" max="5125" width="13.44140625" style="2917" customWidth="1"/>
    <col min="5126" max="5126" width="9" style="2917"/>
    <col min="5127" max="5127" width="9.33203125" style="2917" bestFit="1" customWidth="1"/>
    <col min="5128" max="5129" width="9" style="2917"/>
    <col min="5130" max="5130" width="9.33203125" style="2917" bestFit="1" customWidth="1"/>
    <col min="5131" max="5131" width="4" style="2917" customWidth="1"/>
    <col min="5132" max="5132" width="5.109375" style="2917" customWidth="1"/>
    <col min="5133" max="5133" width="13.77734375" style="2917" customWidth="1"/>
    <col min="5134" max="5376" width="9" style="2917"/>
    <col min="5377" max="5377" width="4.88671875" style="2917" customWidth="1"/>
    <col min="5378" max="5378" width="13.21875" style="2917" customWidth="1"/>
    <col min="5379" max="5379" width="15.6640625" style="2917" customWidth="1"/>
    <col min="5380" max="5380" width="9.33203125" style="2917" bestFit="1" customWidth="1"/>
    <col min="5381" max="5381" width="13.44140625" style="2917" customWidth="1"/>
    <col min="5382" max="5382" width="9" style="2917"/>
    <col min="5383" max="5383" width="9.33203125" style="2917" bestFit="1" customWidth="1"/>
    <col min="5384" max="5385" width="9" style="2917"/>
    <col min="5386" max="5386" width="9.33203125" style="2917" bestFit="1" customWidth="1"/>
    <col min="5387" max="5387" width="4" style="2917" customWidth="1"/>
    <col min="5388" max="5388" width="5.109375" style="2917" customWidth="1"/>
    <col min="5389" max="5389" width="13.77734375" style="2917" customWidth="1"/>
    <col min="5390" max="5632" width="9" style="2917"/>
    <col min="5633" max="5633" width="4.88671875" style="2917" customWidth="1"/>
    <col min="5634" max="5634" width="13.21875" style="2917" customWidth="1"/>
    <col min="5635" max="5635" width="15.6640625" style="2917" customWidth="1"/>
    <col min="5636" max="5636" width="9.33203125" style="2917" bestFit="1" customWidth="1"/>
    <col min="5637" max="5637" width="13.44140625" style="2917" customWidth="1"/>
    <col min="5638" max="5638" width="9" style="2917"/>
    <col min="5639" max="5639" width="9.33203125" style="2917" bestFit="1" customWidth="1"/>
    <col min="5640" max="5641" width="9" style="2917"/>
    <col min="5642" max="5642" width="9.33203125" style="2917" bestFit="1" customWidth="1"/>
    <col min="5643" max="5643" width="4" style="2917" customWidth="1"/>
    <col min="5644" max="5644" width="5.109375" style="2917" customWidth="1"/>
    <col min="5645" max="5645" width="13.77734375" style="2917" customWidth="1"/>
    <col min="5646" max="5888" width="9" style="2917"/>
    <col min="5889" max="5889" width="4.88671875" style="2917" customWidth="1"/>
    <col min="5890" max="5890" width="13.21875" style="2917" customWidth="1"/>
    <col min="5891" max="5891" width="15.6640625" style="2917" customWidth="1"/>
    <col min="5892" max="5892" width="9.33203125" style="2917" bestFit="1" customWidth="1"/>
    <col min="5893" max="5893" width="13.44140625" style="2917" customWidth="1"/>
    <col min="5894" max="5894" width="9" style="2917"/>
    <col min="5895" max="5895" width="9.33203125" style="2917" bestFit="1" customWidth="1"/>
    <col min="5896" max="5897" width="9" style="2917"/>
    <col min="5898" max="5898" width="9.33203125" style="2917" bestFit="1" customWidth="1"/>
    <col min="5899" max="5899" width="4" style="2917" customWidth="1"/>
    <col min="5900" max="5900" width="5.109375" style="2917" customWidth="1"/>
    <col min="5901" max="5901" width="13.77734375" style="2917" customWidth="1"/>
    <col min="5902" max="6144" width="9" style="2917"/>
    <col min="6145" max="6145" width="4.88671875" style="2917" customWidth="1"/>
    <col min="6146" max="6146" width="13.21875" style="2917" customWidth="1"/>
    <col min="6147" max="6147" width="15.6640625" style="2917" customWidth="1"/>
    <col min="6148" max="6148" width="9.33203125" style="2917" bestFit="1" customWidth="1"/>
    <col min="6149" max="6149" width="13.44140625" style="2917" customWidth="1"/>
    <col min="6150" max="6150" width="9" style="2917"/>
    <col min="6151" max="6151" width="9.33203125" style="2917" bestFit="1" customWidth="1"/>
    <col min="6152" max="6153" width="9" style="2917"/>
    <col min="6154" max="6154" width="9.33203125" style="2917" bestFit="1" customWidth="1"/>
    <col min="6155" max="6155" width="4" style="2917" customWidth="1"/>
    <col min="6156" max="6156" width="5.109375" style="2917" customWidth="1"/>
    <col min="6157" max="6157" width="13.77734375" style="2917" customWidth="1"/>
    <col min="6158" max="6400" width="9" style="2917"/>
    <col min="6401" max="6401" width="4.88671875" style="2917" customWidth="1"/>
    <col min="6402" max="6402" width="13.21875" style="2917" customWidth="1"/>
    <col min="6403" max="6403" width="15.6640625" style="2917" customWidth="1"/>
    <col min="6404" max="6404" width="9.33203125" style="2917" bestFit="1" customWidth="1"/>
    <col min="6405" max="6405" width="13.44140625" style="2917" customWidth="1"/>
    <col min="6406" max="6406" width="9" style="2917"/>
    <col min="6407" max="6407" width="9.33203125" style="2917" bestFit="1" customWidth="1"/>
    <col min="6408" max="6409" width="9" style="2917"/>
    <col min="6410" max="6410" width="9.33203125" style="2917" bestFit="1" customWidth="1"/>
    <col min="6411" max="6411" width="4" style="2917" customWidth="1"/>
    <col min="6412" max="6412" width="5.109375" style="2917" customWidth="1"/>
    <col min="6413" max="6413" width="13.77734375" style="2917" customWidth="1"/>
    <col min="6414" max="6656" width="9" style="2917"/>
    <col min="6657" max="6657" width="4.88671875" style="2917" customWidth="1"/>
    <col min="6658" max="6658" width="13.21875" style="2917" customWidth="1"/>
    <col min="6659" max="6659" width="15.6640625" style="2917" customWidth="1"/>
    <col min="6660" max="6660" width="9.33203125" style="2917" bestFit="1" customWidth="1"/>
    <col min="6661" max="6661" width="13.44140625" style="2917" customWidth="1"/>
    <col min="6662" max="6662" width="9" style="2917"/>
    <col min="6663" max="6663" width="9.33203125" style="2917" bestFit="1" customWidth="1"/>
    <col min="6664" max="6665" width="9" style="2917"/>
    <col min="6666" max="6666" width="9.33203125" style="2917" bestFit="1" customWidth="1"/>
    <col min="6667" max="6667" width="4" style="2917" customWidth="1"/>
    <col min="6668" max="6668" width="5.109375" style="2917" customWidth="1"/>
    <col min="6669" max="6669" width="13.77734375" style="2917" customWidth="1"/>
    <col min="6670" max="6912" width="9" style="2917"/>
    <col min="6913" max="6913" width="4.88671875" style="2917" customWidth="1"/>
    <col min="6914" max="6914" width="13.21875" style="2917" customWidth="1"/>
    <col min="6915" max="6915" width="15.6640625" style="2917" customWidth="1"/>
    <col min="6916" max="6916" width="9.33203125" style="2917" bestFit="1" customWidth="1"/>
    <col min="6917" max="6917" width="13.44140625" style="2917" customWidth="1"/>
    <col min="6918" max="6918" width="9" style="2917"/>
    <col min="6919" max="6919" width="9.33203125" style="2917" bestFit="1" customWidth="1"/>
    <col min="6920" max="6921" width="9" style="2917"/>
    <col min="6922" max="6922" width="9.33203125" style="2917" bestFit="1" customWidth="1"/>
    <col min="6923" max="6923" width="4" style="2917" customWidth="1"/>
    <col min="6924" max="6924" width="5.109375" style="2917" customWidth="1"/>
    <col min="6925" max="6925" width="13.77734375" style="2917" customWidth="1"/>
    <col min="6926" max="7168" width="9" style="2917"/>
    <col min="7169" max="7169" width="4.88671875" style="2917" customWidth="1"/>
    <col min="7170" max="7170" width="13.21875" style="2917" customWidth="1"/>
    <col min="7171" max="7171" width="15.6640625" style="2917" customWidth="1"/>
    <col min="7172" max="7172" width="9.33203125" style="2917" bestFit="1" customWidth="1"/>
    <col min="7173" max="7173" width="13.44140625" style="2917" customWidth="1"/>
    <col min="7174" max="7174" width="9" style="2917"/>
    <col min="7175" max="7175" width="9.33203125" style="2917" bestFit="1" customWidth="1"/>
    <col min="7176" max="7177" width="9" style="2917"/>
    <col min="7178" max="7178" width="9.33203125" style="2917" bestFit="1" customWidth="1"/>
    <col min="7179" max="7179" width="4" style="2917" customWidth="1"/>
    <col min="7180" max="7180" width="5.109375" style="2917" customWidth="1"/>
    <col min="7181" max="7181" width="13.77734375" style="2917" customWidth="1"/>
    <col min="7182" max="7424" width="9" style="2917"/>
    <col min="7425" max="7425" width="4.88671875" style="2917" customWidth="1"/>
    <col min="7426" max="7426" width="13.21875" style="2917" customWidth="1"/>
    <col min="7427" max="7427" width="15.6640625" style="2917" customWidth="1"/>
    <col min="7428" max="7428" width="9.33203125" style="2917" bestFit="1" customWidth="1"/>
    <col min="7429" max="7429" width="13.44140625" style="2917" customWidth="1"/>
    <col min="7430" max="7430" width="9" style="2917"/>
    <col min="7431" max="7431" width="9.33203125" style="2917" bestFit="1" customWidth="1"/>
    <col min="7432" max="7433" width="9" style="2917"/>
    <col min="7434" max="7434" width="9.33203125" style="2917" bestFit="1" customWidth="1"/>
    <col min="7435" max="7435" width="4" style="2917" customWidth="1"/>
    <col min="7436" max="7436" width="5.109375" style="2917" customWidth="1"/>
    <col min="7437" max="7437" width="13.77734375" style="2917" customWidth="1"/>
    <col min="7438" max="7680" width="9" style="2917"/>
    <col min="7681" max="7681" width="4.88671875" style="2917" customWidth="1"/>
    <col min="7682" max="7682" width="13.21875" style="2917" customWidth="1"/>
    <col min="7683" max="7683" width="15.6640625" style="2917" customWidth="1"/>
    <col min="7684" max="7684" width="9.33203125" style="2917" bestFit="1" customWidth="1"/>
    <col min="7685" max="7685" width="13.44140625" style="2917" customWidth="1"/>
    <col min="7686" max="7686" width="9" style="2917"/>
    <col min="7687" max="7687" width="9.33203125" style="2917" bestFit="1" customWidth="1"/>
    <col min="7688" max="7689" width="9" style="2917"/>
    <col min="7690" max="7690" width="9.33203125" style="2917" bestFit="1" customWidth="1"/>
    <col min="7691" max="7691" width="4" style="2917" customWidth="1"/>
    <col min="7692" max="7692" width="5.109375" style="2917" customWidth="1"/>
    <col min="7693" max="7693" width="13.77734375" style="2917" customWidth="1"/>
    <col min="7694" max="7936" width="9" style="2917"/>
    <col min="7937" max="7937" width="4.88671875" style="2917" customWidth="1"/>
    <col min="7938" max="7938" width="13.21875" style="2917" customWidth="1"/>
    <col min="7939" max="7939" width="15.6640625" style="2917" customWidth="1"/>
    <col min="7940" max="7940" width="9.33203125" style="2917" bestFit="1" customWidth="1"/>
    <col min="7941" max="7941" width="13.44140625" style="2917" customWidth="1"/>
    <col min="7942" max="7942" width="9" style="2917"/>
    <col min="7943" max="7943" width="9.33203125" style="2917" bestFit="1" customWidth="1"/>
    <col min="7944" max="7945" width="9" style="2917"/>
    <col min="7946" max="7946" width="9.33203125" style="2917" bestFit="1" customWidth="1"/>
    <col min="7947" max="7947" width="4" style="2917" customWidth="1"/>
    <col min="7948" max="7948" width="5.109375" style="2917" customWidth="1"/>
    <col min="7949" max="7949" width="13.77734375" style="2917" customWidth="1"/>
    <col min="7950" max="8192" width="9" style="2917"/>
    <col min="8193" max="8193" width="4.88671875" style="2917" customWidth="1"/>
    <col min="8194" max="8194" width="13.21875" style="2917" customWidth="1"/>
    <col min="8195" max="8195" width="15.6640625" style="2917" customWidth="1"/>
    <col min="8196" max="8196" width="9.33203125" style="2917" bestFit="1" customWidth="1"/>
    <col min="8197" max="8197" width="13.44140625" style="2917" customWidth="1"/>
    <col min="8198" max="8198" width="9" style="2917"/>
    <col min="8199" max="8199" width="9.33203125" style="2917" bestFit="1" customWidth="1"/>
    <col min="8200" max="8201" width="9" style="2917"/>
    <col min="8202" max="8202" width="9.33203125" style="2917" bestFit="1" customWidth="1"/>
    <col min="8203" max="8203" width="4" style="2917" customWidth="1"/>
    <col min="8204" max="8204" width="5.109375" style="2917" customWidth="1"/>
    <col min="8205" max="8205" width="13.77734375" style="2917" customWidth="1"/>
    <col min="8206" max="8448" width="9" style="2917"/>
    <col min="8449" max="8449" width="4.88671875" style="2917" customWidth="1"/>
    <col min="8450" max="8450" width="13.21875" style="2917" customWidth="1"/>
    <col min="8451" max="8451" width="15.6640625" style="2917" customWidth="1"/>
    <col min="8452" max="8452" width="9.33203125" style="2917" bestFit="1" customWidth="1"/>
    <col min="8453" max="8453" width="13.44140625" style="2917" customWidth="1"/>
    <col min="8454" max="8454" width="9" style="2917"/>
    <col min="8455" max="8455" width="9.33203125" style="2917" bestFit="1" customWidth="1"/>
    <col min="8456" max="8457" width="9" style="2917"/>
    <col min="8458" max="8458" width="9.33203125" style="2917" bestFit="1" customWidth="1"/>
    <col min="8459" max="8459" width="4" style="2917" customWidth="1"/>
    <col min="8460" max="8460" width="5.109375" style="2917" customWidth="1"/>
    <col min="8461" max="8461" width="13.77734375" style="2917" customWidth="1"/>
    <col min="8462" max="8704" width="9" style="2917"/>
    <col min="8705" max="8705" width="4.88671875" style="2917" customWidth="1"/>
    <col min="8706" max="8706" width="13.21875" style="2917" customWidth="1"/>
    <col min="8707" max="8707" width="15.6640625" style="2917" customWidth="1"/>
    <col min="8708" max="8708" width="9.33203125" style="2917" bestFit="1" customWidth="1"/>
    <col min="8709" max="8709" width="13.44140625" style="2917" customWidth="1"/>
    <col min="8710" max="8710" width="9" style="2917"/>
    <col min="8711" max="8711" width="9.33203125" style="2917" bestFit="1" customWidth="1"/>
    <col min="8712" max="8713" width="9" style="2917"/>
    <col min="8714" max="8714" width="9.33203125" style="2917" bestFit="1" customWidth="1"/>
    <col min="8715" max="8715" width="4" style="2917" customWidth="1"/>
    <col min="8716" max="8716" width="5.109375" style="2917" customWidth="1"/>
    <col min="8717" max="8717" width="13.77734375" style="2917" customWidth="1"/>
    <col min="8718" max="8960" width="9" style="2917"/>
    <col min="8961" max="8961" width="4.88671875" style="2917" customWidth="1"/>
    <col min="8962" max="8962" width="13.21875" style="2917" customWidth="1"/>
    <col min="8963" max="8963" width="15.6640625" style="2917" customWidth="1"/>
    <col min="8964" max="8964" width="9.33203125" style="2917" bestFit="1" customWidth="1"/>
    <col min="8965" max="8965" width="13.44140625" style="2917" customWidth="1"/>
    <col min="8966" max="8966" width="9" style="2917"/>
    <col min="8967" max="8967" width="9.33203125" style="2917" bestFit="1" customWidth="1"/>
    <col min="8968" max="8969" width="9" style="2917"/>
    <col min="8970" max="8970" width="9.33203125" style="2917" bestFit="1" customWidth="1"/>
    <col min="8971" max="8971" width="4" style="2917" customWidth="1"/>
    <col min="8972" max="8972" width="5.109375" style="2917" customWidth="1"/>
    <col min="8973" max="8973" width="13.77734375" style="2917" customWidth="1"/>
    <col min="8974" max="9216" width="9" style="2917"/>
    <col min="9217" max="9217" width="4.88671875" style="2917" customWidth="1"/>
    <col min="9218" max="9218" width="13.21875" style="2917" customWidth="1"/>
    <col min="9219" max="9219" width="15.6640625" style="2917" customWidth="1"/>
    <col min="9220" max="9220" width="9.33203125" style="2917" bestFit="1" customWidth="1"/>
    <col min="9221" max="9221" width="13.44140625" style="2917" customWidth="1"/>
    <col min="9222" max="9222" width="9" style="2917"/>
    <col min="9223" max="9223" width="9.33203125" style="2917" bestFit="1" customWidth="1"/>
    <col min="9224" max="9225" width="9" style="2917"/>
    <col min="9226" max="9226" width="9.33203125" style="2917" bestFit="1" customWidth="1"/>
    <col min="9227" max="9227" width="4" style="2917" customWidth="1"/>
    <col min="9228" max="9228" width="5.109375" style="2917" customWidth="1"/>
    <col min="9229" max="9229" width="13.77734375" style="2917" customWidth="1"/>
    <col min="9230" max="9472" width="9" style="2917"/>
    <col min="9473" max="9473" width="4.88671875" style="2917" customWidth="1"/>
    <col min="9474" max="9474" width="13.21875" style="2917" customWidth="1"/>
    <col min="9475" max="9475" width="15.6640625" style="2917" customWidth="1"/>
    <col min="9476" max="9476" width="9.33203125" style="2917" bestFit="1" customWidth="1"/>
    <col min="9477" max="9477" width="13.44140625" style="2917" customWidth="1"/>
    <col min="9478" max="9478" width="9" style="2917"/>
    <col min="9479" max="9479" width="9.33203125" style="2917" bestFit="1" customWidth="1"/>
    <col min="9480" max="9481" width="9" style="2917"/>
    <col min="9482" max="9482" width="9.33203125" style="2917" bestFit="1" customWidth="1"/>
    <col min="9483" max="9483" width="4" style="2917" customWidth="1"/>
    <col min="9484" max="9484" width="5.109375" style="2917" customWidth="1"/>
    <col min="9485" max="9485" width="13.77734375" style="2917" customWidth="1"/>
    <col min="9486" max="9728" width="9" style="2917"/>
    <col min="9729" max="9729" width="4.88671875" style="2917" customWidth="1"/>
    <col min="9730" max="9730" width="13.21875" style="2917" customWidth="1"/>
    <col min="9731" max="9731" width="15.6640625" style="2917" customWidth="1"/>
    <col min="9732" max="9732" width="9.33203125" style="2917" bestFit="1" customWidth="1"/>
    <col min="9733" max="9733" width="13.44140625" style="2917" customWidth="1"/>
    <col min="9734" max="9734" width="9" style="2917"/>
    <col min="9735" max="9735" width="9.33203125" style="2917" bestFit="1" customWidth="1"/>
    <col min="9736" max="9737" width="9" style="2917"/>
    <col min="9738" max="9738" width="9.33203125" style="2917" bestFit="1" customWidth="1"/>
    <col min="9739" max="9739" width="4" style="2917" customWidth="1"/>
    <col min="9740" max="9740" width="5.109375" style="2917" customWidth="1"/>
    <col min="9741" max="9741" width="13.77734375" style="2917" customWidth="1"/>
    <col min="9742" max="9984" width="9" style="2917"/>
    <col min="9985" max="9985" width="4.88671875" style="2917" customWidth="1"/>
    <col min="9986" max="9986" width="13.21875" style="2917" customWidth="1"/>
    <col min="9987" max="9987" width="15.6640625" style="2917" customWidth="1"/>
    <col min="9988" max="9988" width="9.33203125" style="2917" bestFit="1" customWidth="1"/>
    <col min="9989" max="9989" width="13.44140625" style="2917" customWidth="1"/>
    <col min="9990" max="9990" width="9" style="2917"/>
    <col min="9991" max="9991" width="9.33203125" style="2917" bestFit="1" customWidth="1"/>
    <col min="9992" max="9993" width="9" style="2917"/>
    <col min="9994" max="9994" width="9.33203125" style="2917" bestFit="1" customWidth="1"/>
    <col min="9995" max="9995" width="4" style="2917" customWidth="1"/>
    <col min="9996" max="9996" width="5.109375" style="2917" customWidth="1"/>
    <col min="9997" max="9997" width="13.77734375" style="2917" customWidth="1"/>
    <col min="9998" max="10240" width="9" style="2917"/>
    <col min="10241" max="10241" width="4.88671875" style="2917" customWidth="1"/>
    <col min="10242" max="10242" width="13.21875" style="2917" customWidth="1"/>
    <col min="10243" max="10243" width="15.6640625" style="2917" customWidth="1"/>
    <col min="10244" max="10244" width="9.33203125" style="2917" bestFit="1" customWidth="1"/>
    <col min="10245" max="10245" width="13.44140625" style="2917" customWidth="1"/>
    <col min="10246" max="10246" width="9" style="2917"/>
    <col min="10247" max="10247" width="9.33203125" style="2917" bestFit="1" customWidth="1"/>
    <col min="10248" max="10249" width="9" style="2917"/>
    <col min="10250" max="10250" width="9.33203125" style="2917" bestFit="1" customWidth="1"/>
    <col min="10251" max="10251" width="4" style="2917" customWidth="1"/>
    <col min="10252" max="10252" width="5.109375" style="2917" customWidth="1"/>
    <col min="10253" max="10253" width="13.77734375" style="2917" customWidth="1"/>
    <col min="10254" max="10496" width="9" style="2917"/>
    <col min="10497" max="10497" width="4.88671875" style="2917" customWidth="1"/>
    <col min="10498" max="10498" width="13.21875" style="2917" customWidth="1"/>
    <col min="10499" max="10499" width="15.6640625" style="2917" customWidth="1"/>
    <col min="10500" max="10500" width="9.33203125" style="2917" bestFit="1" customWidth="1"/>
    <col min="10501" max="10501" width="13.44140625" style="2917" customWidth="1"/>
    <col min="10502" max="10502" width="9" style="2917"/>
    <col min="10503" max="10503" width="9.33203125" style="2917" bestFit="1" customWidth="1"/>
    <col min="10504" max="10505" width="9" style="2917"/>
    <col min="10506" max="10506" width="9.33203125" style="2917" bestFit="1" customWidth="1"/>
    <col min="10507" max="10507" width="4" style="2917" customWidth="1"/>
    <col min="10508" max="10508" width="5.109375" style="2917" customWidth="1"/>
    <col min="10509" max="10509" width="13.77734375" style="2917" customWidth="1"/>
    <col min="10510" max="10752" width="9" style="2917"/>
    <col min="10753" max="10753" width="4.88671875" style="2917" customWidth="1"/>
    <col min="10754" max="10754" width="13.21875" style="2917" customWidth="1"/>
    <col min="10755" max="10755" width="15.6640625" style="2917" customWidth="1"/>
    <col min="10756" max="10756" width="9.33203125" style="2917" bestFit="1" customWidth="1"/>
    <col min="10757" max="10757" width="13.44140625" style="2917" customWidth="1"/>
    <col min="10758" max="10758" width="9" style="2917"/>
    <col min="10759" max="10759" width="9.33203125" style="2917" bestFit="1" customWidth="1"/>
    <col min="10760" max="10761" width="9" style="2917"/>
    <col min="10762" max="10762" width="9.33203125" style="2917" bestFit="1" customWidth="1"/>
    <col min="10763" max="10763" width="4" style="2917" customWidth="1"/>
    <col min="10764" max="10764" width="5.109375" style="2917" customWidth="1"/>
    <col min="10765" max="10765" width="13.77734375" style="2917" customWidth="1"/>
    <col min="10766" max="11008" width="9" style="2917"/>
    <col min="11009" max="11009" width="4.88671875" style="2917" customWidth="1"/>
    <col min="11010" max="11010" width="13.21875" style="2917" customWidth="1"/>
    <col min="11011" max="11011" width="15.6640625" style="2917" customWidth="1"/>
    <col min="11012" max="11012" width="9.33203125" style="2917" bestFit="1" customWidth="1"/>
    <col min="11013" max="11013" width="13.44140625" style="2917" customWidth="1"/>
    <col min="11014" max="11014" width="9" style="2917"/>
    <col min="11015" max="11015" width="9.33203125" style="2917" bestFit="1" customWidth="1"/>
    <col min="11016" max="11017" width="9" style="2917"/>
    <col min="11018" max="11018" width="9.33203125" style="2917" bestFit="1" customWidth="1"/>
    <col min="11019" max="11019" width="4" style="2917" customWidth="1"/>
    <col min="11020" max="11020" width="5.109375" style="2917" customWidth="1"/>
    <col min="11021" max="11021" width="13.77734375" style="2917" customWidth="1"/>
    <col min="11022" max="11264" width="9" style="2917"/>
    <col min="11265" max="11265" width="4.88671875" style="2917" customWidth="1"/>
    <col min="11266" max="11266" width="13.21875" style="2917" customWidth="1"/>
    <col min="11267" max="11267" width="15.6640625" style="2917" customWidth="1"/>
    <col min="11268" max="11268" width="9.33203125" style="2917" bestFit="1" customWidth="1"/>
    <col min="11269" max="11269" width="13.44140625" style="2917" customWidth="1"/>
    <col min="11270" max="11270" width="9" style="2917"/>
    <col min="11271" max="11271" width="9.33203125" style="2917" bestFit="1" customWidth="1"/>
    <col min="11272" max="11273" width="9" style="2917"/>
    <col min="11274" max="11274" width="9.33203125" style="2917" bestFit="1" customWidth="1"/>
    <col min="11275" max="11275" width="4" style="2917" customWidth="1"/>
    <col min="11276" max="11276" width="5.109375" style="2917" customWidth="1"/>
    <col min="11277" max="11277" width="13.77734375" style="2917" customWidth="1"/>
    <col min="11278" max="11520" width="9" style="2917"/>
    <col min="11521" max="11521" width="4.88671875" style="2917" customWidth="1"/>
    <col min="11522" max="11522" width="13.21875" style="2917" customWidth="1"/>
    <col min="11523" max="11523" width="15.6640625" style="2917" customWidth="1"/>
    <col min="11524" max="11524" width="9.33203125" style="2917" bestFit="1" customWidth="1"/>
    <col min="11525" max="11525" width="13.44140625" style="2917" customWidth="1"/>
    <col min="11526" max="11526" width="9" style="2917"/>
    <col min="11527" max="11527" width="9.33203125" style="2917" bestFit="1" customWidth="1"/>
    <col min="11528" max="11529" width="9" style="2917"/>
    <col min="11530" max="11530" width="9.33203125" style="2917" bestFit="1" customWidth="1"/>
    <col min="11531" max="11531" width="4" style="2917" customWidth="1"/>
    <col min="11532" max="11532" width="5.109375" style="2917" customWidth="1"/>
    <col min="11533" max="11533" width="13.77734375" style="2917" customWidth="1"/>
    <col min="11534" max="11776" width="9" style="2917"/>
    <col min="11777" max="11777" width="4.88671875" style="2917" customWidth="1"/>
    <col min="11778" max="11778" width="13.21875" style="2917" customWidth="1"/>
    <col min="11779" max="11779" width="15.6640625" style="2917" customWidth="1"/>
    <col min="11780" max="11780" width="9.33203125" style="2917" bestFit="1" customWidth="1"/>
    <col min="11781" max="11781" width="13.44140625" style="2917" customWidth="1"/>
    <col min="11782" max="11782" width="9" style="2917"/>
    <col min="11783" max="11783" width="9.33203125" style="2917" bestFit="1" customWidth="1"/>
    <col min="11784" max="11785" width="9" style="2917"/>
    <col min="11786" max="11786" width="9.33203125" style="2917" bestFit="1" customWidth="1"/>
    <col min="11787" max="11787" width="4" style="2917" customWidth="1"/>
    <col min="11788" max="11788" width="5.109375" style="2917" customWidth="1"/>
    <col min="11789" max="11789" width="13.77734375" style="2917" customWidth="1"/>
    <col min="11790" max="12032" width="9" style="2917"/>
    <col min="12033" max="12033" width="4.88671875" style="2917" customWidth="1"/>
    <col min="12034" max="12034" width="13.21875" style="2917" customWidth="1"/>
    <col min="12035" max="12035" width="15.6640625" style="2917" customWidth="1"/>
    <col min="12036" max="12036" width="9.33203125" style="2917" bestFit="1" customWidth="1"/>
    <col min="12037" max="12037" width="13.44140625" style="2917" customWidth="1"/>
    <col min="12038" max="12038" width="9" style="2917"/>
    <col min="12039" max="12039" width="9.33203125" style="2917" bestFit="1" customWidth="1"/>
    <col min="12040" max="12041" width="9" style="2917"/>
    <col min="12042" max="12042" width="9.33203125" style="2917" bestFit="1" customWidth="1"/>
    <col min="12043" max="12043" width="4" style="2917" customWidth="1"/>
    <col min="12044" max="12044" width="5.109375" style="2917" customWidth="1"/>
    <col min="12045" max="12045" width="13.77734375" style="2917" customWidth="1"/>
    <col min="12046" max="12288" width="9" style="2917"/>
    <col min="12289" max="12289" width="4.88671875" style="2917" customWidth="1"/>
    <col min="12290" max="12290" width="13.21875" style="2917" customWidth="1"/>
    <col min="12291" max="12291" width="15.6640625" style="2917" customWidth="1"/>
    <col min="12292" max="12292" width="9.33203125" style="2917" bestFit="1" customWidth="1"/>
    <col min="12293" max="12293" width="13.44140625" style="2917" customWidth="1"/>
    <col min="12294" max="12294" width="9" style="2917"/>
    <col min="12295" max="12295" width="9.33203125" style="2917" bestFit="1" customWidth="1"/>
    <col min="12296" max="12297" width="9" style="2917"/>
    <col min="12298" max="12298" width="9.33203125" style="2917" bestFit="1" customWidth="1"/>
    <col min="12299" max="12299" width="4" style="2917" customWidth="1"/>
    <col min="12300" max="12300" width="5.109375" style="2917" customWidth="1"/>
    <col min="12301" max="12301" width="13.77734375" style="2917" customWidth="1"/>
    <col min="12302" max="12544" width="9" style="2917"/>
    <col min="12545" max="12545" width="4.88671875" style="2917" customWidth="1"/>
    <col min="12546" max="12546" width="13.21875" style="2917" customWidth="1"/>
    <col min="12547" max="12547" width="15.6640625" style="2917" customWidth="1"/>
    <col min="12548" max="12548" width="9.33203125" style="2917" bestFit="1" customWidth="1"/>
    <col min="12549" max="12549" width="13.44140625" style="2917" customWidth="1"/>
    <col min="12550" max="12550" width="9" style="2917"/>
    <col min="12551" max="12551" width="9.33203125" style="2917" bestFit="1" customWidth="1"/>
    <col min="12552" max="12553" width="9" style="2917"/>
    <col min="12554" max="12554" width="9.33203125" style="2917" bestFit="1" customWidth="1"/>
    <col min="12555" max="12555" width="4" style="2917" customWidth="1"/>
    <col min="12556" max="12556" width="5.109375" style="2917" customWidth="1"/>
    <col min="12557" max="12557" width="13.77734375" style="2917" customWidth="1"/>
    <col min="12558" max="12800" width="9" style="2917"/>
    <col min="12801" max="12801" width="4.88671875" style="2917" customWidth="1"/>
    <col min="12802" max="12802" width="13.21875" style="2917" customWidth="1"/>
    <col min="12803" max="12803" width="15.6640625" style="2917" customWidth="1"/>
    <col min="12804" max="12804" width="9.33203125" style="2917" bestFit="1" customWidth="1"/>
    <col min="12805" max="12805" width="13.44140625" style="2917" customWidth="1"/>
    <col min="12806" max="12806" width="9" style="2917"/>
    <col min="12807" max="12807" width="9.33203125" style="2917" bestFit="1" customWidth="1"/>
    <col min="12808" max="12809" width="9" style="2917"/>
    <col min="12810" max="12810" width="9.33203125" style="2917" bestFit="1" customWidth="1"/>
    <col min="12811" max="12811" width="4" style="2917" customWidth="1"/>
    <col min="12812" max="12812" width="5.109375" style="2917" customWidth="1"/>
    <col min="12813" max="12813" width="13.77734375" style="2917" customWidth="1"/>
    <col min="12814" max="13056" width="9" style="2917"/>
    <col min="13057" max="13057" width="4.88671875" style="2917" customWidth="1"/>
    <col min="13058" max="13058" width="13.21875" style="2917" customWidth="1"/>
    <col min="13059" max="13059" width="15.6640625" style="2917" customWidth="1"/>
    <col min="13060" max="13060" width="9.33203125" style="2917" bestFit="1" customWidth="1"/>
    <col min="13061" max="13061" width="13.44140625" style="2917" customWidth="1"/>
    <col min="13062" max="13062" width="9" style="2917"/>
    <col min="13063" max="13063" width="9.33203125" style="2917" bestFit="1" customWidth="1"/>
    <col min="13064" max="13065" width="9" style="2917"/>
    <col min="13066" max="13066" width="9.33203125" style="2917" bestFit="1" customWidth="1"/>
    <col min="13067" max="13067" width="4" style="2917" customWidth="1"/>
    <col min="13068" max="13068" width="5.109375" style="2917" customWidth="1"/>
    <col min="13069" max="13069" width="13.77734375" style="2917" customWidth="1"/>
    <col min="13070" max="13312" width="9" style="2917"/>
    <col min="13313" max="13313" width="4.88671875" style="2917" customWidth="1"/>
    <col min="13314" max="13314" width="13.21875" style="2917" customWidth="1"/>
    <col min="13315" max="13315" width="15.6640625" style="2917" customWidth="1"/>
    <col min="13316" max="13316" width="9.33203125" style="2917" bestFit="1" customWidth="1"/>
    <col min="13317" max="13317" width="13.44140625" style="2917" customWidth="1"/>
    <col min="13318" max="13318" width="9" style="2917"/>
    <col min="13319" max="13319" width="9.33203125" style="2917" bestFit="1" customWidth="1"/>
    <col min="13320" max="13321" width="9" style="2917"/>
    <col min="13322" max="13322" width="9.33203125" style="2917" bestFit="1" customWidth="1"/>
    <col min="13323" max="13323" width="4" style="2917" customWidth="1"/>
    <col min="13324" max="13324" width="5.109375" style="2917" customWidth="1"/>
    <col min="13325" max="13325" width="13.77734375" style="2917" customWidth="1"/>
    <col min="13326" max="13568" width="9" style="2917"/>
    <col min="13569" max="13569" width="4.88671875" style="2917" customWidth="1"/>
    <col min="13570" max="13570" width="13.21875" style="2917" customWidth="1"/>
    <col min="13571" max="13571" width="15.6640625" style="2917" customWidth="1"/>
    <col min="13572" max="13572" width="9.33203125" style="2917" bestFit="1" customWidth="1"/>
    <col min="13573" max="13573" width="13.44140625" style="2917" customWidth="1"/>
    <col min="13574" max="13574" width="9" style="2917"/>
    <col min="13575" max="13575" width="9.33203125" style="2917" bestFit="1" customWidth="1"/>
    <col min="13576" max="13577" width="9" style="2917"/>
    <col min="13578" max="13578" width="9.33203125" style="2917" bestFit="1" customWidth="1"/>
    <col min="13579" max="13579" width="4" style="2917" customWidth="1"/>
    <col min="13580" max="13580" width="5.109375" style="2917" customWidth="1"/>
    <col min="13581" max="13581" width="13.77734375" style="2917" customWidth="1"/>
    <col min="13582" max="13824" width="9" style="2917"/>
    <col min="13825" max="13825" width="4.88671875" style="2917" customWidth="1"/>
    <col min="13826" max="13826" width="13.21875" style="2917" customWidth="1"/>
    <col min="13827" max="13827" width="15.6640625" style="2917" customWidth="1"/>
    <col min="13828" max="13828" width="9.33203125" style="2917" bestFit="1" customWidth="1"/>
    <col min="13829" max="13829" width="13.44140625" style="2917" customWidth="1"/>
    <col min="13830" max="13830" width="9" style="2917"/>
    <col min="13831" max="13831" width="9.33203125" style="2917" bestFit="1" customWidth="1"/>
    <col min="13832" max="13833" width="9" style="2917"/>
    <col min="13834" max="13834" width="9.33203125" style="2917" bestFit="1" customWidth="1"/>
    <col min="13835" max="13835" width="4" style="2917" customWidth="1"/>
    <col min="13836" max="13836" width="5.109375" style="2917" customWidth="1"/>
    <col min="13837" max="13837" width="13.77734375" style="2917" customWidth="1"/>
    <col min="13838" max="14080" width="9" style="2917"/>
    <col min="14081" max="14081" width="4.88671875" style="2917" customWidth="1"/>
    <col min="14082" max="14082" width="13.21875" style="2917" customWidth="1"/>
    <col min="14083" max="14083" width="15.6640625" style="2917" customWidth="1"/>
    <col min="14084" max="14084" width="9.33203125" style="2917" bestFit="1" customWidth="1"/>
    <col min="14085" max="14085" width="13.44140625" style="2917" customWidth="1"/>
    <col min="14086" max="14086" width="9" style="2917"/>
    <col min="14087" max="14087" width="9.33203125" style="2917" bestFit="1" customWidth="1"/>
    <col min="14088" max="14089" width="9" style="2917"/>
    <col min="14090" max="14090" width="9.33203125" style="2917" bestFit="1" customWidth="1"/>
    <col min="14091" max="14091" width="4" style="2917" customWidth="1"/>
    <col min="14092" max="14092" width="5.109375" style="2917" customWidth="1"/>
    <col min="14093" max="14093" width="13.77734375" style="2917" customWidth="1"/>
    <col min="14094" max="14336" width="9" style="2917"/>
    <col min="14337" max="14337" width="4.88671875" style="2917" customWidth="1"/>
    <col min="14338" max="14338" width="13.21875" style="2917" customWidth="1"/>
    <col min="14339" max="14339" width="15.6640625" style="2917" customWidth="1"/>
    <col min="14340" max="14340" width="9.33203125" style="2917" bestFit="1" customWidth="1"/>
    <col min="14341" max="14341" width="13.44140625" style="2917" customWidth="1"/>
    <col min="14342" max="14342" width="9" style="2917"/>
    <col min="14343" max="14343" width="9.33203125" style="2917" bestFit="1" customWidth="1"/>
    <col min="14344" max="14345" width="9" style="2917"/>
    <col min="14346" max="14346" width="9.33203125" style="2917" bestFit="1" customWidth="1"/>
    <col min="14347" max="14347" width="4" style="2917" customWidth="1"/>
    <col min="14348" max="14348" width="5.109375" style="2917" customWidth="1"/>
    <col min="14349" max="14349" width="13.77734375" style="2917" customWidth="1"/>
    <col min="14350" max="14592" width="9" style="2917"/>
    <col min="14593" max="14593" width="4.88671875" style="2917" customWidth="1"/>
    <col min="14594" max="14594" width="13.21875" style="2917" customWidth="1"/>
    <col min="14595" max="14595" width="15.6640625" style="2917" customWidth="1"/>
    <col min="14596" max="14596" width="9.33203125" style="2917" bestFit="1" customWidth="1"/>
    <col min="14597" max="14597" width="13.44140625" style="2917" customWidth="1"/>
    <col min="14598" max="14598" width="9" style="2917"/>
    <col min="14599" max="14599" width="9.33203125" style="2917" bestFit="1" customWidth="1"/>
    <col min="14600" max="14601" width="9" style="2917"/>
    <col min="14602" max="14602" width="9.33203125" style="2917" bestFit="1" customWidth="1"/>
    <col min="14603" max="14603" width="4" style="2917" customWidth="1"/>
    <col min="14604" max="14604" width="5.109375" style="2917" customWidth="1"/>
    <col min="14605" max="14605" width="13.77734375" style="2917" customWidth="1"/>
    <col min="14606" max="14848" width="9" style="2917"/>
    <col min="14849" max="14849" width="4.88671875" style="2917" customWidth="1"/>
    <col min="14850" max="14850" width="13.21875" style="2917" customWidth="1"/>
    <col min="14851" max="14851" width="15.6640625" style="2917" customWidth="1"/>
    <col min="14852" max="14852" width="9.33203125" style="2917" bestFit="1" customWidth="1"/>
    <col min="14853" max="14853" width="13.44140625" style="2917" customWidth="1"/>
    <col min="14854" max="14854" width="9" style="2917"/>
    <col min="14855" max="14855" width="9.33203125" style="2917" bestFit="1" customWidth="1"/>
    <col min="14856" max="14857" width="9" style="2917"/>
    <col min="14858" max="14858" width="9.33203125" style="2917" bestFit="1" customWidth="1"/>
    <col min="14859" max="14859" width="4" style="2917" customWidth="1"/>
    <col min="14860" max="14860" width="5.109375" style="2917" customWidth="1"/>
    <col min="14861" max="14861" width="13.77734375" style="2917" customWidth="1"/>
    <col min="14862" max="15104" width="9" style="2917"/>
    <col min="15105" max="15105" width="4.88671875" style="2917" customWidth="1"/>
    <col min="15106" max="15106" width="13.21875" style="2917" customWidth="1"/>
    <col min="15107" max="15107" width="15.6640625" style="2917" customWidth="1"/>
    <col min="15108" max="15108" width="9.33203125" style="2917" bestFit="1" customWidth="1"/>
    <col min="15109" max="15109" width="13.44140625" style="2917" customWidth="1"/>
    <col min="15110" max="15110" width="9" style="2917"/>
    <col min="15111" max="15111" width="9.33203125" style="2917" bestFit="1" customWidth="1"/>
    <col min="15112" max="15113" width="9" style="2917"/>
    <col min="15114" max="15114" width="9.33203125" style="2917" bestFit="1" customWidth="1"/>
    <col min="15115" max="15115" width="4" style="2917" customWidth="1"/>
    <col min="15116" max="15116" width="5.109375" style="2917" customWidth="1"/>
    <col min="15117" max="15117" width="13.77734375" style="2917" customWidth="1"/>
    <col min="15118" max="15360" width="9" style="2917"/>
    <col min="15361" max="15361" width="4.88671875" style="2917" customWidth="1"/>
    <col min="15362" max="15362" width="13.21875" style="2917" customWidth="1"/>
    <col min="15363" max="15363" width="15.6640625" style="2917" customWidth="1"/>
    <col min="15364" max="15364" width="9.33203125" style="2917" bestFit="1" customWidth="1"/>
    <col min="15365" max="15365" width="13.44140625" style="2917" customWidth="1"/>
    <col min="15366" max="15366" width="9" style="2917"/>
    <col min="15367" max="15367" width="9.33203125" style="2917" bestFit="1" customWidth="1"/>
    <col min="15368" max="15369" width="9" style="2917"/>
    <col min="15370" max="15370" width="9.33203125" style="2917" bestFit="1" customWidth="1"/>
    <col min="15371" max="15371" width="4" style="2917" customWidth="1"/>
    <col min="15372" max="15372" width="5.109375" style="2917" customWidth="1"/>
    <col min="15373" max="15373" width="13.77734375" style="2917" customWidth="1"/>
    <col min="15374" max="15616" width="9" style="2917"/>
    <col min="15617" max="15617" width="4.88671875" style="2917" customWidth="1"/>
    <col min="15618" max="15618" width="13.21875" style="2917" customWidth="1"/>
    <col min="15619" max="15619" width="15.6640625" style="2917" customWidth="1"/>
    <col min="15620" max="15620" width="9.33203125" style="2917" bestFit="1" customWidth="1"/>
    <col min="15621" max="15621" width="13.44140625" style="2917" customWidth="1"/>
    <col min="15622" max="15622" width="9" style="2917"/>
    <col min="15623" max="15623" width="9.33203125" style="2917" bestFit="1" customWidth="1"/>
    <col min="15624" max="15625" width="9" style="2917"/>
    <col min="15626" max="15626" width="9.33203125" style="2917" bestFit="1" customWidth="1"/>
    <col min="15627" max="15627" width="4" style="2917" customWidth="1"/>
    <col min="15628" max="15628" width="5.109375" style="2917" customWidth="1"/>
    <col min="15629" max="15629" width="13.77734375" style="2917" customWidth="1"/>
    <col min="15630" max="15872" width="9" style="2917"/>
    <col min="15873" max="15873" width="4.88671875" style="2917" customWidth="1"/>
    <col min="15874" max="15874" width="13.21875" style="2917" customWidth="1"/>
    <col min="15875" max="15875" width="15.6640625" style="2917" customWidth="1"/>
    <col min="15876" max="15876" width="9.33203125" style="2917" bestFit="1" customWidth="1"/>
    <col min="15877" max="15877" width="13.44140625" style="2917" customWidth="1"/>
    <col min="15878" max="15878" width="9" style="2917"/>
    <col min="15879" max="15879" width="9.33203125" style="2917" bestFit="1" customWidth="1"/>
    <col min="15880" max="15881" width="9" style="2917"/>
    <col min="15882" max="15882" width="9.33203125" style="2917" bestFit="1" customWidth="1"/>
    <col min="15883" max="15883" width="4" style="2917" customWidth="1"/>
    <col min="15884" max="15884" width="5.109375" style="2917" customWidth="1"/>
    <col min="15885" max="15885" width="13.77734375" style="2917" customWidth="1"/>
    <col min="15886" max="16128" width="9" style="2917"/>
    <col min="16129" max="16129" width="4.88671875" style="2917" customWidth="1"/>
    <col min="16130" max="16130" width="13.21875" style="2917" customWidth="1"/>
    <col min="16131" max="16131" width="15.6640625" style="2917" customWidth="1"/>
    <col min="16132" max="16132" width="9.33203125" style="2917" bestFit="1" customWidth="1"/>
    <col min="16133" max="16133" width="13.44140625" style="2917" customWidth="1"/>
    <col min="16134" max="16134" width="9" style="2917"/>
    <col min="16135" max="16135" width="9.33203125" style="2917" bestFit="1" customWidth="1"/>
    <col min="16136" max="16137" width="9" style="2917"/>
    <col min="16138" max="16138" width="9.33203125" style="2917" bestFit="1" customWidth="1"/>
    <col min="16139" max="16139" width="4" style="2917" customWidth="1"/>
    <col min="16140" max="16140" width="5.109375" style="2917" customWidth="1"/>
    <col min="16141" max="16141" width="13.77734375" style="2917" customWidth="1"/>
    <col min="16142" max="16384" width="9" style="2917"/>
  </cols>
  <sheetData>
    <row r="1" spans="1:257" s="2977" customFormat="1" ht="1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6"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399999999999999">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2">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31.2">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6.8">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I1" workbookViewId="0">
      <selection activeCell="S6" sqref="S6"/>
    </sheetView>
  </sheetViews>
  <sheetFormatPr defaultRowHeight="14.4"/>
  <cols>
    <col min="1" max="1" width="36" style="2917" customWidth="1"/>
    <col min="2" max="2" width="6.21875" style="2917" customWidth="1"/>
    <col min="3" max="3" width="11.77734375" style="2917" customWidth="1"/>
    <col min="4" max="4" width="4.6640625" style="2917" customWidth="1"/>
    <col min="5" max="5" width="36" style="2917" customWidth="1"/>
    <col min="6" max="6" width="9" style="2917" customWidth="1"/>
    <col min="7" max="7" width="17.109375" style="2917" customWidth="1"/>
    <col min="8" max="9" width="13.88671875" style="2917" customWidth="1"/>
    <col min="10" max="10" width="15.88671875" style="2917" customWidth="1"/>
    <col min="11" max="11" width="9" style="2917" customWidth="1"/>
    <col min="12" max="12" width="21.77734375" style="2917" customWidth="1"/>
    <col min="13" max="13" width="27.77734375" style="2917" customWidth="1"/>
    <col min="14" max="14" width="10.6640625" style="2917" customWidth="1"/>
    <col min="15" max="15" width="16" style="2917" customWidth="1"/>
    <col min="16" max="16" width="14.33203125" style="2917" customWidth="1"/>
    <col min="17" max="17" width="6.21875" style="2917" customWidth="1"/>
    <col min="18" max="19" width="7.88671875" style="2917" customWidth="1"/>
    <col min="20" max="256" width="9" style="2917"/>
    <col min="257" max="257" width="36" style="2917" customWidth="1"/>
    <col min="258" max="258" width="6.21875" style="2917" customWidth="1"/>
    <col min="259" max="259" width="11.77734375" style="2917" customWidth="1"/>
    <col min="260" max="260" width="4.6640625" style="2917" customWidth="1"/>
    <col min="261" max="261" width="36" style="2917" customWidth="1"/>
    <col min="262" max="262" width="9" style="2917" customWidth="1"/>
    <col min="263" max="263" width="17.109375" style="2917" customWidth="1"/>
    <col min="264" max="265" width="13.88671875" style="2917" customWidth="1"/>
    <col min="266" max="266" width="10.44140625" style="2917" customWidth="1"/>
    <col min="267" max="267" width="9" style="2917" customWidth="1"/>
    <col min="268" max="268" width="21.77734375" style="2917" customWidth="1"/>
    <col min="269" max="269" width="27.77734375" style="2917" customWidth="1"/>
    <col min="270" max="270" width="10.6640625" style="2917" customWidth="1"/>
    <col min="271" max="271" width="16" style="2917" customWidth="1"/>
    <col min="272" max="272" width="14.33203125" style="2917" customWidth="1"/>
    <col min="273" max="273" width="6.21875" style="2917" customWidth="1"/>
    <col min="274" max="275" width="7.88671875" style="2917" customWidth="1"/>
    <col min="276" max="512" width="9" style="2917"/>
    <col min="513" max="513" width="36" style="2917" customWidth="1"/>
    <col min="514" max="514" width="6.21875" style="2917" customWidth="1"/>
    <col min="515" max="515" width="11.77734375" style="2917" customWidth="1"/>
    <col min="516" max="516" width="4.6640625" style="2917" customWidth="1"/>
    <col min="517" max="517" width="36" style="2917" customWidth="1"/>
    <col min="518" max="518" width="9" style="2917" customWidth="1"/>
    <col min="519" max="519" width="17.109375" style="2917" customWidth="1"/>
    <col min="520" max="521" width="13.88671875" style="2917" customWidth="1"/>
    <col min="522" max="522" width="10.44140625" style="2917" customWidth="1"/>
    <col min="523" max="523" width="9" style="2917" customWidth="1"/>
    <col min="524" max="524" width="21.77734375" style="2917" customWidth="1"/>
    <col min="525" max="525" width="27.77734375" style="2917" customWidth="1"/>
    <col min="526" max="526" width="10.6640625" style="2917" customWidth="1"/>
    <col min="527" max="527" width="16" style="2917" customWidth="1"/>
    <col min="528" max="528" width="14.33203125" style="2917" customWidth="1"/>
    <col min="529" max="529" width="6.21875" style="2917" customWidth="1"/>
    <col min="530" max="531" width="7.88671875" style="2917" customWidth="1"/>
    <col min="532" max="768" width="9" style="2917"/>
    <col min="769" max="769" width="36" style="2917" customWidth="1"/>
    <col min="770" max="770" width="6.21875" style="2917" customWidth="1"/>
    <col min="771" max="771" width="11.77734375" style="2917" customWidth="1"/>
    <col min="772" max="772" width="4.6640625" style="2917" customWidth="1"/>
    <col min="773" max="773" width="36" style="2917" customWidth="1"/>
    <col min="774" max="774" width="9" style="2917" customWidth="1"/>
    <col min="775" max="775" width="17.109375" style="2917" customWidth="1"/>
    <col min="776" max="777" width="13.88671875" style="2917" customWidth="1"/>
    <col min="778" max="778" width="10.44140625" style="2917" customWidth="1"/>
    <col min="779" max="779" width="9" style="2917" customWidth="1"/>
    <col min="780" max="780" width="21.77734375" style="2917" customWidth="1"/>
    <col min="781" max="781" width="27.77734375" style="2917" customWidth="1"/>
    <col min="782" max="782" width="10.6640625" style="2917" customWidth="1"/>
    <col min="783" max="783" width="16" style="2917" customWidth="1"/>
    <col min="784" max="784" width="14.33203125" style="2917" customWidth="1"/>
    <col min="785" max="785" width="6.21875" style="2917" customWidth="1"/>
    <col min="786" max="787" width="7.88671875" style="2917" customWidth="1"/>
    <col min="788" max="1024" width="9" style="2917"/>
    <col min="1025" max="1025" width="36" style="2917" customWidth="1"/>
    <col min="1026" max="1026" width="6.21875" style="2917" customWidth="1"/>
    <col min="1027" max="1027" width="11.77734375" style="2917" customWidth="1"/>
    <col min="1028" max="1028" width="4.6640625" style="2917" customWidth="1"/>
    <col min="1029" max="1029" width="36" style="2917" customWidth="1"/>
    <col min="1030" max="1030" width="9" style="2917" customWidth="1"/>
    <col min="1031" max="1031" width="17.109375" style="2917" customWidth="1"/>
    <col min="1032" max="1033" width="13.88671875" style="2917" customWidth="1"/>
    <col min="1034" max="1034" width="10.44140625" style="2917" customWidth="1"/>
    <col min="1035" max="1035" width="9" style="2917" customWidth="1"/>
    <col min="1036" max="1036" width="21.77734375" style="2917" customWidth="1"/>
    <col min="1037" max="1037" width="27.77734375" style="2917" customWidth="1"/>
    <col min="1038" max="1038" width="10.6640625" style="2917" customWidth="1"/>
    <col min="1039" max="1039" width="16" style="2917" customWidth="1"/>
    <col min="1040" max="1040" width="14.33203125" style="2917" customWidth="1"/>
    <col min="1041" max="1041" width="6.21875" style="2917" customWidth="1"/>
    <col min="1042" max="1043" width="7.88671875" style="2917" customWidth="1"/>
    <col min="1044" max="1280" width="9" style="2917"/>
    <col min="1281" max="1281" width="36" style="2917" customWidth="1"/>
    <col min="1282" max="1282" width="6.21875" style="2917" customWidth="1"/>
    <col min="1283" max="1283" width="11.77734375" style="2917" customWidth="1"/>
    <col min="1284" max="1284" width="4.6640625" style="2917" customWidth="1"/>
    <col min="1285" max="1285" width="36" style="2917" customWidth="1"/>
    <col min="1286" max="1286" width="9" style="2917" customWidth="1"/>
    <col min="1287" max="1287" width="17.109375" style="2917" customWidth="1"/>
    <col min="1288" max="1289" width="13.88671875" style="2917" customWidth="1"/>
    <col min="1290" max="1290" width="10.44140625" style="2917" customWidth="1"/>
    <col min="1291" max="1291" width="9" style="2917" customWidth="1"/>
    <col min="1292" max="1292" width="21.77734375" style="2917" customWidth="1"/>
    <col min="1293" max="1293" width="27.77734375" style="2917" customWidth="1"/>
    <col min="1294" max="1294" width="10.6640625" style="2917" customWidth="1"/>
    <col min="1295" max="1295" width="16" style="2917" customWidth="1"/>
    <col min="1296" max="1296" width="14.33203125" style="2917" customWidth="1"/>
    <col min="1297" max="1297" width="6.21875" style="2917" customWidth="1"/>
    <col min="1298" max="1299" width="7.88671875" style="2917" customWidth="1"/>
    <col min="1300" max="1536" width="9" style="2917"/>
    <col min="1537" max="1537" width="36" style="2917" customWidth="1"/>
    <col min="1538" max="1538" width="6.21875" style="2917" customWidth="1"/>
    <col min="1539" max="1539" width="11.77734375" style="2917" customWidth="1"/>
    <col min="1540" max="1540" width="4.6640625" style="2917" customWidth="1"/>
    <col min="1541" max="1541" width="36" style="2917" customWidth="1"/>
    <col min="1542" max="1542" width="9" style="2917" customWidth="1"/>
    <col min="1543" max="1543" width="17.109375" style="2917" customWidth="1"/>
    <col min="1544" max="1545" width="13.88671875" style="2917" customWidth="1"/>
    <col min="1546" max="1546" width="10.44140625" style="2917" customWidth="1"/>
    <col min="1547" max="1547" width="9" style="2917" customWidth="1"/>
    <col min="1548" max="1548" width="21.77734375" style="2917" customWidth="1"/>
    <col min="1549" max="1549" width="27.77734375" style="2917" customWidth="1"/>
    <col min="1550" max="1550" width="10.6640625" style="2917" customWidth="1"/>
    <col min="1551" max="1551" width="16" style="2917" customWidth="1"/>
    <col min="1552" max="1552" width="14.33203125" style="2917" customWidth="1"/>
    <col min="1553" max="1553" width="6.21875" style="2917" customWidth="1"/>
    <col min="1554" max="1555" width="7.88671875" style="2917" customWidth="1"/>
    <col min="1556" max="1792" width="9" style="2917"/>
    <col min="1793" max="1793" width="36" style="2917" customWidth="1"/>
    <col min="1794" max="1794" width="6.21875" style="2917" customWidth="1"/>
    <col min="1795" max="1795" width="11.77734375" style="2917" customWidth="1"/>
    <col min="1796" max="1796" width="4.6640625" style="2917" customWidth="1"/>
    <col min="1797" max="1797" width="36" style="2917" customWidth="1"/>
    <col min="1798" max="1798" width="9" style="2917" customWidth="1"/>
    <col min="1799" max="1799" width="17.109375" style="2917" customWidth="1"/>
    <col min="1800" max="1801" width="13.88671875" style="2917" customWidth="1"/>
    <col min="1802" max="1802" width="10.44140625" style="2917" customWidth="1"/>
    <col min="1803" max="1803" width="9" style="2917" customWidth="1"/>
    <col min="1804" max="1804" width="21.77734375" style="2917" customWidth="1"/>
    <col min="1805" max="1805" width="27.77734375" style="2917" customWidth="1"/>
    <col min="1806" max="1806" width="10.6640625" style="2917" customWidth="1"/>
    <col min="1807" max="1807" width="16" style="2917" customWidth="1"/>
    <col min="1808" max="1808" width="14.33203125" style="2917" customWidth="1"/>
    <col min="1809" max="1809" width="6.21875" style="2917" customWidth="1"/>
    <col min="1810" max="1811" width="7.88671875" style="2917" customWidth="1"/>
    <col min="1812" max="2048" width="9" style="2917"/>
    <col min="2049" max="2049" width="36" style="2917" customWidth="1"/>
    <col min="2050" max="2050" width="6.21875" style="2917" customWidth="1"/>
    <col min="2051" max="2051" width="11.77734375" style="2917" customWidth="1"/>
    <col min="2052" max="2052" width="4.6640625" style="2917" customWidth="1"/>
    <col min="2053" max="2053" width="36" style="2917" customWidth="1"/>
    <col min="2054" max="2054" width="9" style="2917" customWidth="1"/>
    <col min="2055" max="2055" width="17.109375" style="2917" customWidth="1"/>
    <col min="2056" max="2057" width="13.88671875" style="2917" customWidth="1"/>
    <col min="2058" max="2058" width="10.44140625" style="2917" customWidth="1"/>
    <col min="2059" max="2059" width="9" style="2917" customWidth="1"/>
    <col min="2060" max="2060" width="21.77734375" style="2917" customWidth="1"/>
    <col min="2061" max="2061" width="27.77734375" style="2917" customWidth="1"/>
    <col min="2062" max="2062" width="10.6640625" style="2917" customWidth="1"/>
    <col min="2063" max="2063" width="16" style="2917" customWidth="1"/>
    <col min="2064" max="2064" width="14.33203125" style="2917" customWidth="1"/>
    <col min="2065" max="2065" width="6.21875" style="2917" customWidth="1"/>
    <col min="2066" max="2067" width="7.88671875" style="2917" customWidth="1"/>
    <col min="2068" max="2304" width="9" style="2917"/>
    <col min="2305" max="2305" width="36" style="2917" customWidth="1"/>
    <col min="2306" max="2306" width="6.21875" style="2917" customWidth="1"/>
    <col min="2307" max="2307" width="11.77734375" style="2917" customWidth="1"/>
    <col min="2308" max="2308" width="4.6640625" style="2917" customWidth="1"/>
    <col min="2309" max="2309" width="36" style="2917" customWidth="1"/>
    <col min="2310" max="2310" width="9" style="2917" customWidth="1"/>
    <col min="2311" max="2311" width="17.109375" style="2917" customWidth="1"/>
    <col min="2312" max="2313" width="13.88671875" style="2917" customWidth="1"/>
    <col min="2314" max="2314" width="10.44140625" style="2917" customWidth="1"/>
    <col min="2315" max="2315" width="9" style="2917" customWidth="1"/>
    <col min="2316" max="2316" width="21.77734375" style="2917" customWidth="1"/>
    <col min="2317" max="2317" width="27.77734375" style="2917" customWidth="1"/>
    <col min="2318" max="2318" width="10.6640625" style="2917" customWidth="1"/>
    <col min="2319" max="2319" width="16" style="2917" customWidth="1"/>
    <col min="2320" max="2320" width="14.33203125" style="2917" customWidth="1"/>
    <col min="2321" max="2321" width="6.21875" style="2917" customWidth="1"/>
    <col min="2322" max="2323" width="7.88671875" style="2917" customWidth="1"/>
    <col min="2324" max="2560" width="9" style="2917"/>
    <col min="2561" max="2561" width="36" style="2917" customWidth="1"/>
    <col min="2562" max="2562" width="6.21875" style="2917" customWidth="1"/>
    <col min="2563" max="2563" width="11.77734375" style="2917" customWidth="1"/>
    <col min="2564" max="2564" width="4.6640625" style="2917" customWidth="1"/>
    <col min="2565" max="2565" width="36" style="2917" customWidth="1"/>
    <col min="2566" max="2566" width="9" style="2917" customWidth="1"/>
    <col min="2567" max="2567" width="17.109375" style="2917" customWidth="1"/>
    <col min="2568" max="2569" width="13.88671875" style="2917" customWidth="1"/>
    <col min="2570" max="2570" width="10.44140625" style="2917" customWidth="1"/>
    <col min="2571" max="2571" width="9" style="2917" customWidth="1"/>
    <col min="2572" max="2572" width="21.77734375" style="2917" customWidth="1"/>
    <col min="2573" max="2573" width="27.77734375" style="2917" customWidth="1"/>
    <col min="2574" max="2574" width="10.6640625" style="2917" customWidth="1"/>
    <col min="2575" max="2575" width="16" style="2917" customWidth="1"/>
    <col min="2576" max="2576" width="14.33203125" style="2917" customWidth="1"/>
    <col min="2577" max="2577" width="6.21875" style="2917" customWidth="1"/>
    <col min="2578" max="2579" width="7.88671875" style="2917" customWidth="1"/>
    <col min="2580" max="2816" width="9" style="2917"/>
    <col min="2817" max="2817" width="36" style="2917" customWidth="1"/>
    <col min="2818" max="2818" width="6.21875" style="2917" customWidth="1"/>
    <col min="2819" max="2819" width="11.77734375" style="2917" customWidth="1"/>
    <col min="2820" max="2820" width="4.6640625" style="2917" customWidth="1"/>
    <col min="2821" max="2821" width="36" style="2917" customWidth="1"/>
    <col min="2822" max="2822" width="9" style="2917" customWidth="1"/>
    <col min="2823" max="2823" width="17.109375" style="2917" customWidth="1"/>
    <col min="2824" max="2825" width="13.88671875" style="2917" customWidth="1"/>
    <col min="2826" max="2826" width="10.44140625" style="2917" customWidth="1"/>
    <col min="2827" max="2827" width="9" style="2917" customWidth="1"/>
    <col min="2828" max="2828" width="21.77734375" style="2917" customWidth="1"/>
    <col min="2829" max="2829" width="27.77734375" style="2917" customWidth="1"/>
    <col min="2830" max="2830" width="10.6640625" style="2917" customWidth="1"/>
    <col min="2831" max="2831" width="16" style="2917" customWidth="1"/>
    <col min="2832" max="2832" width="14.33203125" style="2917" customWidth="1"/>
    <col min="2833" max="2833" width="6.21875" style="2917" customWidth="1"/>
    <col min="2834" max="2835" width="7.88671875" style="2917" customWidth="1"/>
    <col min="2836" max="3072" width="9" style="2917"/>
    <col min="3073" max="3073" width="36" style="2917" customWidth="1"/>
    <col min="3074" max="3074" width="6.21875" style="2917" customWidth="1"/>
    <col min="3075" max="3075" width="11.77734375" style="2917" customWidth="1"/>
    <col min="3076" max="3076" width="4.6640625" style="2917" customWidth="1"/>
    <col min="3077" max="3077" width="36" style="2917" customWidth="1"/>
    <col min="3078" max="3078" width="9" style="2917" customWidth="1"/>
    <col min="3079" max="3079" width="17.109375" style="2917" customWidth="1"/>
    <col min="3080" max="3081" width="13.88671875" style="2917" customWidth="1"/>
    <col min="3082" max="3082" width="10.44140625" style="2917" customWidth="1"/>
    <col min="3083" max="3083" width="9" style="2917" customWidth="1"/>
    <col min="3084" max="3084" width="21.77734375" style="2917" customWidth="1"/>
    <col min="3085" max="3085" width="27.77734375" style="2917" customWidth="1"/>
    <col min="3086" max="3086" width="10.6640625" style="2917" customWidth="1"/>
    <col min="3087" max="3087" width="16" style="2917" customWidth="1"/>
    <col min="3088" max="3088" width="14.33203125" style="2917" customWidth="1"/>
    <col min="3089" max="3089" width="6.21875" style="2917" customWidth="1"/>
    <col min="3090" max="3091" width="7.88671875" style="2917" customWidth="1"/>
    <col min="3092" max="3328" width="9" style="2917"/>
    <col min="3329" max="3329" width="36" style="2917" customWidth="1"/>
    <col min="3330" max="3330" width="6.21875" style="2917" customWidth="1"/>
    <col min="3331" max="3331" width="11.77734375" style="2917" customWidth="1"/>
    <col min="3332" max="3332" width="4.6640625" style="2917" customWidth="1"/>
    <col min="3333" max="3333" width="36" style="2917" customWidth="1"/>
    <col min="3334" max="3334" width="9" style="2917" customWidth="1"/>
    <col min="3335" max="3335" width="17.109375" style="2917" customWidth="1"/>
    <col min="3336" max="3337" width="13.88671875" style="2917" customWidth="1"/>
    <col min="3338" max="3338" width="10.44140625" style="2917" customWidth="1"/>
    <col min="3339" max="3339" width="9" style="2917" customWidth="1"/>
    <col min="3340" max="3340" width="21.77734375" style="2917" customWidth="1"/>
    <col min="3341" max="3341" width="27.77734375" style="2917" customWidth="1"/>
    <col min="3342" max="3342" width="10.6640625" style="2917" customWidth="1"/>
    <col min="3343" max="3343" width="16" style="2917" customWidth="1"/>
    <col min="3344" max="3344" width="14.33203125" style="2917" customWidth="1"/>
    <col min="3345" max="3345" width="6.21875" style="2917" customWidth="1"/>
    <col min="3346" max="3347" width="7.88671875" style="2917" customWidth="1"/>
    <col min="3348" max="3584" width="9" style="2917"/>
    <col min="3585" max="3585" width="36" style="2917" customWidth="1"/>
    <col min="3586" max="3586" width="6.21875" style="2917" customWidth="1"/>
    <col min="3587" max="3587" width="11.77734375" style="2917" customWidth="1"/>
    <col min="3588" max="3588" width="4.6640625" style="2917" customWidth="1"/>
    <col min="3589" max="3589" width="36" style="2917" customWidth="1"/>
    <col min="3590" max="3590" width="9" style="2917" customWidth="1"/>
    <col min="3591" max="3591" width="17.109375" style="2917" customWidth="1"/>
    <col min="3592" max="3593" width="13.88671875" style="2917" customWidth="1"/>
    <col min="3594" max="3594" width="10.44140625" style="2917" customWidth="1"/>
    <col min="3595" max="3595" width="9" style="2917" customWidth="1"/>
    <col min="3596" max="3596" width="21.77734375" style="2917" customWidth="1"/>
    <col min="3597" max="3597" width="27.77734375" style="2917" customWidth="1"/>
    <col min="3598" max="3598" width="10.6640625" style="2917" customWidth="1"/>
    <col min="3599" max="3599" width="16" style="2917" customWidth="1"/>
    <col min="3600" max="3600" width="14.33203125" style="2917" customWidth="1"/>
    <col min="3601" max="3601" width="6.21875" style="2917" customWidth="1"/>
    <col min="3602" max="3603" width="7.88671875" style="2917" customWidth="1"/>
    <col min="3604" max="3840" width="9" style="2917"/>
    <col min="3841" max="3841" width="36" style="2917" customWidth="1"/>
    <col min="3842" max="3842" width="6.21875" style="2917" customWidth="1"/>
    <col min="3843" max="3843" width="11.77734375" style="2917" customWidth="1"/>
    <col min="3844" max="3844" width="4.6640625" style="2917" customWidth="1"/>
    <col min="3845" max="3845" width="36" style="2917" customWidth="1"/>
    <col min="3846" max="3846" width="9" style="2917" customWidth="1"/>
    <col min="3847" max="3847" width="17.109375" style="2917" customWidth="1"/>
    <col min="3848" max="3849" width="13.88671875" style="2917" customWidth="1"/>
    <col min="3850" max="3850" width="10.44140625" style="2917" customWidth="1"/>
    <col min="3851" max="3851" width="9" style="2917" customWidth="1"/>
    <col min="3852" max="3852" width="21.77734375" style="2917" customWidth="1"/>
    <col min="3853" max="3853" width="27.77734375" style="2917" customWidth="1"/>
    <col min="3854" max="3854" width="10.6640625" style="2917" customWidth="1"/>
    <col min="3855" max="3855" width="16" style="2917" customWidth="1"/>
    <col min="3856" max="3856" width="14.33203125" style="2917" customWidth="1"/>
    <col min="3857" max="3857" width="6.21875" style="2917" customWidth="1"/>
    <col min="3858" max="3859" width="7.88671875" style="2917" customWidth="1"/>
    <col min="3860" max="4096" width="9" style="2917"/>
    <col min="4097" max="4097" width="36" style="2917" customWidth="1"/>
    <col min="4098" max="4098" width="6.21875" style="2917" customWidth="1"/>
    <col min="4099" max="4099" width="11.77734375" style="2917" customWidth="1"/>
    <col min="4100" max="4100" width="4.6640625" style="2917" customWidth="1"/>
    <col min="4101" max="4101" width="36" style="2917" customWidth="1"/>
    <col min="4102" max="4102" width="9" style="2917" customWidth="1"/>
    <col min="4103" max="4103" width="17.109375" style="2917" customWidth="1"/>
    <col min="4104" max="4105" width="13.88671875" style="2917" customWidth="1"/>
    <col min="4106" max="4106" width="10.44140625" style="2917" customWidth="1"/>
    <col min="4107" max="4107" width="9" style="2917" customWidth="1"/>
    <col min="4108" max="4108" width="21.77734375" style="2917" customWidth="1"/>
    <col min="4109" max="4109" width="27.77734375" style="2917" customWidth="1"/>
    <col min="4110" max="4110" width="10.6640625" style="2917" customWidth="1"/>
    <col min="4111" max="4111" width="16" style="2917" customWidth="1"/>
    <col min="4112" max="4112" width="14.33203125" style="2917" customWidth="1"/>
    <col min="4113" max="4113" width="6.21875" style="2917" customWidth="1"/>
    <col min="4114" max="4115" width="7.88671875" style="2917" customWidth="1"/>
    <col min="4116" max="4352" width="9" style="2917"/>
    <col min="4353" max="4353" width="36" style="2917" customWidth="1"/>
    <col min="4354" max="4354" width="6.21875" style="2917" customWidth="1"/>
    <col min="4355" max="4355" width="11.77734375" style="2917" customWidth="1"/>
    <col min="4356" max="4356" width="4.6640625" style="2917" customWidth="1"/>
    <col min="4357" max="4357" width="36" style="2917" customWidth="1"/>
    <col min="4358" max="4358" width="9" style="2917" customWidth="1"/>
    <col min="4359" max="4359" width="17.109375" style="2917" customWidth="1"/>
    <col min="4360" max="4361" width="13.88671875" style="2917" customWidth="1"/>
    <col min="4362" max="4362" width="10.44140625" style="2917" customWidth="1"/>
    <col min="4363" max="4363" width="9" style="2917" customWidth="1"/>
    <col min="4364" max="4364" width="21.77734375" style="2917" customWidth="1"/>
    <col min="4365" max="4365" width="27.77734375" style="2917" customWidth="1"/>
    <col min="4366" max="4366" width="10.6640625" style="2917" customWidth="1"/>
    <col min="4367" max="4367" width="16" style="2917" customWidth="1"/>
    <col min="4368" max="4368" width="14.33203125" style="2917" customWidth="1"/>
    <col min="4369" max="4369" width="6.21875" style="2917" customWidth="1"/>
    <col min="4370" max="4371" width="7.88671875" style="2917" customWidth="1"/>
    <col min="4372" max="4608" width="9" style="2917"/>
    <col min="4609" max="4609" width="36" style="2917" customWidth="1"/>
    <col min="4610" max="4610" width="6.21875" style="2917" customWidth="1"/>
    <col min="4611" max="4611" width="11.77734375" style="2917" customWidth="1"/>
    <col min="4612" max="4612" width="4.6640625" style="2917" customWidth="1"/>
    <col min="4613" max="4613" width="36" style="2917" customWidth="1"/>
    <col min="4614" max="4614" width="9" style="2917" customWidth="1"/>
    <col min="4615" max="4615" width="17.109375" style="2917" customWidth="1"/>
    <col min="4616" max="4617" width="13.88671875" style="2917" customWidth="1"/>
    <col min="4618" max="4618" width="10.44140625" style="2917" customWidth="1"/>
    <col min="4619" max="4619" width="9" style="2917" customWidth="1"/>
    <col min="4620" max="4620" width="21.77734375" style="2917" customWidth="1"/>
    <col min="4621" max="4621" width="27.77734375" style="2917" customWidth="1"/>
    <col min="4622" max="4622" width="10.6640625" style="2917" customWidth="1"/>
    <col min="4623" max="4623" width="16" style="2917" customWidth="1"/>
    <col min="4624" max="4624" width="14.33203125" style="2917" customWidth="1"/>
    <col min="4625" max="4625" width="6.21875" style="2917" customWidth="1"/>
    <col min="4626" max="4627" width="7.88671875" style="2917" customWidth="1"/>
    <col min="4628" max="4864" width="9" style="2917"/>
    <col min="4865" max="4865" width="36" style="2917" customWidth="1"/>
    <col min="4866" max="4866" width="6.21875" style="2917" customWidth="1"/>
    <col min="4867" max="4867" width="11.77734375" style="2917" customWidth="1"/>
    <col min="4868" max="4868" width="4.6640625" style="2917" customWidth="1"/>
    <col min="4869" max="4869" width="36" style="2917" customWidth="1"/>
    <col min="4870" max="4870" width="9" style="2917" customWidth="1"/>
    <col min="4871" max="4871" width="17.109375" style="2917" customWidth="1"/>
    <col min="4872" max="4873" width="13.88671875" style="2917" customWidth="1"/>
    <col min="4874" max="4874" width="10.44140625" style="2917" customWidth="1"/>
    <col min="4875" max="4875" width="9" style="2917" customWidth="1"/>
    <col min="4876" max="4876" width="21.77734375" style="2917" customWidth="1"/>
    <col min="4877" max="4877" width="27.77734375" style="2917" customWidth="1"/>
    <col min="4878" max="4878" width="10.6640625" style="2917" customWidth="1"/>
    <col min="4879" max="4879" width="16" style="2917" customWidth="1"/>
    <col min="4880" max="4880" width="14.33203125" style="2917" customWidth="1"/>
    <col min="4881" max="4881" width="6.21875" style="2917" customWidth="1"/>
    <col min="4882" max="4883" width="7.88671875" style="2917" customWidth="1"/>
    <col min="4884" max="5120" width="9" style="2917"/>
    <col min="5121" max="5121" width="36" style="2917" customWidth="1"/>
    <col min="5122" max="5122" width="6.21875" style="2917" customWidth="1"/>
    <col min="5123" max="5123" width="11.77734375" style="2917" customWidth="1"/>
    <col min="5124" max="5124" width="4.6640625" style="2917" customWidth="1"/>
    <col min="5125" max="5125" width="36" style="2917" customWidth="1"/>
    <col min="5126" max="5126" width="9" style="2917" customWidth="1"/>
    <col min="5127" max="5127" width="17.109375" style="2917" customWidth="1"/>
    <col min="5128" max="5129" width="13.88671875" style="2917" customWidth="1"/>
    <col min="5130" max="5130" width="10.44140625" style="2917" customWidth="1"/>
    <col min="5131" max="5131" width="9" style="2917" customWidth="1"/>
    <col min="5132" max="5132" width="21.77734375" style="2917" customWidth="1"/>
    <col min="5133" max="5133" width="27.77734375" style="2917" customWidth="1"/>
    <col min="5134" max="5134" width="10.6640625" style="2917" customWidth="1"/>
    <col min="5135" max="5135" width="16" style="2917" customWidth="1"/>
    <col min="5136" max="5136" width="14.33203125" style="2917" customWidth="1"/>
    <col min="5137" max="5137" width="6.21875" style="2917" customWidth="1"/>
    <col min="5138" max="5139" width="7.88671875" style="2917" customWidth="1"/>
    <col min="5140" max="5376" width="9" style="2917"/>
    <col min="5377" max="5377" width="36" style="2917" customWidth="1"/>
    <col min="5378" max="5378" width="6.21875" style="2917" customWidth="1"/>
    <col min="5379" max="5379" width="11.77734375" style="2917" customWidth="1"/>
    <col min="5380" max="5380" width="4.6640625" style="2917" customWidth="1"/>
    <col min="5381" max="5381" width="36" style="2917" customWidth="1"/>
    <col min="5382" max="5382" width="9" style="2917" customWidth="1"/>
    <col min="5383" max="5383" width="17.109375" style="2917" customWidth="1"/>
    <col min="5384" max="5385" width="13.88671875" style="2917" customWidth="1"/>
    <col min="5386" max="5386" width="10.44140625" style="2917" customWidth="1"/>
    <col min="5387" max="5387" width="9" style="2917" customWidth="1"/>
    <col min="5388" max="5388" width="21.77734375" style="2917" customWidth="1"/>
    <col min="5389" max="5389" width="27.77734375" style="2917" customWidth="1"/>
    <col min="5390" max="5390" width="10.6640625" style="2917" customWidth="1"/>
    <col min="5391" max="5391" width="16" style="2917" customWidth="1"/>
    <col min="5392" max="5392" width="14.33203125" style="2917" customWidth="1"/>
    <col min="5393" max="5393" width="6.21875" style="2917" customWidth="1"/>
    <col min="5394" max="5395" width="7.88671875" style="2917" customWidth="1"/>
    <col min="5396" max="5632" width="9" style="2917"/>
    <col min="5633" max="5633" width="36" style="2917" customWidth="1"/>
    <col min="5634" max="5634" width="6.21875" style="2917" customWidth="1"/>
    <col min="5635" max="5635" width="11.77734375" style="2917" customWidth="1"/>
    <col min="5636" max="5636" width="4.6640625" style="2917" customWidth="1"/>
    <col min="5637" max="5637" width="36" style="2917" customWidth="1"/>
    <col min="5638" max="5638" width="9" style="2917" customWidth="1"/>
    <col min="5639" max="5639" width="17.109375" style="2917" customWidth="1"/>
    <col min="5640" max="5641" width="13.88671875" style="2917" customWidth="1"/>
    <col min="5642" max="5642" width="10.44140625" style="2917" customWidth="1"/>
    <col min="5643" max="5643" width="9" style="2917" customWidth="1"/>
    <col min="5644" max="5644" width="21.77734375" style="2917" customWidth="1"/>
    <col min="5645" max="5645" width="27.77734375" style="2917" customWidth="1"/>
    <col min="5646" max="5646" width="10.6640625" style="2917" customWidth="1"/>
    <col min="5647" max="5647" width="16" style="2917" customWidth="1"/>
    <col min="5648" max="5648" width="14.33203125" style="2917" customWidth="1"/>
    <col min="5649" max="5649" width="6.21875" style="2917" customWidth="1"/>
    <col min="5650" max="5651" width="7.88671875" style="2917" customWidth="1"/>
    <col min="5652" max="5888" width="9" style="2917"/>
    <col min="5889" max="5889" width="36" style="2917" customWidth="1"/>
    <col min="5890" max="5890" width="6.21875" style="2917" customWidth="1"/>
    <col min="5891" max="5891" width="11.77734375" style="2917" customWidth="1"/>
    <col min="5892" max="5892" width="4.6640625" style="2917" customWidth="1"/>
    <col min="5893" max="5893" width="36" style="2917" customWidth="1"/>
    <col min="5894" max="5894" width="9" style="2917" customWidth="1"/>
    <col min="5895" max="5895" width="17.109375" style="2917" customWidth="1"/>
    <col min="5896" max="5897" width="13.88671875" style="2917" customWidth="1"/>
    <col min="5898" max="5898" width="10.44140625" style="2917" customWidth="1"/>
    <col min="5899" max="5899" width="9" style="2917" customWidth="1"/>
    <col min="5900" max="5900" width="21.77734375" style="2917" customWidth="1"/>
    <col min="5901" max="5901" width="27.77734375" style="2917" customWidth="1"/>
    <col min="5902" max="5902" width="10.6640625" style="2917" customWidth="1"/>
    <col min="5903" max="5903" width="16" style="2917" customWidth="1"/>
    <col min="5904" max="5904" width="14.33203125" style="2917" customWidth="1"/>
    <col min="5905" max="5905" width="6.21875" style="2917" customWidth="1"/>
    <col min="5906" max="5907" width="7.88671875" style="2917" customWidth="1"/>
    <col min="5908" max="6144" width="9" style="2917"/>
    <col min="6145" max="6145" width="36" style="2917" customWidth="1"/>
    <col min="6146" max="6146" width="6.21875" style="2917" customWidth="1"/>
    <col min="6147" max="6147" width="11.77734375" style="2917" customWidth="1"/>
    <col min="6148" max="6148" width="4.6640625" style="2917" customWidth="1"/>
    <col min="6149" max="6149" width="36" style="2917" customWidth="1"/>
    <col min="6150" max="6150" width="9" style="2917" customWidth="1"/>
    <col min="6151" max="6151" width="17.109375" style="2917" customWidth="1"/>
    <col min="6152" max="6153" width="13.88671875" style="2917" customWidth="1"/>
    <col min="6154" max="6154" width="10.44140625" style="2917" customWidth="1"/>
    <col min="6155" max="6155" width="9" style="2917" customWidth="1"/>
    <col min="6156" max="6156" width="21.77734375" style="2917" customWidth="1"/>
    <col min="6157" max="6157" width="27.77734375" style="2917" customWidth="1"/>
    <col min="6158" max="6158" width="10.6640625" style="2917" customWidth="1"/>
    <col min="6159" max="6159" width="16" style="2917" customWidth="1"/>
    <col min="6160" max="6160" width="14.33203125" style="2917" customWidth="1"/>
    <col min="6161" max="6161" width="6.21875" style="2917" customWidth="1"/>
    <col min="6162" max="6163" width="7.88671875" style="2917" customWidth="1"/>
    <col min="6164" max="6400" width="9" style="2917"/>
    <col min="6401" max="6401" width="36" style="2917" customWidth="1"/>
    <col min="6402" max="6402" width="6.21875" style="2917" customWidth="1"/>
    <col min="6403" max="6403" width="11.77734375" style="2917" customWidth="1"/>
    <col min="6404" max="6404" width="4.6640625" style="2917" customWidth="1"/>
    <col min="6405" max="6405" width="36" style="2917" customWidth="1"/>
    <col min="6406" max="6406" width="9" style="2917" customWidth="1"/>
    <col min="6407" max="6407" width="17.109375" style="2917" customWidth="1"/>
    <col min="6408" max="6409" width="13.88671875" style="2917" customWidth="1"/>
    <col min="6410" max="6410" width="10.44140625" style="2917" customWidth="1"/>
    <col min="6411" max="6411" width="9" style="2917" customWidth="1"/>
    <col min="6412" max="6412" width="21.77734375" style="2917" customWidth="1"/>
    <col min="6413" max="6413" width="27.77734375" style="2917" customWidth="1"/>
    <col min="6414" max="6414" width="10.6640625" style="2917" customWidth="1"/>
    <col min="6415" max="6415" width="16" style="2917" customWidth="1"/>
    <col min="6416" max="6416" width="14.33203125" style="2917" customWidth="1"/>
    <col min="6417" max="6417" width="6.21875" style="2917" customWidth="1"/>
    <col min="6418" max="6419" width="7.88671875" style="2917" customWidth="1"/>
    <col min="6420" max="6656" width="9" style="2917"/>
    <col min="6657" max="6657" width="36" style="2917" customWidth="1"/>
    <col min="6658" max="6658" width="6.21875" style="2917" customWidth="1"/>
    <col min="6659" max="6659" width="11.77734375" style="2917" customWidth="1"/>
    <col min="6660" max="6660" width="4.6640625" style="2917" customWidth="1"/>
    <col min="6661" max="6661" width="36" style="2917" customWidth="1"/>
    <col min="6662" max="6662" width="9" style="2917" customWidth="1"/>
    <col min="6663" max="6663" width="17.109375" style="2917" customWidth="1"/>
    <col min="6664" max="6665" width="13.88671875" style="2917" customWidth="1"/>
    <col min="6666" max="6666" width="10.44140625" style="2917" customWidth="1"/>
    <col min="6667" max="6667" width="9" style="2917" customWidth="1"/>
    <col min="6668" max="6668" width="21.77734375" style="2917" customWidth="1"/>
    <col min="6669" max="6669" width="27.77734375" style="2917" customWidth="1"/>
    <col min="6670" max="6670" width="10.6640625" style="2917" customWidth="1"/>
    <col min="6671" max="6671" width="16" style="2917" customWidth="1"/>
    <col min="6672" max="6672" width="14.33203125" style="2917" customWidth="1"/>
    <col min="6673" max="6673" width="6.21875" style="2917" customWidth="1"/>
    <col min="6674" max="6675" width="7.88671875" style="2917" customWidth="1"/>
    <col min="6676" max="6912" width="9" style="2917"/>
    <col min="6913" max="6913" width="36" style="2917" customWidth="1"/>
    <col min="6914" max="6914" width="6.21875" style="2917" customWidth="1"/>
    <col min="6915" max="6915" width="11.77734375" style="2917" customWidth="1"/>
    <col min="6916" max="6916" width="4.6640625" style="2917" customWidth="1"/>
    <col min="6917" max="6917" width="36" style="2917" customWidth="1"/>
    <col min="6918" max="6918" width="9" style="2917" customWidth="1"/>
    <col min="6919" max="6919" width="17.109375" style="2917" customWidth="1"/>
    <col min="6920" max="6921" width="13.88671875" style="2917" customWidth="1"/>
    <col min="6922" max="6922" width="10.44140625" style="2917" customWidth="1"/>
    <col min="6923" max="6923" width="9" style="2917" customWidth="1"/>
    <col min="6924" max="6924" width="21.77734375" style="2917" customWidth="1"/>
    <col min="6925" max="6925" width="27.77734375" style="2917" customWidth="1"/>
    <col min="6926" max="6926" width="10.6640625" style="2917" customWidth="1"/>
    <col min="6927" max="6927" width="16" style="2917" customWidth="1"/>
    <col min="6928" max="6928" width="14.33203125" style="2917" customWidth="1"/>
    <col min="6929" max="6929" width="6.21875" style="2917" customWidth="1"/>
    <col min="6930" max="6931" width="7.88671875" style="2917" customWidth="1"/>
    <col min="6932" max="7168" width="9" style="2917"/>
    <col min="7169" max="7169" width="36" style="2917" customWidth="1"/>
    <col min="7170" max="7170" width="6.21875" style="2917" customWidth="1"/>
    <col min="7171" max="7171" width="11.77734375" style="2917" customWidth="1"/>
    <col min="7172" max="7172" width="4.6640625" style="2917" customWidth="1"/>
    <col min="7173" max="7173" width="36" style="2917" customWidth="1"/>
    <col min="7174" max="7174" width="9" style="2917" customWidth="1"/>
    <col min="7175" max="7175" width="17.109375" style="2917" customWidth="1"/>
    <col min="7176" max="7177" width="13.88671875" style="2917" customWidth="1"/>
    <col min="7178" max="7178" width="10.44140625" style="2917" customWidth="1"/>
    <col min="7179" max="7179" width="9" style="2917" customWidth="1"/>
    <col min="7180" max="7180" width="21.77734375" style="2917" customWidth="1"/>
    <col min="7181" max="7181" width="27.77734375" style="2917" customWidth="1"/>
    <col min="7182" max="7182" width="10.6640625" style="2917" customWidth="1"/>
    <col min="7183" max="7183" width="16" style="2917" customWidth="1"/>
    <col min="7184" max="7184" width="14.33203125" style="2917" customWidth="1"/>
    <col min="7185" max="7185" width="6.21875" style="2917" customWidth="1"/>
    <col min="7186" max="7187" width="7.88671875" style="2917" customWidth="1"/>
    <col min="7188" max="7424" width="9" style="2917"/>
    <col min="7425" max="7425" width="36" style="2917" customWidth="1"/>
    <col min="7426" max="7426" width="6.21875" style="2917" customWidth="1"/>
    <col min="7427" max="7427" width="11.77734375" style="2917" customWidth="1"/>
    <col min="7428" max="7428" width="4.6640625" style="2917" customWidth="1"/>
    <col min="7429" max="7429" width="36" style="2917" customWidth="1"/>
    <col min="7430" max="7430" width="9" style="2917" customWidth="1"/>
    <col min="7431" max="7431" width="17.109375" style="2917" customWidth="1"/>
    <col min="7432" max="7433" width="13.88671875" style="2917" customWidth="1"/>
    <col min="7434" max="7434" width="10.44140625" style="2917" customWidth="1"/>
    <col min="7435" max="7435" width="9" style="2917" customWidth="1"/>
    <col min="7436" max="7436" width="21.77734375" style="2917" customWidth="1"/>
    <col min="7437" max="7437" width="27.77734375" style="2917" customWidth="1"/>
    <col min="7438" max="7438" width="10.6640625" style="2917" customWidth="1"/>
    <col min="7439" max="7439" width="16" style="2917" customWidth="1"/>
    <col min="7440" max="7440" width="14.33203125" style="2917" customWidth="1"/>
    <col min="7441" max="7441" width="6.21875" style="2917" customWidth="1"/>
    <col min="7442" max="7443" width="7.88671875" style="2917" customWidth="1"/>
    <col min="7444" max="7680" width="9" style="2917"/>
    <col min="7681" max="7681" width="36" style="2917" customWidth="1"/>
    <col min="7682" max="7682" width="6.21875" style="2917" customWidth="1"/>
    <col min="7683" max="7683" width="11.77734375" style="2917" customWidth="1"/>
    <col min="7684" max="7684" width="4.6640625" style="2917" customWidth="1"/>
    <col min="7685" max="7685" width="36" style="2917" customWidth="1"/>
    <col min="7686" max="7686" width="9" style="2917" customWidth="1"/>
    <col min="7687" max="7687" width="17.109375" style="2917" customWidth="1"/>
    <col min="7688" max="7689" width="13.88671875" style="2917" customWidth="1"/>
    <col min="7690" max="7690" width="10.44140625" style="2917" customWidth="1"/>
    <col min="7691" max="7691" width="9" style="2917" customWidth="1"/>
    <col min="7692" max="7692" width="21.77734375" style="2917" customWidth="1"/>
    <col min="7693" max="7693" width="27.77734375" style="2917" customWidth="1"/>
    <col min="7694" max="7694" width="10.6640625" style="2917" customWidth="1"/>
    <col min="7695" max="7695" width="16" style="2917" customWidth="1"/>
    <col min="7696" max="7696" width="14.33203125" style="2917" customWidth="1"/>
    <col min="7697" max="7697" width="6.21875" style="2917" customWidth="1"/>
    <col min="7698" max="7699" width="7.88671875" style="2917" customWidth="1"/>
    <col min="7700" max="7936" width="9" style="2917"/>
    <col min="7937" max="7937" width="36" style="2917" customWidth="1"/>
    <col min="7938" max="7938" width="6.21875" style="2917" customWidth="1"/>
    <col min="7939" max="7939" width="11.77734375" style="2917" customWidth="1"/>
    <col min="7940" max="7940" width="4.6640625" style="2917" customWidth="1"/>
    <col min="7941" max="7941" width="36" style="2917" customWidth="1"/>
    <col min="7942" max="7942" width="9" style="2917" customWidth="1"/>
    <col min="7943" max="7943" width="17.109375" style="2917" customWidth="1"/>
    <col min="7944" max="7945" width="13.88671875" style="2917" customWidth="1"/>
    <col min="7946" max="7946" width="10.44140625" style="2917" customWidth="1"/>
    <col min="7947" max="7947" width="9" style="2917" customWidth="1"/>
    <col min="7948" max="7948" width="21.77734375" style="2917" customWidth="1"/>
    <col min="7949" max="7949" width="27.77734375" style="2917" customWidth="1"/>
    <col min="7950" max="7950" width="10.6640625" style="2917" customWidth="1"/>
    <col min="7951" max="7951" width="16" style="2917" customWidth="1"/>
    <col min="7952" max="7952" width="14.33203125" style="2917" customWidth="1"/>
    <col min="7953" max="7953" width="6.21875" style="2917" customWidth="1"/>
    <col min="7954" max="7955" width="7.88671875" style="2917" customWidth="1"/>
    <col min="7956" max="8192" width="9" style="2917"/>
    <col min="8193" max="8193" width="36" style="2917" customWidth="1"/>
    <col min="8194" max="8194" width="6.21875" style="2917" customWidth="1"/>
    <col min="8195" max="8195" width="11.77734375" style="2917" customWidth="1"/>
    <col min="8196" max="8196" width="4.6640625" style="2917" customWidth="1"/>
    <col min="8197" max="8197" width="36" style="2917" customWidth="1"/>
    <col min="8198" max="8198" width="9" style="2917" customWidth="1"/>
    <col min="8199" max="8199" width="17.109375" style="2917" customWidth="1"/>
    <col min="8200" max="8201" width="13.88671875" style="2917" customWidth="1"/>
    <col min="8202" max="8202" width="10.44140625" style="2917" customWidth="1"/>
    <col min="8203" max="8203" width="9" style="2917" customWidth="1"/>
    <col min="8204" max="8204" width="21.77734375" style="2917" customWidth="1"/>
    <col min="8205" max="8205" width="27.77734375" style="2917" customWidth="1"/>
    <col min="8206" max="8206" width="10.6640625" style="2917" customWidth="1"/>
    <col min="8207" max="8207" width="16" style="2917" customWidth="1"/>
    <col min="8208" max="8208" width="14.33203125" style="2917" customWidth="1"/>
    <col min="8209" max="8209" width="6.21875" style="2917" customWidth="1"/>
    <col min="8210" max="8211" width="7.88671875" style="2917" customWidth="1"/>
    <col min="8212" max="8448" width="9" style="2917"/>
    <col min="8449" max="8449" width="36" style="2917" customWidth="1"/>
    <col min="8450" max="8450" width="6.21875" style="2917" customWidth="1"/>
    <col min="8451" max="8451" width="11.77734375" style="2917" customWidth="1"/>
    <col min="8452" max="8452" width="4.6640625" style="2917" customWidth="1"/>
    <col min="8453" max="8453" width="36" style="2917" customWidth="1"/>
    <col min="8454" max="8454" width="9" style="2917" customWidth="1"/>
    <col min="8455" max="8455" width="17.109375" style="2917" customWidth="1"/>
    <col min="8456" max="8457" width="13.88671875" style="2917" customWidth="1"/>
    <col min="8458" max="8458" width="10.44140625" style="2917" customWidth="1"/>
    <col min="8459" max="8459" width="9" style="2917" customWidth="1"/>
    <col min="8460" max="8460" width="21.77734375" style="2917" customWidth="1"/>
    <col min="8461" max="8461" width="27.77734375" style="2917" customWidth="1"/>
    <col min="8462" max="8462" width="10.6640625" style="2917" customWidth="1"/>
    <col min="8463" max="8463" width="16" style="2917" customWidth="1"/>
    <col min="8464" max="8464" width="14.33203125" style="2917" customWidth="1"/>
    <col min="8465" max="8465" width="6.21875" style="2917" customWidth="1"/>
    <col min="8466" max="8467" width="7.88671875" style="2917" customWidth="1"/>
    <col min="8468" max="8704" width="9" style="2917"/>
    <col min="8705" max="8705" width="36" style="2917" customWidth="1"/>
    <col min="8706" max="8706" width="6.21875" style="2917" customWidth="1"/>
    <col min="8707" max="8707" width="11.77734375" style="2917" customWidth="1"/>
    <col min="8708" max="8708" width="4.6640625" style="2917" customWidth="1"/>
    <col min="8709" max="8709" width="36" style="2917" customWidth="1"/>
    <col min="8710" max="8710" width="9" style="2917" customWidth="1"/>
    <col min="8711" max="8711" width="17.109375" style="2917" customWidth="1"/>
    <col min="8712" max="8713" width="13.88671875" style="2917" customWidth="1"/>
    <col min="8714" max="8714" width="10.44140625" style="2917" customWidth="1"/>
    <col min="8715" max="8715" width="9" style="2917" customWidth="1"/>
    <col min="8716" max="8716" width="21.77734375" style="2917" customWidth="1"/>
    <col min="8717" max="8717" width="27.77734375" style="2917" customWidth="1"/>
    <col min="8718" max="8718" width="10.6640625" style="2917" customWidth="1"/>
    <col min="8719" max="8719" width="16" style="2917" customWidth="1"/>
    <col min="8720" max="8720" width="14.33203125" style="2917" customWidth="1"/>
    <col min="8721" max="8721" width="6.21875" style="2917" customWidth="1"/>
    <col min="8722" max="8723" width="7.88671875" style="2917" customWidth="1"/>
    <col min="8724" max="8960" width="9" style="2917"/>
    <col min="8961" max="8961" width="36" style="2917" customWidth="1"/>
    <col min="8962" max="8962" width="6.21875" style="2917" customWidth="1"/>
    <col min="8963" max="8963" width="11.77734375" style="2917" customWidth="1"/>
    <col min="8964" max="8964" width="4.6640625" style="2917" customWidth="1"/>
    <col min="8965" max="8965" width="36" style="2917" customWidth="1"/>
    <col min="8966" max="8966" width="9" style="2917" customWidth="1"/>
    <col min="8967" max="8967" width="17.109375" style="2917" customWidth="1"/>
    <col min="8968" max="8969" width="13.88671875" style="2917" customWidth="1"/>
    <col min="8970" max="8970" width="10.44140625" style="2917" customWidth="1"/>
    <col min="8971" max="8971" width="9" style="2917" customWidth="1"/>
    <col min="8972" max="8972" width="21.77734375" style="2917" customWidth="1"/>
    <col min="8973" max="8973" width="27.77734375" style="2917" customWidth="1"/>
    <col min="8974" max="8974" width="10.6640625" style="2917" customWidth="1"/>
    <col min="8975" max="8975" width="16" style="2917" customWidth="1"/>
    <col min="8976" max="8976" width="14.33203125" style="2917" customWidth="1"/>
    <col min="8977" max="8977" width="6.21875" style="2917" customWidth="1"/>
    <col min="8978" max="8979" width="7.88671875" style="2917" customWidth="1"/>
    <col min="8980" max="9216" width="9" style="2917"/>
    <col min="9217" max="9217" width="36" style="2917" customWidth="1"/>
    <col min="9218" max="9218" width="6.21875" style="2917" customWidth="1"/>
    <col min="9219" max="9219" width="11.77734375" style="2917" customWidth="1"/>
    <col min="9220" max="9220" width="4.6640625" style="2917" customWidth="1"/>
    <col min="9221" max="9221" width="36" style="2917" customWidth="1"/>
    <col min="9222" max="9222" width="9" style="2917" customWidth="1"/>
    <col min="9223" max="9223" width="17.109375" style="2917" customWidth="1"/>
    <col min="9224" max="9225" width="13.88671875" style="2917" customWidth="1"/>
    <col min="9226" max="9226" width="10.44140625" style="2917" customWidth="1"/>
    <col min="9227" max="9227" width="9" style="2917" customWidth="1"/>
    <col min="9228" max="9228" width="21.77734375" style="2917" customWidth="1"/>
    <col min="9229" max="9229" width="27.77734375" style="2917" customWidth="1"/>
    <col min="9230" max="9230" width="10.6640625" style="2917" customWidth="1"/>
    <col min="9231" max="9231" width="16" style="2917" customWidth="1"/>
    <col min="9232" max="9232" width="14.33203125" style="2917" customWidth="1"/>
    <col min="9233" max="9233" width="6.21875" style="2917" customWidth="1"/>
    <col min="9234" max="9235" width="7.88671875" style="2917" customWidth="1"/>
    <col min="9236" max="9472" width="9" style="2917"/>
    <col min="9473" max="9473" width="36" style="2917" customWidth="1"/>
    <col min="9474" max="9474" width="6.21875" style="2917" customWidth="1"/>
    <col min="9475" max="9475" width="11.77734375" style="2917" customWidth="1"/>
    <col min="9476" max="9476" width="4.6640625" style="2917" customWidth="1"/>
    <col min="9477" max="9477" width="36" style="2917" customWidth="1"/>
    <col min="9478" max="9478" width="9" style="2917" customWidth="1"/>
    <col min="9479" max="9479" width="17.109375" style="2917" customWidth="1"/>
    <col min="9480" max="9481" width="13.88671875" style="2917" customWidth="1"/>
    <col min="9482" max="9482" width="10.44140625" style="2917" customWidth="1"/>
    <col min="9483" max="9483" width="9" style="2917" customWidth="1"/>
    <col min="9484" max="9484" width="21.77734375" style="2917" customWidth="1"/>
    <col min="9485" max="9485" width="27.77734375" style="2917" customWidth="1"/>
    <col min="9486" max="9486" width="10.6640625" style="2917" customWidth="1"/>
    <col min="9487" max="9487" width="16" style="2917" customWidth="1"/>
    <col min="9488" max="9488" width="14.33203125" style="2917" customWidth="1"/>
    <col min="9489" max="9489" width="6.21875" style="2917" customWidth="1"/>
    <col min="9490" max="9491" width="7.88671875" style="2917" customWidth="1"/>
    <col min="9492" max="9728" width="9" style="2917"/>
    <col min="9729" max="9729" width="36" style="2917" customWidth="1"/>
    <col min="9730" max="9730" width="6.21875" style="2917" customWidth="1"/>
    <col min="9731" max="9731" width="11.77734375" style="2917" customWidth="1"/>
    <col min="9732" max="9732" width="4.6640625" style="2917" customWidth="1"/>
    <col min="9733" max="9733" width="36" style="2917" customWidth="1"/>
    <col min="9734" max="9734" width="9" style="2917" customWidth="1"/>
    <col min="9735" max="9735" width="17.109375" style="2917" customWidth="1"/>
    <col min="9736" max="9737" width="13.88671875" style="2917" customWidth="1"/>
    <col min="9738" max="9738" width="10.44140625" style="2917" customWidth="1"/>
    <col min="9739" max="9739" width="9" style="2917" customWidth="1"/>
    <col min="9740" max="9740" width="21.77734375" style="2917" customWidth="1"/>
    <col min="9741" max="9741" width="27.77734375" style="2917" customWidth="1"/>
    <col min="9742" max="9742" width="10.6640625" style="2917" customWidth="1"/>
    <col min="9743" max="9743" width="16" style="2917" customWidth="1"/>
    <col min="9744" max="9744" width="14.33203125" style="2917" customWidth="1"/>
    <col min="9745" max="9745" width="6.21875" style="2917" customWidth="1"/>
    <col min="9746" max="9747" width="7.88671875" style="2917" customWidth="1"/>
    <col min="9748" max="9984" width="9" style="2917"/>
    <col min="9985" max="9985" width="36" style="2917" customWidth="1"/>
    <col min="9986" max="9986" width="6.21875" style="2917" customWidth="1"/>
    <col min="9987" max="9987" width="11.77734375" style="2917" customWidth="1"/>
    <col min="9988" max="9988" width="4.6640625" style="2917" customWidth="1"/>
    <col min="9989" max="9989" width="36" style="2917" customWidth="1"/>
    <col min="9990" max="9990" width="9" style="2917" customWidth="1"/>
    <col min="9991" max="9991" width="17.109375" style="2917" customWidth="1"/>
    <col min="9992" max="9993" width="13.88671875" style="2917" customWidth="1"/>
    <col min="9994" max="9994" width="10.44140625" style="2917" customWidth="1"/>
    <col min="9995" max="9995" width="9" style="2917" customWidth="1"/>
    <col min="9996" max="9996" width="21.77734375" style="2917" customWidth="1"/>
    <col min="9997" max="9997" width="27.77734375" style="2917" customWidth="1"/>
    <col min="9998" max="9998" width="10.6640625" style="2917" customWidth="1"/>
    <col min="9999" max="9999" width="16" style="2917" customWidth="1"/>
    <col min="10000" max="10000" width="14.33203125" style="2917" customWidth="1"/>
    <col min="10001" max="10001" width="6.21875" style="2917" customWidth="1"/>
    <col min="10002" max="10003" width="7.88671875" style="2917" customWidth="1"/>
    <col min="10004" max="10240" width="9" style="2917"/>
    <col min="10241" max="10241" width="36" style="2917" customWidth="1"/>
    <col min="10242" max="10242" width="6.21875" style="2917" customWidth="1"/>
    <col min="10243" max="10243" width="11.77734375" style="2917" customWidth="1"/>
    <col min="10244" max="10244" width="4.6640625" style="2917" customWidth="1"/>
    <col min="10245" max="10245" width="36" style="2917" customWidth="1"/>
    <col min="10246" max="10246" width="9" style="2917" customWidth="1"/>
    <col min="10247" max="10247" width="17.109375" style="2917" customWidth="1"/>
    <col min="10248" max="10249" width="13.88671875" style="2917" customWidth="1"/>
    <col min="10250" max="10250" width="10.44140625" style="2917" customWidth="1"/>
    <col min="10251" max="10251" width="9" style="2917" customWidth="1"/>
    <col min="10252" max="10252" width="21.77734375" style="2917" customWidth="1"/>
    <col min="10253" max="10253" width="27.77734375" style="2917" customWidth="1"/>
    <col min="10254" max="10254" width="10.6640625" style="2917" customWidth="1"/>
    <col min="10255" max="10255" width="16" style="2917" customWidth="1"/>
    <col min="10256" max="10256" width="14.33203125" style="2917" customWidth="1"/>
    <col min="10257" max="10257" width="6.21875" style="2917" customWidth="1"/>
    <col min="10258" max="10259" width="7.88671875" style="2917" customWidth="1"/>
    <col min="10260" max="10496" width="9" style="2917"/>
    <col min="10497" max="10497" width="36" style="2917" customWidth="1"/>
    <col min="10498" max="10498" width="6.21875" style="2917" customWidth="1"/>
    <col min="10499" max="10499" width="11.77734375" style="2917" customWidth="1"/>
    <col min="10500" max="10500" width="4.6640625" style="2917" customWidth="1"/>
    <col min="10501" max="10501" width="36" style="2917" customWidth="1"/>
    <col min="10502" max="10502" width="9" style="2917" customWidth="1"/>
    <col min="10503" max="10503" width="17.109375" style="2917" customWidth="1"/>
    <col min="10504" max="10505" width="13.88671875" style="2917" customWidth="1"/>
    <col min="10506" max="10506" width="10.44140625" style="2917" customWidth="1"/>
    <col min="10507" max="10507" width="9" style="2917" customWidth="1"/>
    <col min="10508" max="10508" width="21.77734375" style="2917" customWidth="1"/>
    <col min="10509" max="10509" width="27.77734375" style="2917" customWidth="1"/>
    <col min="10510" max="10510" width="10.6640625" style="2917" customWidth="1"/>
    <col min="10511" max="10511" width="16" style="2917" customWidth="1"/>
    <col min="10512" max="10512" width="14.33203125" style="2917" customWidth="1"/>
    <col min="10513" max="10513" width="6.21875" style="2917" customWidth="1"/>
    <col min="10514" max="10515" width="7.88671875" style="2917" customWidth="1"/>
    <col min="10516" max="10752" width="9" style="2917"/>
    <col min="10753" max="10753" width="36" style="2917" customWidth="1"/>
    <col min="10754" max="10754" width="6.21875" style="2917" customWidth="1"/>
    <col min="10755" max="10755" width="11.77734375" style="2917" customWidth="1"/>
    <col min="10756" max="10756" width="4.6640625" style="2917" customWidth="1"/>
    <col min="10757" max="10757" width="36" style="2917" customWidth="1"/>
    <col min="10758" max="10758" width="9" style="2917" customWidth="1"/>
    <col min="10759" max="10759" width="17.109375" style="2917" customWidth="1"/>
    <col min="10760" max="10761" width="13.88671875" style="2917" customWidth="1"/>
    <col min="10762" max="10762" width="10.44140625" style="2917" customWidth="1"/>
    <col min="10763" max="10763" width="9" style="2917" customWidth="1"/>
    <col min="10764" max="10764" width="21.77734375" style="2917" customWidth="1"/>
    <col min="10765" max="10765" width="27.77734375" style="2917" customWidth="1"/>
    <col min="10766" max="10766" width="10.6640625" style="2917" customWidth="1"/>
    <col min="10767" max="10767" width="16" style="2917" customWidth="1"/>
    <col min="10768" max="10768" width="14.33203125" style="2917" customWidth="1"/>
    <col min="10769" max="10769" width="6.21875" style="2917" customWidth="1"/>
    <col min="10770" max="10771" width="7.88671875" style="2917" customWidth="1"/>
    <col min="10772" max="11008" width="9" style="2917"/>
    <col min="11009" max="11009" width="36" style="2917" customWidth="1"/>
    <col min="11010" max="11010" width="6.21875" style="2917" customWidth="1"/>
    <col min="11011" max="11011" width="11.77734375" style="2917" customWidth="1"/>
    <col min="11012" max="11012" width="4.6640625" style="2917" customWidth="1"/>
    <col min="11013" max="11013" width="36" style="2917" customWidth="1"/>
    <col min="11014" max="11014" width="9" style="2917" customWidth="1"/>
    <col min="11015" max="11015" width="17.109375" style="2917" customWidth="1"/>
    <col min="11016" max="11017" width="13.88671875" style="2917" customWidth="1"/>
    <col min="11018" max="11018" width="10.44140625" style="2917" customWidth="1"/>
    <col min="11019" max="11019" width="9" style="2917" customWidth="1"/>
    <col min="11020" max="11020" width="21.77734375" style="2917" customWidth="1"/>
    <col min="11021" max="11021" width="27.77734375" style="2917" customWidth="1"/>
    <col min="11022" max="11022" width="10.6640625" style="2917" customWidth="1"/>
    <col min="11023" max="11023" width="16" style="2917" customWidth="1"/>
    <col min="11024" max="11024" width="14.33203125" style="2917" customWidth="1"/>
    <col min="11025" max="11025" width="6.21875" style="2917" customWidth="1"/>
    <col min="11026" max="11027" width="7.88671875" style="2917" customWidth="1"/>
    <col min="11028" max="11264" width="9" style="2917"/>
    <col min="11265" max="11265" width="36" style="2917" customWidth="1"/>
    <col min="11266" max="11266" width="6.21875" style="2917" customWidth="1"/>
    <col min="11267" max="11267" width="11.77734375" style="2917" customWidth="1"/>
    <col min="11268" max="11268" width="4.6640625" style="2917" customWidth="1"/>
    <col min="11269" max="11269" width="36" style="2917" customWidth="1"/>
    <col min="11270" max="11270" width="9" style="2917" customWidth="1"/>
    <col min="11271" max="11271" width="17.109375" style="2917" customWidth="1"/>
    <col min="11272" max="11273" width="13.88671875" style="2917" customWidth="1"/>
    <col min="11274" max="11274" width="10.44140625" style="2917" customWidth="1"/>
    <col min="11275" max="11275" width="9" style="2917" customWidth="1"/>
    <col min="11276" max="11276" width="21.77734375" style="2917" customWidth="1"/>
    <col min="11277" max="11277" width="27.77734375" style="2917" customWidth="1"/>
    <col min="11278" max="11278" width="10.6640625" style="2917" customWidth="1"/>
    <col min="11279" max="11279" width="16" style="2917" customWidth="1"/>
    <col min="11280" max="11280" width="14.33203125" style="2917" customWidth="1"/>
    <col min="11281" max="11281" width="6.21875" style="2917" customWidth="1"/>
    <col min="11282" max="11283" width="7.88671875" style="2917" customWidth="1"/>
    <col min="11284" max="11520" width="9" style="2917"/>
    <col min="11521" max="11521" width="36" style="2917" customWidth="1"/>
    <col min="11522" max="11522" width="6.21875" style="2917" customWidth="1"/>
    <col min="11523" max="11523" width="11.77734375" style="2917" customWidth="1"/>
    <col min="11524" max="11524" width="4.6640625" style="2917" customWidth="1"/>
    <col min="11525" max="11525" width="36" style="2917" customWidth="1"/>
    <col min="11526" max="11526" width="9" style="2917" customWidth="1"/>
    <col min="11527" max="11527" width="17.109375" style="2917" customWidth="1"/>
    <col min="11528" max="11529" width="13.88671875" style="2917" customWidth="1"/>
    <col min="11530" max="11530" width="10.44140625" style="2917" customWidth="1"/>
    <col min="11531" max="11531" width="9" style="2917" customWidth="1"/>
    <col min="11532" max="11532" width="21.77734375" style="2917" customWidth="1"/>
    <col min="11533" max="11533" width="27.77734375" style="2917" customWidth="1"/>
    <col min="11534" max="11534" width="10.6640625" style="2917" customWidth="1"/>
    <col min="11535" max="11535" width="16" style="2917" customWidth="1"/>
    <col min="11536" max="11536" width="14.33203125" style="2917" customWidth="1"/>
    <col min="11537" max="11537" width="6.21875" style="2917" customWidth="1"/>
    <col min="11538" max="11539" width="7.88671875" style="2917" customWidth="1"/>
    <col min="11540" max="11776" width="9" style="2917"/>
    <col min="11777" max="11777" width="36" style="2917" customWidth="1"/>
    <col min="11778" max="11778" width="6.21875" style="2917" customWidth="1"/>
    <col min="11779" max="11779" width="11.77734375" style="2917" customWidth="1"/>
    <col min="11780" max="11780" width="4.6640625" style="2917" customWidth="1"/>
    <col min="11781" max="11781" width="36" style="2917" customWidth="1"/>
    <col min="11782" max="11782" width="9" style="2917" customWidth="1"/>
    <col min="11783" max="11783" width="17.109375" style="2917" customWidth="1"/>
    <col min="11784" max="11785" width="13.88671875" style="2917" customWidth="1"/>
    <col min="11786" max="11786" width="10.44140625" style="2917" customWidth="1"/>
    <col min="11787" max="11787" width="9" style="2917" customWidth="1"/>
    <col min="11788" max="11788" width="21.77734375" style="2917" customWidth="1"/>
    <col min="11789" max="11789" width="27.77734375" style="2917" customWidth="1"/>
    <col min="11790" max="11790" width="10.6640625" style="2917" customWidth="1"/>
    <col min="11791" max="11791" width="16" style="2917" customWidth="1"/>
    <col min="11792" max="11792" width="14.33203125" style="2917" customWidth="1"/>
    <col min="11793" max="11793" width="6.21875" style="2917" customWidth="1"/>
    <col min="11794" max="11795" width="7.88671875" style="2917" customWidth="1"/>
    <col min="11796" max="12032" width="9" style="2917"/>
    <col min="12033" max="12033" width="36" style="2917" customWidth="1"/>
    <col min="12034" max="12034" width="6.21875" style="2917" customWidth="1"/>
    <col min="12035" max="12035" width="11.77734375" style="2917" customWidth="1"/>
    <col min="12036" max="12036" width="4.6640625" style="2917" customWidth="1"/>
    <col min="12037" max="12037" width="36" style="2917" customWidth="1"/>
    <col min="12038" max="12038" width="9" style="2917" customWidth="1"/>
    <col min="12039" max="12039" width="17.109375" style="2917" customWidth="1"/>
    <col min="12040" max="12041" width="13.88671875" style="2917" customWidth="1"/>
    <col min="12042" max="12042" width="10.44140625" style="2917" customWidth="1"/>
    <col min="12043" max="12043" width="9" style="2917" customWidth="1"/>
    <col min="12044" max="12044" width="21.77734375" style="2917" customWidth="1"/>
    <col min="12045" max="12045" width="27.77734375" style="2917" customWidth="1"/>
    <col min="12046" max="12046" width="10.6640625" style="2917" customWidth="1"/>
    <col min="12047" max="12047" width="16" style="2917" customWidth="1"/>
    <col min="12048" max="12048" width="14.33203125" style="2917" customWidth="1"/>
    <col min="12049" max="12049" width="6.21875" style="2917" customWidth="1"/>
    <col min="12050" max="12051" width="7.88671875" style="2917" customWidth="1"/>
    <col min="12052" max="12288" width="9" style="2917"/>
    <col min="12289" max="12289" width="36" style="2917" customWidth="1"/>
    <col min="12290" max="12290" width="6.21875" style="2917" customWidth="1"/>
    <col min="12291" max="12291" width="11.77734375" style="2917" customWidth="1"/>
    <col min="12292" max="12292" width="4.6640625" style="2917" customWidth="1"/>
    <col min="12293" max="12293" width="36" style="2917" customWidth="1"/>
    <col min="12294" max="12294" width="9" style="2917" customWidth="1"/>
    <col min="12295" max="12295" width="17.109375" style="2917" customWidth="1"/>
    <col min="12296" max="12297" width="13.88671875" style="2917" customWidth="1"/>
    <col min="12298" max="12298" width="10.44140625" style="2917" customWidth="1"/>
    <col min="12299" max="12299" width="9" style="2917" customWidth="1"/>
    <col min="12300" max="12300" width="21.77734375" style="2917" customWidth="1"/>
    <col min="12301" max="12301" width="27.77734375" style="2917" customWidth="1"/>
    <col min="12302" max="12302" width="10.6640625" style="2917" customWidth="1"/>
    <col min="12303" max="12303" width="16" style="2917" customWidth="1"/>
    <col min="12304" max="12304" width="14.33203125" style="2917" customWidth="1"/>
    <col min="12305" max="12305" width="6.21875" style="2917" customWidth="1"/>
    <col min="12306" max="12307" width="7.88671875" style="2917" customWidth="1"/>
    <col min="12308" max="12544" width="9" style="2917"/>
    <col min="12545" max="12545" width="36" style="2917" customWidth="1"/>
    <col min="12546" max="12546" width="6.21875" style="2917" customWidth="1"/>
    <col min="12547" max="12547" width="11.77734375" style="2917" customWidth="1"/>
    <col min="12548" max="12548" width="4.6640625" style="2917" customWidth="1"/>
    <col min="12549" max="12549" width="36" style="2917" customWidth="1"/>
    <col min="12550" max="12550" width="9" style="2917" customWidth="1"/>
    <col min="12551" max="12551" width="17.109375" style="2917" customWidth="1"/>
    <col min="12552" max="12553" width="13.88671875" style="2917" customWidth="1"/>
    <col min="12554" max="12554" width="10.44140625" style="2917" customWidth="1"/>
    <col min="12555" max="12555" width="9" style="2917" customWidth="1"/>
    <col min="12556" max="12556" width="21.77734375" style="2917" customWidth="1"/>
    <col min="12557" max="12557" width="27.77734375" style="2917" customWidth="1"/>
    <col min="12558" max="12558" width="10.6640625" style="2917" customWidth="1"/>
    <col min="12559" max="12559" width="16" style="2917" customWidth="1"/>
    <col min="12560" max="12560" width="14.33203125" style="2917" customWidth="1"/>
    <col min="12561" max="12561" width="6.21875" style="2917" customWidth="1"/>
    <col min="12562" max="12563" width="7.88671875" style="2917" customWidth="1"/>
    <col min="12564" max="12800" width="9" style="2917"/>
    <col min="12801" max="12801" width="36" style="2917" customWidth="1"/>
    <col min="12802" max="12802" width="6.21875" style="2917" customWidth="1"/>
    <col min="12803" max="12803" width="11.77734375" style="2917" customWidth="1"/>
    <col min="12804" max="12804" width="4.6640625" style="2917" customWidth="1"/>
    <col min="12805" max="12805" width="36" style="2917" customWidth="1"/>
    <col min="12806" max="12806" width="9" style="2917" customWidth="1"/>
    <col min="12807" max="12807" width="17.109375" style="2917" customWidth="1"/>
    <col min="12808" max="12809" width="13.88671875" style="2917" customWidth="1"/>
    <col min="12810" max="12810" width="10.44140625" style="2917" customWidth="1"/>
    <col min="12811" max="12811" width="9" style="2917" customWidth="1"/>
    <col min="12812" max="12812" width="21.77734375" style="2917" customWidth="1"/>
    <col min="12813" max="12813" width="27.77734375" style="2917" customWidth="1"/>
    <col min="12814" max="12814" width="10.6640625" style="2917" customWidth="1"/>
    <col min="12815" max="12815" width="16" style="2917" customWidth="1"/>
    <col min="12816" max="12816" width="14.33203125" style="2917" customWidth="1"/>
    <col min="12817" max="12817" width="6.21875" style="2917" customWidth="1"/>
    <col min="12818" max="12819" width="7.88671875" style="2917" customWidth="1"/>
    <col min="12820" max="13056" width="9" style="2917"/>
    <col min="13057" max="13057" width="36" style="2917" customWidth="1"/>
    <col min="13058" max="13058" width="6.21875" style="2917" customWidth="1"/>
    <col min="13059" max="13059" width="11.77734375" style="2917" customWidth="1"/>
    <col min="13060" max="13060" width="4.6640625" style="2917" customWidth="1"/>
    <col min="13061" max="13061" width="36" style="2917" customWidth="1"/>
    <col min="13062" max="13062" width="9" style="2917" customWidth="1"/>
    <col min="13063" max="13063" width="17.109375" style="2917" customWidth="1"/>
    <col min="13064" max="13065" width="13.88671875" style="2917" customWidth="1"/>
    <col min="13066" max="13066" width="10.44140625" style="2917" customWidth="1"/>
    <col min="13067" max="13067" width="9" style="2917" customWidth="1"/>
    <col min="13068" max="13068" width="21.77734375" style="2917" customWidth="1"/>
    <col min="13069" max="13069" width="27.77734375" style="2917" customWidth="1"/>
    <col min="13070" max="13070" width="10.6640625" style="2917" customWidth="1"/>
    <col min="13071" max="13071" width="16" style="2917" customWidth="1"/>
    <col min="13072" max="13072" width="14.33203125" style="2917" customWidth="1"/>
    <col min="13073" max="13073" width="6.21875" style="2917" customWidth="1"/>
    <col min="13074" max="13075" width="7.88671875" style="2917" customWidth="1"/>
    <col min="13076" max="13312" width="9" style="2917"/>
    <col min="13313" max="13313" width="36" style="2917" customWidth="1"/>
    <col min="13314" max="13314" width="6.21875" style="2917" customWidth="1"/>
    <col min="13315" max="13315" width="11.77734375" style="2917" customWidth="1"/>
    <col min="13316" max="13316" width="4.6640625" style="2917" customWidth="1"/>
    <col min="13317" max="13317" width="36" style="2917" customWidth="1"/>
    <col min="13318" max="13318" width="9" style="2917" customWidth="1"/>
    <col min="13319" max="13319" width="17.109375" style="2917" customWidth="1"/>
    <col min="13320" max="13321" width="13.88671875" style="2917" customWidth="1"/>
    <col min="13322" max="13322" width="10.44140625" style="2917" customWidth="1"/>
    <col min="13323" max="13323" width="9" style="2917" customWidth="1"/>
    <col min="13324" max="13324" width="21.77734375" style="2917" customWidth="1"/>
    <col min="13325" max="13325" width="27.77734375" style="2917" customWidth="1"/>
    <col min="13326" max="13326" width="10.6640625" style="2917" customWidth="1"/>
    <col min="13327" max="13327" width="16" style="2917" customWidth="1"/>
    <col min="13328" max="13328" width="14.33203125" style="2917" customWidth="1"/>
    <col min="13329" max="13329" width="6.21875" style="2917" customWidth="1"/>
    <col min="13330" max="13331" width="7.88671875" style="2917" customWidth="1"/>
    <col min="13332" max="13568" width="9" style="2917"/>
    <col min="13569" max="13569" width="36" style="2917" customWidth="1"/>
    <col min="13570" max="13570" width="6.21875" style="2917" customWidth="1"/>
    <col min="13571" max="13571" width="11.77734375" style="2917" customWidth="1"/>
    <col min="13572" max="13572" width="4.6640625" style="2917" customWidth="1"/>
    <col min="13573" max="13573" width="36" style="2917" customWidth="1"/>
    <col min="13574" max="13574" width="9" style="2917" customWidth="1"/>
    <col min="13575" max="13575" width="17.109375" style="2917" customWidth="1"/>
    <col min="13576" max="13577" width="13.88671875" style="2917" customWidth="1"/>
    <col min="13578" max="13578" width="10.44140625" style="2917" customWidth="1"/>
    <col min="13579" max="13579" width="9" style="2917" customWidth="1"/>
    <col min="13580" max="13580" width="21.77734375" style="2917" customWidth="1"/>
    <col min="13581" max="13581" width="27.77734375" style="2917" customWidth="1"/>
    <col min="13582" max="13582" width="10.6640625" style="2917" customWidth="1"/>
    <col min="13583" max="13583" width="16" style="2917" customWidth="1"/>
    <col min="13584" max="13584" width="14.33203125" style="2917" customWidth="1"/>
    <col min="13585" max="13585" width="6.21875" style="2917" customWidth="1"/>
    <col min="13586" max="13587" width="7.88671875" style="2917" customWidth="1"/>
    <col min="13588" max="13824" width="9" style="2917"/>
    <col min="13825" max="13825" width="36" style="2917" customWidth="1"/>
    <col min="13826" max="13826" width="6.21875" style="2917" customWidth="1"/>
    <col min="13827" max="13827" width="11.77734375" style="2917" customWidth="1"/>
    <col min="13828" max="13828" width="4.6640625" style="2917" customWidth="1"/>
    <col min="13829" max="13829" width="36" style="2917" customWidth="1"/>
    <col min="13830" max="13830" width="9" style="2917" customWidth="1"/>
    <col min="13831" max="13831" width="17.109375" style="2917" customWidth="1"/>
    <col min="13832" max="13833" width="13.88671875" style="2917" customWidth="1"/>
    <col min="13834" max="13834" width="10.44140625" style="2917" customWidth="1"/>
    <col min="13835" max="13835" width="9" style="2917" customWidth="1"/>
    <col min="13836" max="13836" width="21.77734375" style="2917" customWidth="1"/>
    <col min="13837" max="13837" width="27.77734375" style="2917" customWidth="1"/>
    <col min="13838" max="13838" width="10.6640625" style="2917" customWidth="1"/>
    <col min="13839" max="13839" width="16" style="2917" customWidth="1"/>
    <col min="13840" max="13840" width="14.33203125" style="2917" customWidth="1"/>
    <col min="13841" max="13841" width="6.21875" style="2917" customWidth="1"/>
    <col min="13842" max="13843" width="7.88671875" style="2917" customWidth="1"/>
    <col min="13844" max="14080" width="9" style="2917"/>
    <col min="14081" max="14081" width="36" style="2917" customWidth="1"/>
    <col min="14082" max="14082" width="6.21875" style="2917" customWidth="1"/>
    <col min="14083" max="14083" width="11.77734375" style="2917" customWidth="1"/>
    <col min="14084" max="14084" width="4.6640625" style="2917" customWidth="1"/>
    <col min="14085" max="14085" width="36" style="2917" customWidth="1"/>
    <col min="14086" max="14086" width="9" style="2917" customWidth="1"/>
    <col min="14087" max="14087" width="17.109375" style="2917" customWidth="1"/>
    <col min="14088" max="14089" width="13.88671875" style="2917" customWidth="1"/>
    <col min="14090" max="14090" width="10.44140625" style="2917" customWidth="1"/>
    <col min="14091" max="14091" width="9" style="2917" customWidth="1"/>
    <col min="14092" max="14092" width="21.77734375" style="2917" customWidth="1"/>
    <col min="14093" max="14093" width="27.77734375" style="2917" customWidth="1"/>
    <col min="14094" max="14094" width="10.6640625" style="2917" customWidth="1"/>
    <col min="14095" max="14095" width="16" style="2917" customWidth="1"/>
    <col min="14096" max="14096" width="14.33203125" style="2917" customWidth="1"/>
    <col min="14097" max="14097" width="6.21875" style="2917" customWidth="1"/>
    <col min="14098" max="14099" width="7.88671875" style="2917" customWidth="1"/>
    <col min="14100" max="14336" width="9" style="2917"/>
    <col min="14337" max="14337" width="36" style="2917" customWidth="1"/>
    <col min="14338" max="14338" width="6.21875" style="2917" customWidth="1"/>
    <col min="14339" max="14339" width="11.77734375" style="2917" customWidth="1"/>
    <col min="14340" max="14340" width="4.6640625" style="2917" customWidth="1"/>
    <col min="14341" max="14341" width="36" style="2917" customWidth="1"/>
    <col min="14342" max="14342" width="9" style="2917" customWidth="1"/>
    <col min="14343" max="14343" width="17.109375" style="2917" customWidth="1"/>
    <col min="14344" max="14345" width="13.88671875" style="2917" customWidth="1"/>
    <col min="14346" max="14346" width="10.44140625" style="2917" customWidth="1"/>
    <col min="14347" max="14347" width="9" style="2917" customWidth="1"/>
    <col min="14348" max="14348" width="21.77734375" style="2917" customWidth="1"/>
    <col min="14349" max="14349" width="27.77734375" style="2917" customWidth="1"/>
    <col min="14350" max="14350" width="10.6640625" style="2917" customWidth="1"/>
    <col min="14351" max="14351" width="16" style="2917" customWidth="1"/>
    <col min="14352" max="14352" width="14.33203125" style="2917" customWidth="1"/>
    <col min="14353" max="14353" width="6.21875" style="2917" customWidth="1"/>
    <col min="14354" max="14355" width="7.88671875" style="2917" customWidth="1"/>
    <col min="14356" max="14592" width="9" style="2917"/>
    <col min="14593" max="14593" width="36" style="2917" customWidth="1"/>
    <col min="14594" max="14594" width="6.21875" style="2917" customWidth="1"/>
    <col min="14595" max="14595" width="11.77734375" style="2917" customWidth="1"/>
    <col min="14596" max="14596" width="4.6640625" style="2917" customWidth="1"/>
    <col min="14597" max="14597" width="36" style="2917" customWidth="1"/>
    <col min="14598" max="14598" width="9" style="2917" customWidth="1"/>
    <col min="14599" max="14599" width="17.109375" style="2917" customWidth="1"/>
    <col min="14600" max="14601" width="13.88671875" style="2917" customWidth="1"/>
    <col min="14602" max="14602" width="10.44140625" style="2917" customWidth="1"/>
    <col min="14603" max="14603" width="9" style="2917" customWidth="1"/>
    <col min="14604" max="14604" width="21.77734375" style="2917" customWidth="1"/>
    <col min="14605" max="14605" width="27.77734375" style="2917" customWidth="1"/>
    <col min="14606" max="14606" width="10.6640625" style="2917" customWidth="1"/>
    <col min="14607" max="14607" width="16" style="2917" customWidth="1"/>
    <col min="14608" max="14608" width="14.33203125" style="2917" customWidth="1"/>
    <col min="14609" max="14609" width="6.21875" style="2917" customWidth="1"/>
    <col min="14610" max="14611" width="7.88671875" style="2917" customWidth="1"/>
    <col min="14612" max="14848" width="9" style="2917"/>
    <col min="14849" max="14849" width="36" style="2917" customWidth="1"/>
    <col min="14850" max="14850" width="6.21875" style="2917" customWidth="1"/>
    <col min="14851" max="14851" width="11.77734375" style="2917" customWidth="1"/>
    <col min="14852" max="14852" width="4.6640625" style="2917" customWidth="1"/>
    <col min="14853" max="14853" width="36" style="2917" customWidth="1"/>
    <col min="14854" max="14854" width="9" style="2917" customWidth="1"/>
    <col min="14855" max="14855" width="17.109375" style="2917" customWidth="1"/>
    <col min="14856" max="14857" width="13.88671875" style="2917" customWidth="1"/>
    <col min="14858" max="14858" width="10.44140625" style="2917" customWidth="1"/>
    <col min="14859" max="14859" width="9" style="2917" customWidth="1"/>
    <col min="14860" max="14860" width="21.77734375" style="2917" customWidth="1"/>
    <col min="14861" max="14861" width="27.77734375" style="2917" customWidth="1"/>
    <col min="14862" max="14862" width="10.6640625" style="2917" customWidth="1"/>
    <col min="14863" max="14863" width="16" style="2917" customWidth="1"/>
    <col min="14864" max="14864" width="14.33203125" style="2917" customWidth="1"/>
    <col min="14865" max="14865" width="6.21875" style="2917" customWidth="1"/>
    <col min="14866" max="14867" width="7.88671875" style="2917" customWidth="1"/>
    <col min="14868" max="15104" width="9" style="2917"/>
    <col min="15105" max="15105" width="36" style="2917" customWidth="1"/>
    <col min="15106" max="15106" width="6.21875" style="2917" customWidth="1"/>
    <col min="15107" max="15107" width="11.77734375" style="2917" customWidth="1"/>
    <col min="15108" max="15108" width="4.6640625" style="2917" customWidth="1"/>
    <col min="15109" max="15109" width="36" style="2917" customWidth="1"/>
    <col min="15110" max="15110" width="9" style="2917" customWidth="1"/>
    <col min="15111" max="15111" width="17.109375" style="2917" customWidth="1"/>
    <col min="15112" max="15113" width="13.88671875" style="2917" customWidth="1"/>
    <col min="15114" max="15114" width="10.44140625" style="2917" customWidth="1"/>
    <col min="15115" max="15115" width="9" style="2917" customWidth="1"/>
    <col min="15116" max="15116" width="21.77734375" style="2917" customWidth="1"/>
    <col min="15117" max="15117" width="27.77734375" style="2917" customWidth="1"/>
    <col min="15118" max="15118" width="10.6640625" style="2917" customWidth="1"/>
    <col min="15119" max="15119" width="16" style="2917" customWidth="1"/>
    <col min="15120" max="15120" width="14.33203125" style="2917" customWidth="1"/>
    <col min="15121" max="15121" width="6.21875" style="2917" customWidth="1"/>
    <col min="15122" max="15123" width="7.88671875" style="2917" customWidth="1"/>
    <col min="15124" max="15360" width="9" style="2917"/>
    <col min="15361" max="15361" width="36" style="2917" customWidth="1"/>
    <col min="15362" max="15362" width="6.21875" style="2917" customWidth="1"/>
    <col min="15363" max="15363" width="11.77734375" style="2917" customWidth="1"/>
    <col min="15364" max="15364" width="4.6640625" style="2917" customWidth="1"/>
    <col min="15365" max="15365" width="36" style="2917" customWidth="1"/>
    <col min="15366" max="15366" width="9" style="2917" customWidth="1"/>
    <col min="15367" max="15367" width="17.109375" style="2917" customWidth="1"/>
    <col min="15368" max="15369" width="13.88671875" style="2917" customWidth="1"/>
    <col min="15370" max="15370" width="10.44140625" style="2917" customWidth="1"/>
    <col min="15371" max="15371" width="9" style="2917" customWidth="1"/>
    <col min="15372" max="15372" width="21.77734375" style="2917" customWidth="1"/>
    <col min="15373" max="15373" width="27.77734375" style="2917" customWidth="1"/>
    <col min="15374" max="15374" width="10.6640625" style="2917" customWidth="1"/>
    <col min="15375" max="15375" width="16" style="2917" customWidth="1"/>
    <col min="15376" max="15376" width="14.33203125" style="2917" customWidth="1"/>
    <col min="15377" max="15377" width="6.21875" style="2917" customWidth="1"/>
    <col min="15378" max="15379" width="7.88671875" style="2917" customWidth="1"/>
    <col min="15380" max="15616" width="9" style="2917"/>
    <col min="15617" max="15617" width="36" style="2917" customWidth="1"/>
    <col min="15618" max="15618" width="6.21875" style="2917" customWidth="1"/>
    <col min="15619" max="15619" width="11.77734375" style="2917" customWidth="1"/>
    <col min="15620" max="15620" width="4.6640625" style="2917" customWidth="1"/>
    <col min="15621" max="15621" width="36" style="2917" customWidth="1"/>
    <col min="15622" max="15622" width="9" style="2917" customWidth="1"/>
    <col min="15623" max="15623" width="17.109375" style="2917" customWidth="1"/>
    <col min="15624" max="15625" width="13.88671875" style="2917" customWidth="1"/>
    <col min="15626" max="15626" width="10.44140625" style="2917" customWidth="1"/>
    <col min="15627" max="15627" width="9" style="2917" customWidth="1"/>
    <col min="15628" max="15628" width="21.77734375" style="2917" customWidth="1"/>
    <col min="15629" max="15629" width="27.77734375" style="2917" customWidth="1"/>
    <col min="15630" max="15630" width="10.6640625" style="2917" customWidth="1"/>
    <col min="15631" max="15631" width="16" style="2917" customWidth="1"/>
    <col min="15632" max="15632" width="14.33203125" style="2917" customWidth="1"/>
    <col min="15633" max="15633" width="6.21875" style="2917" customWidth="1"/>
    <col min="15634" max="15635" width="7.88671875" style="2917" customWidth="1"/>
    <col min="15636" max="15872" width="9" style="2917"/>
    <col min="15873" max="15873" width="36" style="2917" customWidth="1"/>
    <col min="15874" max="15874" width="6.21875" style="2917" customWidth="1"/>
    <col min="15875" max="15875" width="11.77734375" style="2917" customWidth="1"/>
    <col min="15876" max="15876" width="4.6640625" style="2917" customWidth="1"/>
    <col min="15877" max="15877" width="36" style="2917" customWidth="1"/>
    <col min="15878" max="15878" width="9" style="2917" customWidth="1"/>
    <col min="15879" max="15879" width="17.109375" style="2917" customWidth="1"/>
    <col min="15880" max="15881" width="13.88671875" style="2917" customWidth="1"/>
    <col min="15882" max="15882" width="10.44140625" style="2917" customWidth="1"/>
    <col min="15883" max="15883" width="9" style="2917" customWidth="1"/>
    <col min="15884" max="15884" width="21.77734375" style="2917" customWidth="1"/>
    <col min="15885" max="15885" width="27.77734375" style="2917" customWidth="1"/>
    <col min="15886" max="15886" width="10.6640625" style="2917" customWidth="1"/>
    <col min="15887" max="15887" width="16" style="2917" customWidth="1"/>
    <col min="15888" max="15888" width="14.33203125" style="2917" customWidth="1"/>
    <col min="15889" max="15889" width="6.21875" style="2917" customWidth="1"/>
    <col min="15890" max="15891" width="7.88671875" style="2917" customWidth="1"/>
    <col min="15892" max="16128" width="9" style="2917"/>
    <col min="16129" max="16129" width="36" style="2917" customWidth="1"/>
    <col min="16130" max="16130" width="6.21875" style="2917" customWidth="1"/>
    <col min="16131" max="16131" width="11.77734375" style="2917" customWidth="1"/>
    <col min="16132" max="16132" width="4.6640625" style="2917" customWidth="1"/>
    <col min="16133" max="16133" width="36" style="2917" customWidth="1"/>
    <col min="16134" max="16134" width="9" style="2917" customWidth="1"/>
    <col min="16135" max="16135" width="17.109375" style="2917" customWidth="1"/>
    <col min="16136" max="16137" width="13.88671875" style="2917" customWidth="1"/>
    <col min="16138" max="16138" width="10.44140625" style="2917" customWidth="1"/>
    <col min="16139" max="16139" width="9" style="2917" customWidth="1"/>
    <col min="16140" max="16140" width="21.77734375" style="2917" customWidth="1"/>
    <col min="16141" max="16141" width="27.77734375" style="2917" customWidth="1"/>
    <col min="16142" max="16142" width="10.6640625" style="2917" customWidth="1"/>
    <col min="16143" max="16143" width="16" style="2917" customWidth="1"/>
    <col min="16144" max="16144" width="14.33203125" style="2917" customWidth="1"/>
    <col min="16145" max="16145" width="6.21875" style="2917" customWidth="1"/>
    <col min="16146" max="16147" width="7.88671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3" t="s">
        <v>2038</v>
      </c>
      <c r="B1" s="3183"/>
      <c r="C1" s="3183"/>
      <c r="D1" s="3183"/>
      <c r="E1" s="3183"/>
      <c r="F1" s="3183"/>
      <c r="G1" s="3183"/>
      <c r="H1" s="3183"/>
      <c r="I1" s="3183"/>
      <c r="J1" s="3183"/>
      <c r="K1" s="3183"/>
      <c r="L1" s="3183"/>
      <c r="M1" s="3183"/>
      <c r="N1" s="3183"/>
      <c r="O1" s="3183"/>
      <c r="P1" s="3183"/>
      <c r="Q1" s="3183"/>
      <c r="R1" s="3183"/>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4" t="s">
        <v>2029</v>
      </c>
      <c r="B3" s="3184" t="s">
        <v>2728</v>
      </c>
      <c r="C3" s="3185" t="s">
        <v>2030</v>
      </c>
      <c r="D3" s="3184" t="s">
        <v>2732</v>
      </c>
      <c r="E3" s="3187" t="s">
        <v>2031</v>
      </c>
      <c r="F3" s="3187"/>
      <c r="G3" s="3187"/>
      <c r="H3" s="3187" t="s">
        <v>2032</v>
      </c>
      <c r="I3" s="3187"/>
      <c r="J3" s="3187"/>
      <c r="K3" s="3185" t="s">
        <v>2033</v>
      </c>
      <c r="L3" s="3185" t="s">
        <v>2034</v>
      </c>
      <c r="M3" s="3184" t="s">
        <v>2729</v>
      </c>
      <c r="N3" s="3186" t="str">
        <f>"（分摊）"&amp;项目基本情况!B16&amp;"国有建设用地使用权面积/㎡"</f>
        <v>（分摊）出让国有建设用地使用权面积/㎡</v>
      </c>
      <c r="O3" s="3184" t="s">
        <v>2063</v>
      </c>
      <c r="P3" s="3185" t="s">
        <v>2043</v>
      </c>
      <c r="Q3" s="3185" t="s">
        <v>2064</v>
      </c>
      <c r="R3" s="3185" t="s">
        <v>2035</v>
      </c>
    </row>
    <row r="4" spans="1:18" ht="36.75" customHeight="1">
      <c r="A4" s="3184"/>
      <c r="B4" s="3184"/>
      <c r="C4" s="3185"/>
      <c r="D4" s="3184"/>
      <c r="E4" s="2628" t="s">
        <v>2042</v>
      </c>
      <c r="F4" s="2628" t="s">
        <v>2741</v>
      </c>
      <c r="G4" s="2628" t="s">
        <v>2036</v>
      </c>
      <c r="H4" s="2628" t="s">
        <v>2037</v>
      </c>
      <c r="I4" s="2628" t="s">
        <v>2742</v>
      </c>
      <c r="J4" s="2628" t="s">
        <v>2036</v>
      </c>
      <c r="K4" s="3185"/>
      <c r="L4" s="3185"/>
      <c r="M4" s="3184"/>
      <c r="N4" s="3186"/>
      <c r="O4" s="3184"/>
      <c r="P4" s="3185"/>
      <c r="Q4" s="3185"/>
      <c r="R4" s="3185"/>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18033</v>
      </c>
      <c r="Q5" s="1811">
        <f ca="1">结果表!D42</f>
        <v>7514</v>
      </c>
      <c r="R5" s="1812">
        <f ca="1">结果表!C42</f>
        <v>24997</v>
      </c>
    </row>
    <row r="6" spans="1:18">
      <c r="A6" s="3188" t="str">
        <f>IF(项目基本情况!B9="市场价格","——","抵押价格")</f>
        <v>——</v>
      </c>
      <c r="B6" s="3189"/>
      <c r="C6" s="3189"/>
      <c r="D6" s="3189"/>
      <c r="E6" s="3189"/>
      <c r="F6" s="3189"/>
      <c r="G6" s="3189"/>
      <c r="H6" s="3189"/>
      <c r="I6" s="3189"/>
      <c r="J6" s="3189"/>
      <c r="K6" s="3189"/>
      <c r="L6" s="3189"/>
      <c r="M6" s="3189"/>
      <c r="N6" s="3189"/>
      <c r="O6" s="3189"/>
      <c r="P6" s="3189"/>
      <c r="Q6" s="3190"/>
      <c r="R6" s="1813" t="str">
        <f>结果表!O39</f>
        <v>——</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3"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192" t="s">
        <v>2065</v>
      </c>
      <c r="B1" s="3192"/>
      <c r="C1" s="3192"/>
      <c r="D1" s="3192"/>
    </row>
    <row r="2" spans="1:4" ht="47.25" customHeight="1">
      <c r="A2" s="3193" t="str">
        <f>"1.权利限制："&amp;项目基本情况!L24&amp;"未设定租赁等其他他项权利。"</f>
        <v>1.权利限制：根据估价对象、《国有土地使用权》原件，截至估价期日，估价对象抵押权未见登记。未设定租赁等其他他项权利。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2066</v>
      </c>
      <c r="B5" s="3191"/>
      <c r="C5" s="3191"/>
      <c r="D5" s="3191"/>
    </row>
    <row r="6" spans="1:4">
      <c r="A6" s="3192" t="s">
        <v>2044</v>
      </c>
      <c r="B6" s="3192"/>
      <c r="C6" s="3192"/>
      <c r="D6" s="3192"/>
    </row>
    <row r="7" spans="1:4" ht="33" customHeight="1">
      <c r="A7" s="3192" t="s">
        <v>2572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1" t="s">
        <v>2068</v>
      </c>
      <c r="B12" s="3191"/>
      <c r="C12" s="3191"/>
      <c r="D12" s="3191"/>
    </row>
    <row r="13" spans="1:4">
      <c r="A13" s="3195" t="s">
        <v>2743</v>
      </c>
      <c r="B13" s="3195"/>
      <c r="C13" s="3195"/>
      <c r="D13" s="3195"/>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2699</v>
      </c>
      <c r="B17" s="3192"/>
      <c r="C17" s="3192"/>
      <c r="D17" s="3192"/>
    </row>
    <row r="18" spans="1:4">
      <c r="A18" s="3192" t="s">
        <v>2691</v>
      </c>
      <c r="B18" s="3192"/>
      <c r="C18" s="3192"/>
      <c r="D18" s="3192"/>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92" t="s">
        <v>2696</v>
      </c>
      <c r="B23" s="3192"/>
      <c r="C23" s="3192"/>
      <c r="D23" s="3192"/>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03" t="s">
        <v>53</v>
      </c>
      <c r="B15" s="3204" t="s">
        <v>845</v>
      </c>
      <c r="C15" s="3200"/>
    </row>
    <row r="16" spans="1:7" ht="14.4">
      <c r="A16" s="3203"/>
      <c r="B16" s="3201" t="s">
        <v>54</v>
      </c>
      <c r="C16" s="1172" t="s">
        <v>53</v>
      </c>
    </row>
    <row r="17" spans="1:3" ht="14.4">
      <c r="A17" s="3203"/>
      <c r="B17" s="3201"/>
      <c r="C17" s="1172" t="s">
        <v>55</v>
      </c>
    </row>
    <row r="18" spans="1:3" ht="14.4">
      <c r="A18" s="3203"/>
      <c r="B18" s="3201"/>
      <c r="C18" s="1172" t="s">
        <v>56</v>
      </c>
    </row>
    <row r="19" spans="1:3" ht="14.4">
      <c r="A19" s="3203"/>
      <c r="B19" s="3199" t="s">
        <v>57</v>
      </c>
      <c r="C19" s="3200"/>
    </row>
    <row r="20" spans="1:3" ht="14.4">
      <c r="A20" s="1173" t="s">
        <v>58</v>
      </c>
      <c r="B20" s="1174"/>
      <c r="C20" s="1175"/>
    </row>
    <row r="21" spans="1:3" ht="14.4">
      <c r="A21" s="3202" t="s">
        <v>59</v>
      </c>
      <c r="B21" s="3199" t="s">
        <v>60</v>
      </c>
      <c r="C21" s="3200"/>
    </row>
    <row r="22" spans="1:3" ht="14.4">
      <c r="A22" s="3202"/>
      <c r="B22" s="3199" t="s">
        <v>61</v>
      </c>
      <c r="C22" s="3200"/>
    </row>
    <row r="23" spans="1:3" ht="14.4">
      <c r="A23" s="3202"/>
      <c r="B23" s="3199" t="s">
        <v>62</v>
      </c>
      <c r="C23" s="3200"/>
    </row>
    <row r="24" spans="1:3" ht="14.4">
      <c r="A24" s="3202"/>
      <c r="B24" s="3205" t="s">
        <v>63</v>
      </c>
      <c r="C24" s="1176" t="s">
        <v>836</v>
      </c>
    </row>
    <row r="25" spans="1:3" ht="14.4">
      <c r="A25" s="3202"/>
      <c r="B25" s="3206"/>
      <c r="C25" s="1176" t="s">
        <v>837</v>
      </c>
    </row>
    <row r="26" spans="1:3" ht="14.4">
      <c r="A26" s="3202"/>
      <c r="B26" s="3206"/>
      <c r="C26" s="1176" t="s">
        <v>838</v>
      </c>
    </row>
    <row r="27" spans="1:3" ht="14.4">
      <c r="A27" s="3202"/>
      <c r="B27" s="3206"/>
      <c r="C27" s="1176" t="s">
        <v>839</v>
      </c>
    </row>
    <row r="28" spans="1:3" ht="14.4">
      <c r="A28" s="3202"/>
      <c r="B28" s="3206"/>
      <c r="C28" s="1176" t="s">
        <v>840</v>
      </c>
    </row>
    <row r="29" spans="1:3" ht="14.4">
      <c r="A29" s="3202"/>
      <c r="B29" s="3206"/>
      <c r="C29" s="1176" t="s">
        <v>841</v>
      </c>
    </row>
    <row r="30" spans="1:3" ht="14.4">
      <c r="A30" s="3202"/>
      <c r="B30" s="3206"/>
      <c r="C30" s="1176" t="s">
        <v>842</v>
      </c>
    </row>
    <row r="31" spans="1:3" ht="14.4">
      <c r="A31" s="3202"/>
      <c r="B31" s="3206"/>
      <c r="C31" s="1176" t="s">
        <v>843</v>
      </c>
    </row>
    <row r="32" spans="1:3" ht="14.4">
      <c r="A32" s="3202"/>
      <c r="B32" s="3206"/>
      <c r="C32" s="1176" t="s">
        <v>1646</v>
      </c>
    </row>
    <row r="33" spans="1:3" ht="14.4">
      <c r="A33" s="3202"/>
      <c r="B33" s="3196" t="s">
        <v>1652</v>
      </c>
      <c r="C33" s="1176" t="s">
        <v>1647</v>
      </c>
    </row>
    <row r="34" spans="1:3" ht="14.4">
      <c r="A34" s="3202"/>
      <c r="B34" s="3197"/>
      <c r="C34" s="1181" t="s">
        <v>1648</v>
      </c>
    </row>
    <row r="35" spans="1:3" ht="14.4">
      <c r="A35" s="3202"/>
      <c r="B35" s="3197"/>
      <c r="C35" s="1182" t="s">
        <v>1649</v>
      </c>
    </row>
    <row r="36" spans="1:3" ht="14.4">
      <c r="A36" s="3202"/>
      <c r="B36" s="3197"/>
      <c r="C36" s="1182" t="s">
        <v>1650</v>
      </c>
    </row>
    <row r="37" spans="1:3" ht="14.4">
      <c r="A37" s="3202"/>
      <c r="B37" s="3198"/>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54" customWidth="1"/>
    <col min="2" max="5" width="22.6640625" style="3154"/>
    <col min="6" max="6" width="25.6640625" style="3154" customWidth="1"/>
    <col min="7" max="16384" width="22.6640625" style="3154"/>
  </cols>
  <sheetData>
    <row r="2" spans="1:6" ht="20.25" customHeight="1">
      <c r="A2" s="3151" t="s">
        <v>1907</v>
      </c>
      <c r="B2" s="3152">
        <f ca="1">TODAY()</f>
        <v>43494</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ht="14.4">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52" t="s">
        <v>1714</v>
      </c>
      <c r="F7" s="9" t="s">
        <v>154</v>
      </c>
      <c r="H7" s="9" t="s">
        <v>104</v>
      </c>
      <c r="I7" s="9" t="s">
        <v>105</v>
      </c>
    </row>
    <row r="8" spans="1:23" ht="14.4">
      <c r="A8" s="8" t="s">
        <v>106</v>
      </c>
      <c r="B8" s="8" t="s">
        <v>107</v>
      </c>
      <c r="C8" s="1552" t="s">
        <v>1715</v>
      </c>
      <c r="F8" s="9" t="s">
        <v>155</v>
      </c>
      <c r="H8" s="9"/>
      <c r="I8" s="9" t="s">
        <v>108</v>
      </c>
    </row>
    <row r="9" spans="1:23" ht="14.4">
      <c r="A9" s="8" t="s">
        <v>109</v>
      </c>
      <c r="B9" s="8" t="s">
        <v>156</v>
      </c>
      <c r="C9" s="1552" t="s">
        <v>1716</v>
      </c>
      <c r="F9" s="9" t="s">
        <v>110</v>
      </c>
      <c r="H9" s="9"/>
    </row>
    <row r="10" spans="1:23" ht="14.4">
      <c r="A10" s="8" t="s">
        <v>111</v>
      </c>
      <c r="B10" s="8" t="s">
        <v>157</v>
      </c>
      <c r="C10" s="1552" t="s">
        <v>1717</v>
      </c>
      <c r="F10" s="9" t="s">
        <v>6</v>
      </c>
    </row>
    <row r="11" spans="1:23" ht="14.4">
      <c r="A11" s="8" t="s">
        <v>112</v>
      </c>
      <c r="B11" s="8" t="s">
        <v>158</v>
      </c>
      <c r="C11" s="1552" t="s">
        <v>1718</v>
      </c>
    </row>
    <row r="12" spans="1:23" ht="14.4">
      <c r="A12" s="8" t="s">
        <v>113</v>
      </c>
      <c r="B12" s="8" t="s">
        <v>159</v>
      </c>
      <c r="C12" s="1552" t="s">
        <v>1719</v>
      </c>
    </row>
    <row r="13" spans="1:23" ht="14.4">
      <c r="A13" s="8" t="s">
        <v>114</v>
      </c>
      <c r="B13" s="8" t="s">
        <v>160</v>
      </c>
      <c r="C13" s="1552" t="s">
        <v>1720</v>
      </c>
    </row>
    <row r="14" spans="1:23" ht="14.4">
      <c r="A14" s="8" t="s">
        <v>115</v>
      </c>
      <c r="B14" s="8" t="s">
        <v>161</v>
      </c>
      <c r="C14" s="1555" t="s">
        <v>1896</v>
      </c>
    </row>
    <row r="15" spans="1:23" ht="14.4">
      <c r="A15" s="8" t="s">
        <v>116</v>
      </c>
      <c r="B15" s="8" t="s">
        <v>1681</v>
      </c>
      <c r="C15" s="1555"/>
    </row>
    <row r="16" spans="1:23" ht="14.4">
      <c r="A16" s="8" t="s">
        <v>117</v>
      </c>
      <c r="B16" s="8" t="s">
        <v>1682</v>
      </c>
      <c r="C16" s="1555"/>
    </row>
    <row r="17" spans="1:3" ht="14.4">
      <c r="A17" s="8" t="s">
        <v>118</v>
      </c>
      <c r="B17" s="8" t="s">
        <v>1683</v>
      </c>
      <c r="C17" s="1555"/>
    </row>
    <row r="18" spans="1:3" ht="14.4">
      <c r="A18" s="8" t="s">
        <v>119</v>
      </c>
      <c r="B18" s="3088" t="s">
        <v>2954</v>
      </c>
      <c r="C18" s="1555"/>
    </row>
    <row r="19" spans="1:3" ht="14.4">
      <c r="A19" s="8" t="s">
        <v>120</v>
      </c>
      <c r="B19" s="3088" t="s">
        <v>2962</v>
      </c>
      <c r="C19" s="1555"/>
    </row>
    <row r="20" spans="1:3" ht="14.4">
      <c r="A20" s="8" t="s">
        <v>121</v>
      </c>
      <c r="B20" s="8" t="s">
        <v>1641</v>
      </c>
      <c r="C20" s="1555"/>
    </row>
    <row r="21" spans="1:3" ht="14.4">
      <c r="A21" s="8" t="s">
        <v>122</v>
      </c>
      <c r="B21" s="8" t="s">
        <v>1641</v>
      </c>
      <c r="C21" s="1555"/>
    </row>
    <row r="22" spans="1:3" ht="14.4">
      <c r="A22" s="8" t="s">
        <v>123</v>
      </c>
      <c r="B22" s="8" t="s">
        <v>1641</v>
      </c>
      <c r="C22" s="1555"/>
    </row>
    <row r="23" spans="1:3" ht="14.4">
      <c r="A23" s="8" t="s">
        <v>124</v>
      </c>
      <c r="B23" s="8" t="s">
        <v>1641</v>
      </c>
      <c r="C23" s="1555"/>
    </row>
    <row r="24" spans="1:3">
      <c r="A24" s="8" t="s">
        <v>12</v>
      </c>
      <c r="B24" s="8" t="s">
        <v>1641</v>
      </c>
      <c r="C24" s="1555"/>
    </row>
    <row r="25" spans="1:3" ht="14.4">
      <c r="A25" s="8" t="s">
        <v>125</v>
      </c>
      <c r="B25" s="8" t="s">
        <v>1641</v>
      </c>
      <c r="C25" s="1555"/>
    </row>
    <row r="26" spans="1:3" ht="14.4">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09"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09"/>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2019-01-29T06:13:00Z</dcterms:modified>
</cp:coreProperties>
</file>