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AL13" i="3" l="1"/>
  <c r="B28" i="1"/>
  <c r="B3" i="4"/>
  <c r="I40" i="39" l="1"/>
  <c r="G40" i="39"/>
  <c r="E40" i="39"/>
  <c r="I48" i="39"/>
  <c r="G48" i="39"/>
  <c r="E48" i="39"/>
  <c r="G9" i="39"/>
  <c r="E9" i="39"/>
  <c r="I9" i="39"/>
  <c r="I7" i="39"/>
  <c r="G7" i="39"/>
  <c r="E7" i="39"/>
  <c r="C19" i="6"/>
  <c r="I13" i="3"/>
  <c r="F19" i="6"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B67" i="63" s="1"/>
  <c r="A15" i="55"/>
  <c r="B66" i="63" s="1"/>
  <c r="A14" i="55"/>
  <c r="A11" i="55"/>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61" i="63"/>
  <c r="B60" i="63"/>
  <c r="B59" i="63"/>
  <c r="B10" i="63"/>
  <c r="B51" i="10"/>
  <c r="B17" i="63"/>
  <c r="A15" i="51"/>
  <c r="B12" i="63" s="1"/>
  <c r="A14" i="51"/>
  <c r="B11" i="63" s="1"/>
  <c r="A4" i="55"/>
  <c r="B57" i="63"/>
  <c r="G5" i="54"/>
  <c r="B34" i="63"/>
  <c r="E5" i="54"/>
  <c r="B32" i="63"/>
  <c r="R2" i="54"/>
  <c r="B24" i="63"/>
  <c r="B49" i="50"/>
  <c r="B5" i="63" s="1"/>
  <c r="B40" i="50"/>
  <c r="B3" i="63" s="1"/>
  <c r="I19" i="46"/>
  <c r="Q13" i="59"/>
  <c r="AB3" i="59" s="1"/>
  <c r="P13" i="59"/>
  <c r="E13" i="59" s="1"/>
  <c r="U13" i="59" s="1"/>
  <c r="O13" i="59"/>
  <c r="N13" i="59"/>
  <c r="B13" i="59" s="1"/>
  <c r="D74" i="59"/>
  <c r="F73" i="59"/>
  <c r="E73" i="59"/>
  <c r="E72" i="59" s="1"/>
  <c r="E71" i="59" s="1"/>
  <c r="C73" i="59"/>
  <c r="D73" i="59"/>
  <c r="B73" i="59"/>
  <c r="F72" i="59"/>
  <c r="F71" i="59" s="1"/>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C28" i="59" s="1"/>
  <c r="N27" i="59"/>
  <c r="Q26" i="59"/>
  <c r="F27" i="59" s="1"/>
  <c r="F28" i="59" s="1"/>
  <c r="P26" i="59"/>
  <c r="E27" i="59" s="1"/>
  <c r="E28" i="59"/>
  <c r="E29" i="59" s="1"/>
  <c r="U29" i="59" s="1"/>
  <c r="O26" i="59"/>
  <c r="C27" i="59"/>
  <c r="D27" i="59" s="1"/>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C19" i="59"/>
  <c r="C20" i="59" s="1"/>
  <c r="D20" i="59" s="1"/>
  <c r="N18" i="59"/>
  <c r="B19" i="59"/>
  <c r="B20" i="59" s="1"/>
  <c r="B21" i="59" s="1"/>
  <c r="S21" i="59" s="1"/>
  <c r="D18" i="59"/>
  <c r="Q17" i="59"/>
  <c r="AB17" i="59" s="1"/>
  <c r="P17" i="59"/>
  <c r="AA17" i="59" s="1"/>
  <c r="O17" i="59"/>
  <c r="N17" i="59"/>
  <c r="X17" i="59" s="1"/>
  <c r="Q16" i="59"/>
  <c r="P16" i="59"/>
  <c r="AA16" i="59" s="1"/>
  <c r="O16" i="59"/>
  <c r="N16" i="59"/>
  <c r="X16" i="59" s="1"/>
  <c r="Q15" i="59"/>
  <c r="AB15" i="59" s="1"/>
  <c r="P15" i="59"/>
  <c r="AA3" i="59" s="1"/>
  <c r="O15" i="59"/>
  <c r="N15" i="59"/>
  <c r="X15" i="59" s="1"/>
  <c r="Q14" i="59"/>
  <c r="F15" i="59"/>
  <c r="F16" i="59" s="1"/>
  <c r="F17" i="59" s="1"/>
  <c r="V17" i="59" s="1"/>
  <c r="P14" i="59"/>
  <c r="O14" i="59"/>
  <c r="N14" i="59"/>
  <c r="D14" i="59"/>
  <c r="X12" i="59"/>
  <c r="AA11" i="59"/>
  <c r="AB11" i="59"/>
  <c r="E15" i="59"/>
  <c r="E16" i="59"/>
  <c r="E17" i="59" s="1"/>
  <c r="U17" i="59" s="1"/>
  <c r="B37" i="59"/>
  <c r="S37" i="59" s="1"/>
  <c r="Z23" i="59"/>
  <c r="AA24" i="59"/>
  <c r="F24" i="59"/>
  <c r="F25" i="59" s="1"/>
  <c r="V25" i="59" s="1"/>
  <c r="F29" i="59"/>
  <c r="V29" i="59" s="1"/>
  <c r="F32" i="59"/>
  <c r="F33" i="59" s="1"/>
  <c r="V33" i="59"/>
  <c r="F41" i="59"/>
  <c r="V41" i="59" s="1"/>
  <c r="F44" i="59"/>
  <c r="F45" i="59" s="1"/>
  <c r="V45" i="59" s="1"/>
  <c r="F49" i="59"/>
  <c r="V49" i="59" s="1"/>
  <c r="C32" i="59"/>
  <c r="D32" i="59" s="1"/>
  <c r="D31" i="59"/>
  <c r="D35" i="59"/>
  <c r="D43" i="59"/>
  <c r="D19" i="59"/>
  <c r="T53" i="59"/>
  <c r="O53" i="59"/>
  <c r="D53" i="59"/>
  <c r="C52" i="59"/>
  <c r="O52" i="59" s="1"/>
  <c r="U53" i="59"/>
  <c r="C56" i="59"/>
  <c r="C55" i="59" s="1"/>
  <c r="E56" i="59"/>
  <c r="E55" i="59"/>
  <c r="D57" i="59"/>
  <c r="C60" i="59"/>
  <c r="D60" i="59" s="1"/>
  <c r="C64" i="59"/>
  <c r="D64" i="59" s="1"/>
  <c r="E64" i="59"/>
  <c r="E63" i="59"/>
  <c r="D65" i="59"/>
  <c r="C68" i="59"/>
  <c r="C67" i="59" s="1"/>
  <c r="D67" i="59" s="1"/>
  <c r="C72" i="59"/>
  <c r="U16" i="4"/>
  <c r="S16" i="4"/>
  <c r="Q16" i="4"/>
  <c r="O16" i="4"/>
  <c r="M16" i="4"/>
  <c r="L16" i="4" s="1"/>
  <c r="K16" i="4"/>
  <c r="D72" i="59"/>
  <c r="C71" i="59"/>
  <c r="D71" i="59"/>
  <c r="C63" i="59"/>
  <c r="D63" i="59" s="1"/>
  <c r="D55" i="59"/>
  <c r="D68" i="59"/>
  <c r="C59" i="59"/>
  <c r="D59" i="59" s="1"/>
  <c r="C21" i="59"/>
  <c r="D21" i="59" s="1"/>
  <c r="D44" i="59"/>
  <c r="C37" i="59"/>
  <c r="D37" i="59" s="1"/>
  <c r="N16" i="4"/>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G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J26" i="21"/>
  <c r="W26" i="21"/>
  <c r="F26" i="21"/>
  <c r="AA26" i="21"/>
  <c r="AB41" i="21"/>
  <c r="S41" i="21"/>
  <c r="W41" i="21"/>
  <c r="S10" i="39"/>
  <c r="U30"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S8" i="21"/>
  <c r="W8" i="21"/>
  <c r="H39" i="37"/>
  <c r="AB39" i="37"/>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G86" i="40"/>
  <c r="AC34" i="36"/>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U30" i="33"/>
  <c r="J36" i="37"/>
  <c r="AC36" i="37" s="1"/>
  <c r="G105" i="37"/>
  <c r="AB28" i="36"/>
  <c r="AB31" i="21"/>
  <c r="AB30" i="21"/>
  <c r="AA28" i="21"/>
  <c r="W14" i="21"/>
  <c r="W42"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BL535" i="3"/>
  <c r="BL527" i="3"/>
  <c r="BL519" i="3"/>
  <c r="BL511" i="3"/>
  <c r="BL501" i="3"/>
  <c r="BL491" i="3"/>
  <c r="BL483" i="3"/>
  <c r="G16" i="3"/>
  <c r="BL559" i="3"/>
  <c r="BL555" i="3"/>
  <c r="AZ555" i="3" s="1"/>
  <c r="BL551" i="3"/>
  <c r="BL541" i="3"/>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AZ541" i="3"/>
  <c r="BA531" i="3"/>
  <c r="BA521" i="3"/>
  <c r="AZ521" i="3" s="1"/>
  <c r="BA509" i="3"/>
  <c r="BA505" i="3"/>
  <c r="BA501" i="3"/>
  <c r="BA493" i="3"/>
  <c r="BA487" i="3"/>
  <c r="BA19" i="3"/>
  <c r="BA572" i="3"/>
  <c r="AZ572" i="3" s="1"/>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c r="BA20"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c r="AZ534" i="3" s="1"/>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BQ494" i="3"/>
  <c r="BL493" i="3"/>
  <c r="G492" i="3"/>
  <c r="G488" i="3"/>
  <c r="G484" i="3"/>
  <c r="G20" i="3"/>
  <c r="BQ492" i="3"/>
  <c r="BL492" i="3"/>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12" i="35"/>
  <c r="W23" i="35"/>
  <c r="AC23" i="37"/>
  <c r="U39" i="37"/>
  <c r="AC8" i="37"/>
  <c r="S25" i="37"/>
  <c r="AC36" i="34"/>
  <c r="AB8" i="34"/>
  <c r="AA13" i="33"/>
  <c r="AC45" i="33"/>
  <c r="U19" i="21"/>
  <c r="AA36" i="21"/>
  <c r="S39" i="33"/>
  <c r="F43" i="33"/>
  <c r="AA43" i="33" s="1"/>
  <c r="AA23"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U43" i="21"/>
  <c r="AA13" i="40"/>
  <c r="E78" i="40"/>
  <c r="F78" i="40" s="1"/>
  <c r="G78" i="40"/>
  <c r="H78" i="40" s="1"/>
  <c r="I78" i="40" s="1"/>
  <c r="J78" i="40" s="1"/>
  <c r="K78" i="40" s="1"/>
  <c r="L78" i="40" s="1"/>
  <c r="M78" i="40" s="1"/>
  <c r="R16" i="4"/>
  <c r="K17" i="4" s="1"/>
  <c r="P16" i="4"/>
  <c r="D3" i="35"/>
  <c r="G4" i="4"/>
  <c r="S37" i="34"/>
  <c r="J16" i="35"/>
  <c r="W16" i="35"/>
  <c r="U42" i="21"/>
  <c r="AC26" i="36"/>
  <c r="AZ322" i="3"/>
  <c r="H13" i="39"/>
  <c r="AB13" i="39" s="1"/>
  <c r="F13" i="39"/>
  <c r="S13" i="39" s="1"/>
  <c r="J13" i="39"/>
  <c r="AC13" i="39" s="1"/>
  <c r="AA36" i="35"/>
  <c r="H11" i="37"/>
  <c r="AB11" i="37"/>
  <c r="AA30" i="33"/>
  <c r="AB17" i="37"/>
  <c r="AZ524" i="3"/>
  <c r="AZ546" i="3"/>
  <c r="AA45" i="33"/>
  <c r="AC10" i="36"/>
  <c r="AC14" i="37"/>
  <c r="S25" i="35"/>
  <c r="AC30" i="33"/>
  <c r="W30" i="33"/>
  <c r="AC29" i="37"/>
  <c r="W32" i="36"/>
  <c r="AC32" i="36"/>
  <c r="J33" i="34"/>
  <c r="AC33"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AA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S43" i="39" s="1"/>
  <c r="H43" i="39"/>
  <c r="U43" i="39"/>
  <c r="J43" i="39"/>
  <c r="F99" i="37"/>
  <c r="G99" i="37" s="1"/>
  <c r="H99" i="37" s="1"/>
  <c r="I99" i="37" s="1"/>
  <c r="J99" i="37" s="1"/>
  <c r="K99" i="37" s="1"/>
  <c r="L99" i="37" s="1"/>
  <c r="M99" i="37" s="1"/>
  <c r="U31" i="34"/>
  <c r="W40" i="37"/>
  <c r="AC45" i="21"/>
  <c r="S28" i="33"/>
  <c r="S14" i="21"/>
  <c r="AB29" i="35"/>
  <c r="AC19" i="33"/>
  <c r="W19" i="33"/>
  <c r="U43" i="34"/>
  <c r="AB43" i="34"/>
  <c r="AC34" i="37"/>
  <c r="AA35" i="37"/>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BA553" i="3"/>
  <c r="AZ553" i="3" s="1"/>
  <c r="BA552" i="3"/>
  <c r="BL549" i="3"/>
  <c r="BA549" i="3"/>
  <c r="BL548" i="3"/>
  <c r="AZ548" i="3" s="1"/>
  <c r="BA548" i="3"/>
  <c r="BL547" i="3"/>
  <c r="BA547" i="3"/>
  <c r="BL539" i="3"/>
  <c r="BA539" i="3"/>
  <c r="AZ539" i="3"/>
  <c r="BA538" i="3"/>
  <c r="AZ538" i="3"/>
  <c r="BL537" i="3"/>
  <c r="BA537" i="3"/>
  <c r="AZ537" i="3" s="1"/>
  <c r="BA535" i="3"/>
  <c r="AZ535" i="3"/>
  <c r="BA534" i="3"/>
  <c r="BA533" i="3"/>
  <c r="AZ533" i="3"/>
  <c r="BL531" i="3"/>
  <c r="AZ531" i="3"/>
  <c r="BL530" i="3"/>
  <c r="BA530" i="3"/>
  <c r="BL529" i="3"/>
  <c r="BA529" i="3"/>
  <c r="AZ528" i="3"/>
  <c r="BA527" i="3"/>
  <c r="AZ527" i="3"/>
  <c r="BA526" i="3"/>
  <c r="AZ526" i="3"/>
  <c r="BA525" i="3"/>
  <c r="AZ525" i="3"/>
  <c r="BL523" i="3"/>
  <c r="BA523" i="3"/>
  <c r="AZ523" i="3" s="1"/>
  <c r="BL522" i="3"/>
  <c r="BA522" i="3"/>
  <c r="AZ522" i="3"/>
  <c r="BL521" i="3"/>
  <c r="BA519" i="3"/>
  <c r="AZ519" i="3"/>
  <c r="BA518" i="3"/>
  <c r="AZ518" i="3" s="1"/>
  <c r="BL517" i="3"/>
  <c r="BA517" i="3"/>
  <c r="AZ517" i="3"/>
  <c r="BL515" i="3"/>
  <c r="BA515" i="3"/>
  <c r="BA514" i="3"/>
  <c r="AZ514" i="3"/>
  <c r="BL513" i="3"/>
  <c r="BA513" i="3"/>
  <c r="AZ513" i="3" s="1"/>
  <c r="BL512" i="3"/>
  <c r="AZ512" i="3" s="1"/>
  <c r="BA511" i="3"/>
  <c r="BA510" i="3"/>
  <c r="AZ510" i="3" s="1"/>
  <c r="BL509" i="3"/>
  <c r="AZ509" i="3" s="1"/>
  <c r="BL507" i="3"/>
  <c r="BA507" i="3"/>
  <c r="AZ507" i="3"/>
  <c r="BA506" i="3"/>
  <c r="BL505" i="3"/>
  <c r="BL504" i="3"/>
  <c r="BA504" i="3"/>
  <c r="BA503" i="3"/>
  <c r="BA500" i="3"/>
  <c r="AZ500" i="3" s="1"/>
  <c r="BL499" i="3"/>
  <c r="BA499" i="3"/>
  <c r="AZ499" i="3"/>
  <c r="AZ498" i="3"/>
  <c r="BL497" i="3"/>
  <c r="BA497" i="3"/>
  <c r="BL496" i="3"/>
  <c r="BA496" i="3"/>
  <c r="AZ496" i="3" s="1"/>
  <c r="BA495" i="3"/>
  <c r="AZ495" i="3" s="1"/>
  <c r="BL494" i="3"/>
  <c r="BA494" i="3"/>
  <c r="AZ494" i="3"/>
  <c r="BA491" i="3"/>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2" i="9"/>
  <c r="W35" i="40"/>
  <c r="AB32" i="40"/>
  <c r="AC47" i="39"/>
  <c r="S47" i="39"/>
  <c r="AB25" i="39"/>
  <c r="U37" i="34"/>
  <c r="AC41" i="40"/>
  <c r="W41" i="40"/>
  <c r="U41" i="40"/>
  <c r="J23" i="40"/>
  <c r="AC23" i="40"/>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21" i="39"/>
  <c r="U21" i="39"/>
  <c r="AB17" i="39"/>
  <c r="AB33" i="36"/>
  <c r="AA11" i="36"/>
  <c r="S14" i="35"/>
  <c r="F33" i="37"/>
  <c r="S33" i="37" s="1"/>
  <c r="AB19" i="39"/>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29" i="12"/>
  <c r="F31" i="43"/>
  <c r="S23" i="36"/>
  <c r="S8" i="36"/>
  <c r="AA26" i="36"/>
  <c r="AA28" i="36"/>
  <c r="U25" i="36"/>
  <c r="H20" i="36"/>
  <c r="U20" i="36"/>
  <c r="F68" i="36"/>
  <c r="G68" i="36"/>
  <c r="J20" i="36"/>
  <c r="AC20" i="36"/>
  <c r="F20" i="36"/>
  <c r="S20" i="36"/>
  <c r="F62" i="36"/>
  <c r="G62" i="36"/>
  <c r="J14" i="36"/>
  <c r="H14" i="36"/>
  <c r="U14" i="36" s="1"/>
  <c r="F14" i="36"/>
  <c r="AA14" i="36"/>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39" i="21"/>
  <c r="AC34" i="21"/>
  <c r="W32" i="21"/>
  <c r="U35" i="21"/>
  <c r="W43" i="21"/>
  <c r="AA37" i="21"/>
  <c r="S42"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AC44" i="39"/>
  <c r="W13" i="39"/>
  <c r="S11" i="39"/>
  <c r="AB45" i="39"/>
  <c r="AA21" i="39"/>
  <c r="AC19" i="39"/>
  <c r="AC38" i="39"/>
  <c r="S29" i="39"/>
  <c r="AC17" i="39"/>
  <c r="S14" i="39"/>
  <c r="AB15" i="39"/>
  <c r="U11" i="39"/>
  <c r="U41" i="39"/>
  <c r="U23" i="39"/>
  <c r="AB38" i="39"/>
  <c r="U31" i="39"/>
  <c r="AB31" i="39"/>
  <c r="S25" i="39"/>
  <c r="S38" i="39"/>
  <c r="D18" i="9"/>
  <c r="M44" i="9" s="1"/>
  <c r="M43" i="9"/>
  <c r="M20" i="15"/>
  <c r="D96" i="9"/>
  <c r="M18" i="15"/>
  <c r="A18" i="64"/>
  <c r="B74" i="63"/>
  <c r="C53" i="10"/>
  <c r="A25" i="64" s="1"/>
  <c r="A18" i="51"/>
  <c r="B14" i="63"/>
  <c r="BA16" i="3"/>
  <c r="BA17" i="3"/>
  <c r="AZ17" i="3" s="1"/>
  <c r="F3" i="35"/>
  <c r="K1" i="43"/>
  <c r="K1" i="12"/>
  <c r="G1" i="44"/>
  <c r="AZ15" i="3"/>
  <c r="BK5" i="3"/>
  <c r="BO5" i="3"/>
  <c r="BP5" i="3"/>
  <c r="G29" i="6" s="1"/>
  <c r="BN5" i="3"/>
  <c r="BL18" i="3"/>
  <c r="AZ18" i="3" s="1"/>
  <c r="BC5" i="3"/>
  <c r="E8" i="6"/>
  <c r="E53" i="40" s="1"/>
  <c r="BD5" i="3"/>
  <c r="BR5" i="3"/>
  <c r="G28" i="6" s="1"/>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A22" i="51"/>
  <c r="B16" i="63" s="1"/>
  <c r="H77" i="46"/>
  <c r="H73" i="46"/>
  <c r="H69" i="46"/>
  <c r="H74" i="46"/>
  <c r="H86" i="46"/>
  <c r="H82" i="46"/>
  <c r="H63" i="46"/>
  <c r="H64" i="46"/>
  <c r="H10" i="48"/>
  <c r="H87" i="46"/>
  <c r="H85" i="46"/>
  <c r="H83" i="46"/>
  <c r="O13" i="1"/>
  <c r="P13" i="1" s="1"/>
  <c r="K10" i="1"/>
  <c r="M10" i="1" s="1"/>
  <c r="S11" i="1"/>
  <c r="R11" i="1"/>
  <c r="S13" i="1"/>
  <c r="R13" i="1"/>
  <c r="B6" i="1"/>
  <c r="E6" i="1" s="1"/>
  <c r="B10" i="1"/>
  <c r="E10" i="1" s="1"/>
  <c r="S10" i="1"/>
  <c r="B8" i="1"/>
  <c r="E8" i="1"/>
  <c r="B12" i="1"/>
  <c r="E12" i="1"/>
  <c r="S12" i="1"/>
  <c r="K6" i="1"/>
  <c r="M6" i="1" s="1"/>
  <c r="O12" i="1"/>
  <c r="P12" i="1" s="1"/>
  <c r="G1" i="15"/>
  <c r="F66" i="36"/>
  <c r="H18" i="36"/>
  <c r="U16" i="36"/>
  <c r="S25" i="36"/>
  <c r="AA34" i="36"/>
  <c r="U23"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C37" i="21"/>
  <c r="AA29" i="21"/>
  <c r="W31"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W31" i="39"/>
  <c r="E58" i="39"/>
  <c r="F27" i="6"/>
  <c r="E5" i="6"/>
  <c r="D21" i="12" s="1"/>
  <c r="C21" i="12" s="1"/>
  <c r="BA5" i="3"/>
  <c r="E27" i="6" s="1"/>
  <c r="AZ16" i="3"/>
  <c r="H70" i="46"/>
  <c r="H72" i="46"/>
  <c r="A9" i="64"/>
  <c r="A9" i="51"/>
  <c r="B9" i="63" s="1"/>
  <c r="A25" i="51"/>
  <c r="B18" i="63" s="1"/>
  <c r="A3" i="55"/>
  <c r="B56" i="63" s="1"/>
  <c r="G59" i="34"/>
  <c r="H59" i="34" s="1"/>
  <c r="I59" i="34"/>
  <c r="J59" i="34" s="1"/>
  <c r="K59" i="34" s="1"/>
  <c r="F46" i="36"/>
  <c r="G46" i="36" s="1"/>
  <c r="H46" i="36" s="1"/>
  <c r="I46" i="36" s="1"/>
  <c r="J46" i="36" s="1"/>
  <c r="G66" i="36"/>
  <c r="J18" i="36"/>
  <c r="AE8" i="1"/>
  <c r="AE7" i="1"/>
  <c r="W18" i="36"/>
  <c r="AC18" i="36"/>
  <c r="AG6" i="1"/>
  <c r="L20" i="6"/>
  <c r="L19" i="6"/>
  <c r="F7" i="21"/>
  <c r="S7" i="21" s="1"/>
  <c r="J7" i="21"/>
  <c r="AC7" i="21" s="1"/>
  <c r="V48" i="21" s="1"/>
  <c r="I48" i="21" s="1"/>
  <c r="I52" i="21" s="1"/>
  <c r="J52" i="21" s="1"/>
  <c r="H7" i="21"/>
  <c r="U7" i="21" s="1"/>
  <c r="J22" i="46"/>
  <c r="S7" i="1"/>
  <c r="S8" i="1"/>
  <c r="S9" i="1"/>
  <c r="R9" i="1"/>
  <c r="R7" i="1"/>
  <c r="R8" i="1"/>
  <c r="C45" i="9"/>
  <c r="O40" i="9"/>
  <c r="K31" i="9" s="1"/>
  <c r="K32" i="9" s="1"/>
  <c r="R7" i="54"/>
  <c r="B52" i="63" s="1"/>
  <c r="N76" i="9"/>
  <c r="C46" i="9"/>
  <c r="I14" i="66" s="1"/>
  <c r="B8" i="66" s="1"/>
  <c r="F10" i="67"/>
  <c r="M29" i="15"/>
  <c r="M8" i="15"/>
  <c r="M30" i="44"/>
  <c r="I5" i="65"/>
  <c r="F9" i="44"/>
  <c r="F9" i="15"/>
  <c r="E10" i="67"/>
  <c r="N6" i="65"/>
  <c r="B12" i="67"/>
  <c r="M23" i="44"/>
  <c r="F12" i="67"/>
  <c r="J15" i="15"/>
  <c r="M29" i="44"/>
  <c r="M9" i="15"/>
  <c r="J36" i="15"/>
  <c r="M23" i="15"/>
  <c r="F43" i="15"/>
  <c r="M22" i="15"/>
  <c r="F8" i="15"/>
  <c r="E12" i="67"/>
  <c r="F36" i="15"/>
  <c r="F15" i="44"/>
  <c r="F37" i="44"/>
  <c r="J7" i="65"/>
  <c r="B9" i="67"/>
  <c r="E13" i="67"/>
  <c r="E9" i="67"/>
  <c r="F45" i="44"/>
  <c r="J3" i="65"/>
  <c r="J5" i="65"/>
  <c r="B8" i="67"/>
  <c r="F26" i="15"/>
  <c r="I3" i="65"/>
  <c r="F6" i="15"/>
  <c r="M28" i="15"/>
  <c r="L48" i="15"/>
  <c r="J6" i="65"/>
  <c r="F46" i="44"/>
  <c r="F13" i="67"/>
  <c r="B11" i="67"/>
  <c r="B10" i="67"/>
  <c r="B13" i="67"/>
  <c r="F11" i="44"/>
  <c r="M8" i="44"/>
  <c r="F38" i="15"/>
  <c r="N5" i="65"/>
  <c r="I4" i="65"/>
  <c r="I6" i="65"/>
  <c r="F14" i="67"/>
  <c r="F16" i="15"/>
  <c r="F10" i="44"/>
  <c r="J4" i="65"/>
  <c r="M6" i="15"/>
  <c r="F18" i="44"/>
  <c r="J17" i="44"/>
  <c r="E8" i="67"/>
  <c r="E14" i="67"/>
  <c r="M27" i="15"/>
  <c r="F8" i="67"/>
  <c r="I7" i="65"/>
  <c r="F7" i="15"/>
  <c r="F38" i="44"/>
  <c r="F40" i="15"/>
  <c r="F40" i="44"/>
  <c r="N4" i="65"/>
  <c r="F42" i="15"/>
  <c r="F13" i="15"/>
  <c r="E11" i="67"/>
  <c r="F9" i="67"/>
  <c r="F37" i="15"/>
  <c r="M24" i="15"/>
  <c r="N7" i="65"/>
  <c r="F11" i="67"/>
  <c r="M10" i="44"/>
  <c r="N3" i="65"/>
  <c r="M24" i="44"/>
  <c r="M26" i="15"/>
  <c r="L47" i="15"/>
  <c r="B14" i="67"/>
  <c r="C72" i="39" l="1"/>
  <c r="D70" i="39"/>
  <c r="AC7" i="33"/>
  <c r="V48" i="33" s="1"/>
  <c r="I48" i="33" s="1"/>
  <c r="J51" i="15"/>
  <c r="E14" i="52"/>
  <c r="F28" i="15"/>
  <c r="C28" i="15" s="1"/>
  <c r="D86" i="9"/>
  <c r="F32" i="15"/>
  <c r="F59" i="15" s="1"/>
  <c r="F27" i="43"/>
  <c r="C92" i="9"/>
  <c r="AZ13" i="3"/>
  <c r="H16" i="1"/>
  <c r="BQ5" i="3"/>
  <c r="F28" i="6" s="1"/>
  <c r="F30" i="6" s="1"/>
  <c r="E12" i="6"/>
  <c r="E11" i="6"/>
  <c r="E10" i="6"/>
  <c r="G30" i="6"/>
  <c r="G31" i="6" s="1"/>
  <c r="L27" i="6"/>
  <c r="E29" i="6"/>
  <c r="K15" i="1" s="1"/>
  <c r="E14" i="6"/>
  <c r="D12" i="11"/>
  <c r="C12" i="11" s="1"/>
  <c r="C15" i="12"/>
  <c r="C25" i="12"/>
  <c r="C15" i="43"/>
  <c r="C67" i="40"/>
  <c r="D65" i="40"/>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T48" i="21" s="1"/>
  <c r="G48" i="21" s="1"/>
  <c r="F7" i="35"/>
  <c r="F31" i="6"/>
  <c r="O6" i="1"/>
  <c r="P6" i="1" s="1"/>
  <c r="F109" i="46"/>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F7" i="37"/>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37" i="59"/>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M19" i="44"/>
  <c r="F58" i="15"/>
  <c r="F31" i="15"/>
  <c r="C18" i="44"/>
  <c r="E2" i="65"/>
  <c r="M25" i="44"/>
  <c r="F8" i="44"/>
  <c r="M31" i="44"/>
  <c r="L48" i="44"/>
  <c r="C16" i="15"/>
  <c r="F39" i="44"/>
  <c r="E3" i="65"/>
  <c r="M11" i="44"/>
  <c r="M26" i="44"/>
  <c r="F43" i="44"/>
  <c r="M28" i="44"/>
  <c r="C19" i="44"/>
  <c r="L49" i="44"/>
  <c r="F28" i="44"/>
  <c r="E70" i="39" l="1"/>
  <c r="D72" i="39"/>
  <c r="E28" i="6"/>
  <c r="K23" i="6" s="1"/>
  <c r="M23" i="6" s="1"/>
  <c r="I23" i="6" s="1"/>
  <c r="S23" i="6" s="1"/>
  <c r="E58" i="40"/>
  <c r="E63" i="39"/>
  <c r="E61" i="40"/>
  <c r="E66" i="39"/>
  <c r="K24" i="6"/>
  <c r="M24" i="6" s="1"/>
  <c r="I24" i="6" s="1"/>
  <c r="S24" i="6" s="1"/>
  <c r="E64" i="39"/>
  <c r="E59" i="40"/>
  <c r="AD13" i="46"/>
  <c r="D67" i="40"/>
  <c r="E65" i="40"/>
  <c r="J7" i="34"/>
  <c r="H7" i="36"/>
  <c r="H7" i="37"/>
  <c r="F7" i="36"/>
  <c r="J7" i="37"/>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AC7" i="34"/>
  <c r="V49" i="34" s="1"/>
  <c r="I49" i="34" s="1"/>
  <c r="W7" i="35"/>
  <c r="AC7" i="35"/>
  <c r="V38" i="35" s="1"/>
  <c r="I38" i="35" s="1"/>
  <c r="AB7" i="36"/>
  <c r="T36" i="36" s="1"/>
  <c r="G36" i="36" s="1"/>
  <c r="U7" i="36"/>
  <c r="F33" i="12"/>
  <c r="C34" i="12" s="1"/>
  <c r="D33" i="12" s="1"/>
  <c r="F18" i="11"/>
  <c r="C18" i="11" s="1"/>
  <c r="F24" i="43"/>
  <c r="C26" i="43" s="1"/>
  <c r="D24" i="43" s="1"/>
  <c r="AB7" i="37"/>
  <c r="T42" i="37" s="1"/>
  <c r="G42" i="37" s="1"/>
  <c r="U7" i="37"/>
  <c r="AA7" i="35"/>
  <c r="R38" i="35" s="1"/>
  <c r="S7" i="35"/>
  <c r="G52" i="21"/>
  <c r="H52" i="21" s="1"/>
  <c r="G53" i="21"/>
  <c r="H53"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W7" i="37"/>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L47" i="44"/>
  <c r="F17" i="11"/>
  <c r="C17" i="11" s="1"/>
  <c r="B40" i="1"/>
  <c r="O17" i="46"/>
  <c r="P17" i="46"/>
  <c r="M17" i="46"/>
  <c r="N17" i="46"/>
  <c r="Q61" i="15"/>
  <c r="Q74" i="15"/>
  <c r="F13" i="44"/>
  <c r="C12" i="44" s="1"/>
  <c r="M11" i="15"/>
  <c r="J10" i="15" s="1"/>
  <c r="J5" i="15" s="1"/>
  <c r="F11" i="15"/>
  <c r="M13" i="44"/>
  <c r="J12" i="44" s="1"/>
  <c r="F1" i="15"/>
  <c r="Q53" i="15"/>
  <c r="Q75" i="15"/>
  <c r="Q62" i="15"/>
  <c r="Q62" i="44"/>
  <c r="F33" i="44"/>
  <c r="AE6" i="1"/>
  <c r="K25" i="6" l="1"/>
  <c r="M25" i="6" s="1"/>
  <c r="I25" i="6" s="1"/>
  <c r="S25" i="6" s="1"/>
  <c r="K21" i="6"/>
  <c r="M21" i="6" s="1"/>
  <c r="I21" i="6" s="1"/>
  <c r="S21" i="6" s="1"/>
  <c r="E30" i="6"/>
  <c r="E31" i="6" s="1"/>
  <c r="K22" i="6"/>
  <c r="M22" i="6" s="1"/>
  <c r="I22" i="6" s="1"/>
  <c r="S22" i="6" s="1"/>
  <c r="K26" i="6"/>
  <c r="M26" i="6" s="1"/>
  <c r="I26" i="6" s="1"/>
  <c r="S26" i="6" s="1"/>
  <c r="E72" i="39"/>
  <c r="F70" i="39"/>
  <c r="F1" i="44"/>
  <c r="C19" i="11"/>
  <c r="J7" i="44"/>
  <c r="J26" i="44" s="1"/>
  <c r="K20" i="6"/>
  <c r="M20" i="6" s="1"/>
  <c r="I20" i="6" s="1"/>
  <c r="S20" i="6" s="1"/>
  <c r="K19" i="6"/>
  <c r="S6" i="1" s="1"/>
  <c r="K14" i="1"/>
  <c r="S6" i="46"/>
  <c r="S2" i="46"/>
  <c r="S3" i="46"/>
  <c r="S7" i="46"/>
  <c r="S4" i="46"/>
  <c r="S5" i="46"/>
  <c r="C7" i="44"/>
  <c r="C40" i="44" s="1"/>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B2"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J28" i="44"/>
  <c r="J31" i="44" s="1"/>
  <c r="F21" i="43"/>
  <c r="C23" i="43" s="1"/>
  <c r="D21" i="43" s="1"/>
  <c r="F24" i="15"/>
  <c r="C24" i="15" s="1"/>
  <c r="F26" i="44"/>
  <c r="C26" i="44" s="1"/>
  <c r="F26" i="12"/>
  <c r="C20" i="11"/>
  <c r="C21" i="11" s="1"/>
  <c r="C22" i="11" s="1"/>
  <c r="C23" i="11" s="1"/>
  <c r="B2" i="11" s="1"/>
  <c r="C52" i="15"/>
  <c r="C47" i="15" s="1"/>
  <c r="C10" i="15"/>
  <c r="C5" i="15" s="1"/>
  <c r="J26" i="15"/>
  <c r="J24" i="15"/>
  <c r="J18" i="15"/>
  <c r="L52" i="44"/>
  <c r="F41" i="15"/>
  <c r="C17" i="15"/>
  <c r="S16" i="1" l="1"/>
  <c r="F72" i="39"/>
  <c r="G70"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E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Q67" i="44"/>
  <c r="Q58" i="44"/>
  <c r="H40" i="39" l="1"/>
  <c r="F40" i="39"/>
  <c r="J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Q64" i="44" s="1"/>
  <c r="C16" i="44"/>
  <c r="C14" i="15"/>
  <c r="R24" i="6" l="1"/>
  <c r="P14" i="1"/>
  <c r="P16" i="1" s="1"/>
  <c r="C13" i="12" s="1"/>
  <c r="C14" i="12" s="1"/>
  <c r="AA40" i="39"/>
  <c r="S40" i="39"/>
  <c r="AC40" i="39"/>
  <c r="W40" i="39"/>
  <c r="AB40" i="39"/>
  <c r="U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21" i="6"/>
  <c r="A6" i="51"/>
  <c r="B7" i="63" s="1"/>
  <c r="A20" i="64"/>
  <c r="A20" i="51"/>
  <c r="B15" i="63" s="1"/>
  <c r="N5" i="54"/>
  <c r="B43" i="63" s="1"/>
  <c r="A6" i="64"/>
  <c r="R22" i="6"/>
  <c r="R25" i="6"/>
  <c r="R19" i="6"/>
  <c r="D27" i="6"/>
  <c r="D31" i="6" s="1"/>
  <c r="C17" i="12" l="1"/>
  <c r="C18" i="12" s="1"/>
  <c r="C23" i="12" s="1"/>
  <c r="I72" i="39"/>
  <c r="J70" i="39"/>
  <c r="C21" i="44"/>
  <c r="C19" i="15"/>
  <c r="C20" i="15" s="1"/>
  <c r="C26" i="15" s="1"/>
  <c r="R27" i="6"/>
  <c r="R6" i="1"/>
  <c r="C17" i="43"/>
  <c r="C14" i="43"/>
  <c r="C22" i="44"/>
  <c r="C25" i="44" s="1"/>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M21" i="15"/>
  <c r="F35" i="15"/>
  <c r="F7" i="67"/>
  <c r="J20" i="15" l="1"/>
  <c r="C34" i="15"/>
  <c r="F62" i="15"/>
  <c r="C61" i="15" s="1"/>
  <c r="R16" i="1"/>
  <c r="J72" i="39"/>
  <c r="K70" i="39"/>
  <c r="C18" i="43"/>
  <c r="C19" i="43" s="1"/>
  <c r="C25" i="43" s="1"/>
  <c r="C24" i="43" s="1"/>
  <c r="C28" i="44"/>
  <c r="C31" i="44" s="1"/>
  <c r="C23" i="15"/>
  <c r="C29" i="15" s="1"/>
  <c r="C36" i="15" s="1"/>
  <c r="J67" i="40"/>
  <c r="K65" i="40"/>
  <c r="E4" i="67"/>
  <c r="C27" i="46"/>
  <c r="C26" i="46"/>
  <c r="E7" i="67"/>
  <c r="L70" i="39" l="1"/>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M70" i="39" l="1"/>
  <c r="L72"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N70" i="39" l="1"/>
  <c r="N72" i="39" s="1"/>
  <c r="H9" i="39" s="1"/>
  <c r="M72" i="39"/>
  <c r="C57" i="15"/>
  <c r="C66" i="15" s="1"/>
  <c r="C67" i="15" s="1"/>
  <c r="C70" i="15" s="1"/>
  <c r="Q69" i="15"/>
  <c r="C44" i="44"/>
  <c r="C45" i="44" s="1"/>
  <c r="B2" i="44" s="1"/>
  <c r="B3" i="44" s="1"/>
  <c r="Q48" i="15"/>
  <c r="Q54" i="15" s="1"/>
  <c r="B2" i="15"/>
  <c r="Q66" i="15"/>
  <c r="C43" i="15"/>
  <c r="Q57" i="15"/>
  <c r="J42" i="15"/>
  <c r="J43" i="15" s="1"/>
  <c r="Q67" i="15"/>
  <c r="Q58" i="15"/>
  <c r="N65" i="40"/>
  <c r="N67" i="40" s="1"/>
  <c r="M67" i="40"/>
  <c r="B3" i="67"/>
  <c r="B4" i="67"/>
  <c r="F9" i="39" l="1"/>
  <c r="J9" i="39"/>
  <c r="U9" i="39"/>
  <c r="AB9" i="39"/>
  <c r="T49" i="39" s="1"/>
  <c r="G49" i="39" s="1"/>
  <c r="G53" i="39" s="1"/>
  <c r="H53" i="39" s="1"/>
  <c r="B3" i="15"/>
  <c r="C8" i="12" s="1"/>
  <c r="C10" i="12"/>
  <c r="C6" i="12" s="1"/>
  <c r="Q76" i="15"/>
  <c r="B4" i="44"/>
  <c r="C46" i="15"/>
  <c r="B5" i="44"/>
  <c r="Q63" i="15"/>
  <c r="J9" i="40"/>
  <c r="H9" i="40"/>
  <c r="F9" i="40"/>
  <c r="W9" i="39" l="1"/>
  <c r="AC9" i="39"/>
  <c r="V49" i="39" s="1"/>
  <c r="I49" i="39" s="1"/>
  <c r="I53" i="39" s="1"/>
  <c r="J53" i="39" s="1"/>
  <c r="AA9" i="39"/>
  <c r="R49" i="39" s="1"/>
  <c r="S9" i="39"/>
  <c r="C24" i="12"/>
  <c r="C29" i="12"/>
  <c r="S9" i="40"/>
  <c r="AA9" i="40"/>
  <c r="R44" i="40" s="1"/>
  <c r="U9" i="40"/>
  <c r="AB9" i="40"/>
  <c r="T44" i="40" s="1"/>
  <c r="G44" i="40" s="1"/>
  <c r="W9" i="40"/>
  <c r="AC9" i="40"/>
  <c r="V44" i="40" s="1"/>
  <c r="I44" i="40" s="1"/>
  <c r="R50" i="39" l="1"/>
  <c r="E49" i="39"/>
  <c r="G54" i="39"/>
  <c r="H54" i="39" s="1"/>
  <c r="C35" i="12"/>
  <c r="C33" i="12" s="1"/>
  <c r="C28" i="12"/>
  <c r="C26" i="12" s="1"/>
  <c r="C31" i="12" s="1"/>
  <c r="C30" i="12" s="1"/>
  <c r="I48" i="40"/>
  <c r="J48" i="40" s="1"/>
  <c r="G49" i="40"/>
  <c r="H49" i="40" s="1"/>
  <c r="G48" i="40"/>
  <c r="H48" i="40" s="1"/>
  <c r="R45" i="40"/>
  <c r="E44" i="40"/>
  <c r="I49" i="40" s="1"/>
  <c r="J49" i="40" s="1"/>
  <c r="C49" i="39" l="1"/>
  <c r="C50" i="39"/>
  <c r="E53" i="39"/>
  <c r="F53" i="39" s="1"/>
  <c r="E54" i="39"/>
  <c r="F54" i="39" s="1"/>
  <c r="I54" i="39"/>
  <c r="J54" i="39" s="1"/>
  <c r="C36" i="12"/>
  <c r="B2" i="12" s="1"/>
  <c r="C44" i="40"/>
  <c r="C45" i="40"/>
  <c r="E49" i="40"/>
  <c r="F49" i="40" s="1"/>
  <c r="E48" i="40"/>
  <c r="F48" i="40" s="1"/>
  <c r="D19" i="9"/>
  <c r="B60" i="39" l="1"/>
  <c r="F60" i="39" s="1"/>
  <c r="B62" i="39"/>
  <c r="F62" i="39" s="1"/>
  <c r="B66" i="39"/>
  <c r="F66" i="39" s="1"/>
  <c r="B61" i="39"/>
  <c r="F61" i="39" s="1"/>
  <c r="B67" i="39"/>
  <c r="F67" i="39" s="1"/>
  <c r="B65" i="39"/>
  <c r="F65" i="39" s="1"/>
  <c r="B63" i="39"/>
  <c r="F63" i="39" s="1"/>
  <c r="B64" i="39"/>
  <c r="F64" i="39" s="1"/>
  <c r="B58" i="39"/>
  <c r="F58" i="39" s="1"/>
  <c r="B59" i="39"/>
  <c r="F59"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1" i="9"/>
  <c r="D20" i="9"/>
  <c r="F68" i="39" l="1"/>
  <c r="B2" i="39" s="1"/>
  <c r="B3" i="40"/>
  <c r="B4" i="40"/>
  <c r="B5" i="40"/>
  <c r="C19" i="9"/>
  <c r="G19" i="9" l="1"/>
  <c r="L43" i="9"/>
  <c r="D22" i="9"/>
  <c r="B3" i="39"/>
  <c r="B4" i="39"/>
  <c r="B5" i="39"/>
  <c r="C21" i="9"/>
  <c r="C20" i="9"/>
  <c r="G20" i="9" l="1"/>
  <c r="G21" i="9"/>
  <c r="R24" i="31" s="1"/>
  <c r="N43" i="9"/>
  <c r="G22" i="9"/>
  <c r="C32" i="9"/>
  <c r="S24" i="31" l="1"/>
  <c r="R25" i="31"/>
  <c r="S25" i="31" s="1"/>
  <c r="C33" i="9"/>
  <c r="O43" i="9"/>
  <c r="O38" i="9"/>
  <c r="C34" i="9"/>
  <c r="C35" i="9"/>
  <c r="F42" i="9" s="1"/>
  <c r="C42" i="9"/>
  <c r="S22" i="31" l="1"/>
  <c r="K25" i="9"/>
  <c r="K26" i="9"/>
  <c r="D42" i="9"/>
  <c r="Q5" i="54" s="1"/>
  <c r="B47" i="63" s="1"/>
  <c r="N38" i="9"/>
  <c r="K28" i="9" s="1"/>
  <c r="C44" i="9"/>
  <c r="N68" i="9"/>
  <c r="D63" i="9"/>
  <c r="D14" i="66"/>
  <c r="R5" i="54"/>
  <c r="B48" i="63" s="1"/>
  <c r="M38" i="9"/>
  <c r="K27" i="9" s="1"/>
  <c r="E42" i="9"/>
  <c r="P5" i="54" s="1"/>
  <c r="B46" i="63" s="1"/>
  <c r="R22" i="31" l="1"/>
  <c r="B21" i="31" s="1"/>
  <c r="B20" i="31"/>
  <c r="B5" i="66"/>
  <c r="E14" i="66"/>
  <c r="F14" i="66"/>
  <c r="C96" i="9"/>
  <c r="C91" i="9" s="1"/>
  <c r="C103" i="9"/>
  <c r="D70" i="9"/>
  <c r="C82" i="9"/>
  <c r="C81" i="9" s="1"/>
  <c r="C85" i="9" s="1"/>
  <c r="C86" i="9" s="1"/>
  <c r="D72" i="9" s="1"/>
  <c r="D77" i="9"/>
  <c r="N75" i="9" s="1"/>
  <c r="C111" i="9"/>
  <c r="C104" i="9" s="1"/>
  <c r="D71" i="9"/>
  <c r="D66" i="9" s="1"/>
  <c r="N72" i="9" s="1"/>
  <c r="C90" i="9"/>
  <c r="O39" i="9"/>
  <c r="N69" i="9"/>
  <c r="F44" i="9"/>
  <c r="D44" i="9"/>
  <c r="E44" i="9"/>
  <c r="G14" i="66"/>
  <c r="B6" i="66" s="1"/>
  <c r="C97" i="9" l="1"/>
  <c r="C98" i="9" s="1"/>
  <c r="E98" i="9" s="1"/>
  <c r="E99" i="9" s="1"/>
  <c r="C6" i="66"/>
  <c r="D6" i="66"/>
  <c r="M84" i="9"/>
  <c r="N84" i="9" s="1"/>
  <c r="M86" i="9"/>
  <c r="N86" i="9" s="1"/>
  <c r="M87" i="9"/>
  <c r="N87" i="9" s="1"/>
  <c r="M88" i="9"/>
  <c r="N88" i="9" s="1"/>
  <c r="M83" i="9"/>
  <c r="N83" i="9" s="1"/>
  <c r="M85" i="9"/>
  <c r="N85" i="9" s="1"/>
  <c r="C113" i="9"/>
  <c r="C5" i="66"/>
  <c r="D5" i="66"/>
  <c r="K29" i="9"/>
  <c r="K30" i="9" s="1"/>
  <c r="R6" i="54"/>
  <c r="B50" i="63" s="1"/>
  <c r="C99" i="9" l="1"/>
  <c r="C114" i="9"/>
  <c r="E114" i="9" s="1"/>
  <c r="E115" i="9" s="1"/>
  <c r="N89" i="9"/>
  <c r="O89"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<sst xmlns="http://schemas.openxmlformats.org/spreadsheetml/2006/main" count="7287" uniqueCount="3222">
  <si>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</si>
  <si>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</si>
  <si>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</si>
  <si>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</si>
  <si>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</si>
  <si>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</si>
  <si>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</si>
  <si>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</si>
  <si>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</si>
  <si>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</si>
  <si>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</si>
  <si>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</si>
  <si>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</si>
  <si>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</si>
  <si>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</si>
  <si>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</si>
  <si>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</si>
  <si>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</si>
  <si>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</si>
  <si>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</si>
  <si>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</si>
  <si>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</si>
  <si>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</si>
  <si>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</si>
  <si>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</si>
  <si>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</si>
  <si>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</si>
  <si>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</si>
  <si>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</si>
  <si>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</si>
  <si>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</si>
  <si>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</si>
  <si>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</si>
  <si>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</si>
  <si>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</si>
  <si>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</si>
  <si>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</si>
  <si>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</si>
  <si>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</si>
  <si>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</si>
  <si>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</si>
  <si>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</si>
  <si>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</si>
  <si>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</si>
  <si>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</si>
  <si>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</si>
  <si>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</si>
  <si>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</si>
  <si>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</si>
  <si>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</si>
  <si>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</si>
  <si>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</si>
  <si>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</si>
  <si>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</si>
  <si>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</si>
  <si>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</si>
  <si>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</si>
  <si>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</si>
  <si>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</si>
  <si>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</si>
  <si>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</si>
  <si>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</si>
  <si>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</si>
  <si>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</si>
  <si>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</si>
  <si>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</si>
  <si>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</si>
  <si>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</si>
  <si>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</si>
  <si>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</si>
  <si>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</si>
  <si>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</si>
  <si>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</si>
  <si>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</si>
  <si>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</si>
  <si>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</si>
  <si>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</si>
  <si>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</si>
  <si>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</si>
  <si>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</si>
  <si>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</si>
  <si>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</si>
  <si>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</si>
  <si>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</si>
  <si>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</si>
  <si>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</si>
  <si>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</si>
  <si>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</si>
  <si>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</si>
  <si>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</si>
  <si>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</si>
  <si>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</si>
  <si>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</si>
  <si>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</si>
  <si>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</si>
  <si>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</si>
  <si>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</si>
  <si>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</si>
  <si>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</si>
  <si>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</si>
  <si>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</si>
  <si>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</si>
  <si>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</si>
  <si>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</si>
  <si>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</si>
  <si>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</si>
  <si>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</si>
  <si>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</si>
  <si>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</si>
  <si>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</si>
  <si>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</si>
  <si>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</si>
  <si>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</si>
  <si>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</si>
  <si>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</si>
  <si>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</si>
  <si>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</si>
  <si>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</si>
  <si>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</si>
  <si>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</si>
  <si>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</si>
  <si>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</si>
  <si>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</si>
  <si>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</si>
  <si>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</si>
  <si>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</si>
  <si>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</si>
  <si>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</si>
  <si>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</si>
  <si>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</si>
  <si>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</si>
  <si>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</si>
  <si>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</si>
  <si>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</si>
  <si>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</si>
  <si>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</si>
  <si>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</si>
  <si>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</si>
  <si>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</si>
  <si>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</si>
  <si>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</si>
  <si>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</si>
  <si>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</si>
  <si>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</si>
  <si>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</si>
  <si>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</si>
  <si>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</si>
  <si>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</si>
  <si>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</si>
  <si>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</si>
  <si>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</si>
  <si>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</si>
  <si>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</si>
  <si>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</si>
  <si>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</si>
  <si>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</si>
  <si>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</si>
  <si>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</si>
  <si>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</si>
  <si>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</si>
  <si>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</si>
  <si>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</si>
  <si>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</si>
  <si>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</si>
  <si>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</si>
  <si>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</si>
  <si>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</si>
  <si>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</si>
  <si>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</si>
  <si>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</si>
  <si>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</si>
  <si>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</si>
  <si>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</si>
  <si>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</si>
  <si>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</si>
  <si>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</si>
  <si>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</si>
  <si>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</si>
  <si>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</si>
  <si>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</si>
  <si>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</si>
  <si>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</si>
  <si>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</si>
  <si>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</si>
  <si>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</si>
  <si>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</si>
  <si>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</si>
  <si>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</si>
  <si>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</si>
  <si>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</si>
  <si>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</si>
  <si>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</si>
  <si>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</si>
  <si>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</si>
  <si>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</si>
  <si>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</si>
  <si>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</si>
  <si>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</si>
  <si>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</si>
  <si>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</si>
  <si>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</si>
  <si>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</si>
  <si>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</si>
  <si>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</si>
  <si>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</si>
  <si>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</si>
  <si>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</si>
  <si>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</si>
  <si>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</si>
  <si>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</si>
  <si>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</si>
  <si>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</si>
  <si>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</si>
  <si>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</si>
  <si>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</si>
  <si>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</si>
  <si>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</si>
  <si>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</si>
  <si>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</si>
  <si>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</si>
  <si>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</si>
  <si>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</si>
  <si>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</si>
  <si>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</si>
  <si>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</si>
  <si>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</si>
  <si>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</si>
  <si>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</si>
  <si>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</si>
  <si>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</si>
  <si>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</si>
  <si>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</si>
  <si>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</si>
  <si>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</si>
  <si>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</si>
  <si>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</si>
  <si>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</si>
  <si>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</si>
  <si>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</si>
  <si>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</si>
  <si>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</si>
  <si>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</si>
  <si>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</si>
  <si>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</si>
  <si>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</si>
  <si>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</si>
  <si>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</si>
  <si>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</si>
  <si>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</si>
  <si>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</si>
  <si>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</si>
  <si>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</si>
  <si>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</si>
  <si>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</si>
  <si>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</si>
  <si>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</si>
  <si>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</si>
  <si>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</si>
  <si>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</si>
  <si>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</si>
  <si>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</si>
  <si>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</si>
  <si>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</si>
  <si>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</si>
  <si>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</si>
  <si>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</si>
  <si>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</si>
  <si>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</si>
  <si>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</si>
  <si>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</si>
  <si>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</si>
  <si>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</si>
  <si>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</si>
  <si>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</si>
  <si>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</si>
  <si>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</si>
  <si>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</si>
  <si>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</si>
  <si>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</si>
  <si>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</si>
  <si>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</si>
  <si>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</si>
  <si>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</si>
  <si>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</si>
  <si>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</si>
  <si>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</si>
  <si>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</si>
  <si>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</si>
  <si>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</si>
  <si>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</si>
  <si>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</si>
  <si>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</si>
  <si>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</si>
  <si>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</si>
  <si>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</si>
  <si>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</si>
  <si>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</si>
  <si>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</si>
  <si>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</si>
  <si>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</si>
  <si>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</si>
  <si>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</si>
  <si>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</si>
  <si>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</si>
  <si>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</si>
  <si>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</si>
  <si>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</si>
  <si>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</si>
  <si>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</si>
  <si>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</si>
  <si>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</si>
  <si>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</si>
  <si>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</si>
  <si>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</si>
  <si>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</si>
  <si>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</si>
  <si>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</si>
  <si>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</si>
  <si>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</si>
  <si>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</si>
  <si>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</si>
  <si>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</si>
  <si>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</si>
  <si>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</si>
  <si>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</si>
  <si>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</si>
  <si>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</si>
  <si>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</si>
  <si>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</si>
  <si>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</si>
  <si>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</si>
  <si>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</si>
  <si>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</si>
  <si>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</si>
  <si>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</si>
  <si>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</si>
  <si>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</si>
  <si>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</si>
  <si>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</si>
  <si>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</si>
  <si>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</si>
  <si>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</si>
  <si>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</si>
  <si>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</si>
  <si>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</si>
  <si>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</si>
  <si>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</si>
  <si>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</si>
  <si>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</si>
  <si>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</si>
  <si>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</si>
  <si>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</si>
  <si>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</si>
  <si>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</si>
  <si>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</si>
  <si>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</si>
  <si>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</si>
  <si>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</si>
  <si>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</si>
  <si>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</si>
  <si>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</si>
  <si>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</si>
  <si>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</si>
  <si>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</si>
  <si>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</si>
  <si>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</si>
  <si>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</si>
  <si>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</si>
  <si>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</si>
  <si>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</si>
  <si>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</si>
  <si>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</si>
  <si>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</si>
  <si>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</si>
  <si>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</si>
  <si>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</si>
  <si>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</si>
  <si>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</si>
  <si>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</si>
  <si>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</si>
  <si>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</si>
  <si>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</si>
  <si>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</si>
  <si>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</si>
  <si>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</si>
  <si>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</si>
  <si>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</si>
  <si>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</si>
  <si>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</si>
  <si>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</si>
  <si>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</si>
  <si>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</si>
  <si>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</si>
  <si>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</si>
  <si>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</si>
  <si>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</si>
  <si>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</si>
  <si>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</si>
  <si>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</si>
  <si>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</si>
  <si>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</si>
  <si>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</si>
  <si>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</si>
  <si>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</si>
  <si>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</si>
  <si>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</si>
  <si>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</si>
  <si>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</si>
  <si>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</si>
  <si>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</si>
  <si>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</si>
  <si>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</si>
  <si>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</si>
  <si>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</si>
  <si>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</si>
  <si>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</si>
  <si>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</si>
  <si>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</si>
  <si>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</si>
  <si>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</si>
  <si>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</si>
  <si>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</si>
  <si>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</si>
  <si>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</si>
  <si>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</si>
  <si>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</si>
  <si>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</si>
  <si>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</si>
  <si>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</si>
  <si>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</si>
  <si>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</si>
  <si>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</si>
  <si>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</si>
  <si>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</si>
  <si>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</si>
  <si>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</si>
  <si>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</si>
  <si>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</si>
  <si>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</si>
  <si>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</si>
  <si>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</si>
  <si>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</si>
  <si>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</si>
  <si>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</si>
  <si>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</si>
  <si>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</si>
  <si>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</si>
  <si>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</si>
  <si>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</si>
  <si>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</si>
  <si>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</si>
  <si>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</si>
  <si>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</si>
  <si>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</si>
  <si>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</si>
  <si>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</si>
  <si>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</si>
  <si>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</si>
  <si>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</si>
  <si>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</si>
  <si>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</si>
  <si>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</si>
  <si>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</si>
  <si>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</si>
  <si>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</si>
  <si>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</si>
  <si>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</si>
  <si>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</si>
  <si>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</si>
  <si>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</si>
  <si>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</si>
  <si>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</si>
  <si>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</si>
  <si>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</si>
  <si>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</si>
  <si>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</si>
  <si>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</si>
  <si>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</si>
  <si>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</si>
  <si>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</si>
  <si>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</si>
  <si>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</si>
  <si>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</si>
  <si>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</si>
  <si>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</si>
  <si>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</si>
  <si>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</si>
  <si>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</si>
  <si>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</si>
  <si>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</si>
  <si>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</si>
  <si>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</si>
  <si>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</si>
  <si>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</si>
  <si>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</si>
  <si>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</si>
  <si>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</si>
  <si>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</si>
  <si>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</si>
  <si>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</si>
  <si>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</si>
  <si>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</si>
  <si>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</si>
  <si>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</si>
  <si>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</si>
  <si>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</si>
  <si>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</si>
  <si>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</si>
  <si>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</si>
  <si>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</si>
  <si>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</si>
  <si>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</si>
  <si>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</si>
  <si>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</si>
  <si>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</si>
  <si>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</si>
  <si>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</si>
  <si>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</si>
  <si>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</si>
  <si>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</si>
  <si>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</si>
  <si>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</si>
  <si>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</si>
  <si>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</si>
  <si>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</si>
  <si>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</si>
  <si>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</si>
  <si>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</si>
  <si>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</si>
  <si>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</si>
  <si>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</si>
  <si>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</si>
  <si>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</si>
  <si>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</si>
  <si>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</si>
  <si>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</si>
  <si>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</si>
  <si>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</si>
  <si>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</si>
  <si>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</si>
  <si>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</si>
  <si>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</si>
  <si>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</si>
  <si>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</si>
  <si>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</si>
  <si>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</si>
  <si>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</si>
  <si>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</si>
  <si>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</si>
  <si>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</si>
  <si>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</si>
  <si>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</si>
  <si>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</si>
  <si>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</si>
  <si>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</si>
  <si>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</si>
  <si>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</si>
  <si>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</si>
  <si>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</si>
  <si>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</si>
  <si>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</si>
  <si>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</si>
  <si>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</si>
  <si>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</si>
  <si>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</si>
  <si>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</si>
  <si>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</si>
  <si>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</si>
  <si>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</si>
  <si>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</si>
  <si>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</si>
  <si>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</si>
  <si>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</si>
  <si>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</si>
  <si>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</si>
  <si>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</si>
  <si>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</si>
  <si>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</si>
  <si>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</si>
  <si>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</si>
  <si>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</si>
  <si>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</si>
  <si>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</si>
  <si>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</si>
  <si>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</si>
  <si>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</si>
  <si>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</si>
  <si>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</si>
  <si>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</si>
  <si>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</si>
  <si>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</si>
  <si>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</si>
  <si>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</si>
  <si>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</si>
  <si>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</si>
  <si>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</si>
  <si>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</si>
  <si>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</si>
  <si>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</si>
  <si>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</si>
  <si>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</si>
  <si>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</si>
  <si>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</si>
  <si>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</si>
  <si>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</si>
  <si>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</si>
  <si>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</si>
  <si>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</si>
  <si>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</si>
  <si>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</si>
  <si>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</si>
  <si>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</si>
  <si>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</si>
  <si>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</si>
  <si>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</si>
  <si>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</si>
  <si>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</si>
  <si>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</si>
  <si>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</si>
  <si>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</si>
  <si>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</si>
  <si>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</si>
  <si>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</si>
  <si>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</si>
  <si>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</si>
  <si>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</si>
  <si>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</si>
  <si>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</si>
  <si>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</si>
  <si>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</si>
  <si>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</si>
  <si>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</si>
  <si>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</si>
  <si>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</si>
  <si>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</si>
  <si>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</si>
  <si>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</si>
  <si>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</si>
  <si>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</si>
  <si>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</si>
  <si>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</si>
  <si>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</si>
  <si>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</si>
  <si>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</si>
  <si>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</si>
  <si>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</si>
  <si>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</si>
  <si>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</si>
  <si>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</si>
  <si>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</si>
  <si>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</si>
  <si>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</si>
  <si>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</si>
  <si>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</si>
  <si>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</si>
  <si>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</si>
  <si>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</si>
  <si>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</si>
  <si>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</si>
  <si>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</si>
  <si>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</si>
  <si>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</si>
  <si>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</si>
  <si>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</si>
  <si>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</si>
  <si>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</si>
  <si>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</si>
  <si>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</si>
  <si>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</si>
  <si>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</si>
  <si>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</si>
  <si>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</si>
  <si>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</si>
  <si>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</si>
  <si>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</si>
  <si>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</si>
  <si>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</si>
  <si>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</si>
  <si>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</si>
  <si>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</si>
  <si>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</si>
  <si>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</si>
  <si>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</si>
  <si>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</si>
  <si>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</si>
  <si>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</si>
  <si>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</si>
  <si>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</si>
  <si>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</si>
  <si>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</si>
  <si>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</si>
  <si>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</si>
  <si>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</si>
  <si>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</si>
  <si>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</si>
  <si>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</si>
  <si>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</si>
  <si>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</si>
  <si>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</si>
  <si>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</si>
  <si>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</si>
  <si>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</si>
  <si>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</si>
  <si>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</si>
  <si>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</si>
  <si>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</si>
  <si>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</si>
  <si>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</si>
  <si>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</si>
  <si>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</si>
  <si>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</si>
  <si>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</si>
  <si>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</si>
  <si>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</si>
  <si>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</si>
  <si>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</si>
  <si>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</si>
  <si>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</si>
  <si>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</si>
  <si>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</si>
  <si>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</si>
  <si>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</si>
  <si>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</si>
  <si>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</si>
  <si>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</si>
  <si>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</si>
  <si>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</si>
  <si>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</si>
  <si>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</si>
  <si>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</si>
  <si>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</si>
  <si>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</si>
  <si>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</si>
  <si>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</si>
  <si>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</si>
  <si>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</si>
  <si>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</si>
  <si>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</si>
  <si>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</si>
  <si>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</si>
  <si>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</si>
  <si>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</si>
  <si>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</si>
  <si>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</si>
  <si>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</si>
  <si>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</si>
  <si>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</si>
  <si>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</si>
  <si>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</si>
  <si>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</si>
  <si>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</si>
  <si>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</si>
  <si>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</si>
  <si>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</si>
  <si>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</si>
  <si>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</si>
  <si>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</si>
  <si>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</si>
  <si>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</si>
  <si>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</si>
  <si>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</si>
  <si>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</si>
  <si>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</si>
  <si>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</si>
  <si>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</si>
  <si>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</si>
  <si>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</si>
  <si>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</si>
  <si>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</si>
  <si>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</si>
  <si>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</si>
  <si>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</si>
  <si>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</si>
  <si>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</si>
  <si>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</si>
  <si>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</si>
  <si>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</si>
  <si>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</si>
  <si>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</si>
  <si>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</si>
  <si>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</si>
  <si>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</si>
  <si>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</si>
  <si>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</si>
  <si>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</si>
  <si>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</si>
  <si>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</si>
  <si>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</si>
  <si>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</si>
  <si>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</si>
  <si>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</si>
  <si>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</si>
  <si>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</si>
  <si>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</si>
  <si>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</si>
  <si>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</si>
  <si>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</si>
  <si>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</si>
  <si>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</si>
  <si>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</si>
  <si>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</si>
  <si>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</si>
  <si>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</si>
  <si>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</si>
  <si>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</si>
  <si>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</si>
  <si>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</si>
  <si>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</si>
  <si>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</si>
  <si>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</si>
  <si>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</si>
  <si>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</si>
  <si>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</si>
  <si>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</si>
  <si>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</si>
  <si>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</si>
  <si>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</si>
  <si>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</si>
  <si>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</si>
  <si>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</si>
  <si>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</si>
  <si>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</si>
  <si>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</si>
  <si>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</si>
  <si>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</si>
  <si>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</si>
  <si>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</si>
  <si>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</si>
  <si>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</si>
  <si>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</si>
  <si>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</si>
  <si>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</si>
  <si>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</si>
  <si>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</si>
  <si>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</si>
  <si>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</si>
  <si>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</si>
  <si>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</si>
  <si>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</si>
  <si>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</si>
  <si>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</si>
  <si>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</si>
  <si>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</si>
  <si>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</si>
  <si>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</si>
  <si>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</si>
  <si>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</si>
  <si>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</si>
  <si>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</si>
  <si>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</si>
  <si>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</si>
  <si>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</si>
  <si>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</si>
  <si>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</si>
  <si>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</si>
  <si>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</si>
  <si>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</si>
  <si>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</si>
  <si>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</si>
  <si>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</si>
  <si>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</si>
  <si>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</si>
  <si>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</si>
  <si>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</si>
  <si>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</si>
  <si>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</si>
  <si>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</si>
  <si>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</si>
  <si>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</si>
  <si>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</si>
  <si>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</si>
  <si>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</si>
  <si>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</si>
  <si>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</si>
  <si>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</si>
  <si>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</si>
  <si>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</si>
  <si>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</si>
  <si>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</si>
  <si>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</si>
  <si>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</si>
  <si>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</si>
  <si>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</si>
  <si>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</si>
  <si>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</si>
  <si>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</si>
  <si>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</si>
  <si>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</si>
  <si>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</si>
  <si>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</si>
  <si>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</si>
  <si>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</si>
  <si>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</si>
  <si>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</si>
  <si>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</si>
  <si>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</si>
  <si>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</si>
  <si>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</si>
  <si>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</si>
  <si>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</si>
  <si>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</si>
  <si>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</si>
  <si>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</si>
  <si>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</si>
  <si>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</si>
  <si>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</si>
  <si>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</si>
  <si>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</si>
  <si>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</si>
  <si>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</si>
  <si>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</si>
  <si>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</si>
  <si>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</si>
  <si>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</si>
  <si>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</si>
  <si>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</si>
  <si>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</si>
  <si>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</si>
  <si>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</si>
  <si>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</si>
  <si>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</si>
  <si>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</si>
  <si>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</si>
  <si>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</si>
  <si>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</si>
  <si>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</si>
  <si>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</si>
  <si>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</si>
  <si>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</si>
  <si>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</si>
  <si>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</si>
  <si>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</si>
  <si>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</si>
  <si>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</si>
  <si>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</si>
  <si>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</si>
  <si>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</si>
  <si>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</si>
  <si>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</si>
  <si>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</si>
  <si>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</si>
  <si>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</si>
  <si>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</si>
  <si>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</si>
  <si>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</si>
  <si>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</si>
  <si>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</si>
  <si>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</si>
  <si>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</si>
  <si>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</si>
  <si>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</si>
  <si>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</si>
  <si>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</si>
  <si>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</si>
  <si>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</si>
  <si>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</si>
  <si>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</si>
  <si>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</si>
  <si>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</si>
  <si>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</si>
  <si>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</si>
  <si>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</si>
  <si>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</si>
  <si>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</si>
  <si>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</si>
  <si>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</si>
  <si>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</si>
  <si>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</si>
  <si>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</si>
  <si>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</si>
  <si>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</si>
  <si>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</si>
  <si>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</si>
  <si>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</si>
  <si>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</si>
  <si>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</si>
  <si>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</si>
  <si>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</si>
  <si>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</si>
  <si>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</si>
  <si>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</si>
  <si>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</si>
  <si>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</si>
  <si>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</si>
  <si>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</si>
  <si>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</si>
  <si>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</si>
  <si>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</si>
  <si>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</si>
  <si>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</si>
  <si>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</si>
  <si>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</si>
  <si>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</si>
  <si>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</si>
  <si>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</si>
  <si>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</si>
  <si>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</si>
  <si>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</si>
  <si>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</si>
  <si>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</si>
  <si>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</si>
  <si>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</si>
  <si>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</si>
  <si>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</si>
  <si>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</si>
  <si>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</si>
  <si>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</si>
  <si>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</si>
  <si>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</si>
  <si>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</si>
  <si>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</si>
  <si>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</si>
  <si>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</si>
  <si>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</si>
  <si>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</si>
  <si>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</si>
  <si>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</si>
  <si>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</si>
  <si>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</si>
  <si>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</si>
  <si>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</si>
  <si>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</si>
  <si>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</si>
  <si>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</si>
  <si>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</si>
  <si>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</si>
  <si>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</si>
  <si>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</si>
  <si>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</si>
  <si>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</si>
  <si>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</si>
  <si>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</si>
  <si>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</si>
  <si>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</si>
  <si>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</si>
  <si>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</si>
  <si>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</si>
  <si>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</si>
  <si>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</si>
  <si>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</si>
  <si>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</si>
  <si>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</si>
  <si>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</si>
  <si>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</si>
  <si>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</si>
  <si>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</si>
  <si>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</si>
  <si>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</si>
  <si>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</si>
  <si>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</si>
  <si>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</si>
  <si>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</si>
  <si>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</si>
  <si>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</si>
  <si>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</si>
  <si>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</si>
  <si>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</si>
  <si>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</si>
  <si>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</si>
  <si>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</si>
  <si>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</si>
  <si>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</si>
  <si>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</si>
  <si>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</si>
  <si>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</si>
  <si>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</si>
  <si>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</si>
  <si>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</si>
  <si>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</si>
  <si>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</si>
  <si>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</si>
  <si>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</si>
  <si>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</si>
  <si>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</si>
  <si>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</si>
  <si>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</si>
  <si>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</si>
  <si>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</si>
  <si>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</si>
  <si>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</si>
  <si>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</si>
  <si>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</si>
  <si>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</si>
  <si>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</si>
  <si>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</si>
  <si>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</si>
  <si>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</si>
  <si>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</si>
  <si>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</si>
  <si>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</si>
  <si>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</si>
  <si>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</si>
  <si>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</si>
  <si>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</si>
  <si>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</si>
  <si>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</si>
  <si>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</si>
  <si>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</si>
  <si>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</si>
  <si>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</si>
  <si>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</si>
  <si>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</si>
  <si>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</si>
  <si>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</si>
  <si>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</si>
  <si>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</si>
  <si>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</si>
  <si>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</si>
  <si>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</si>
  <si>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</si>
  <si>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</si>
  <si>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</si>
  <si>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</si>
  <si>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</si>
  <si>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</si>
  <si>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</si>
  <si>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</si>
  <si>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</si>
  <si>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</si>
  <si>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</si>
  <si>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</si>
  <si>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</si>
  <si>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</si>
  <si>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</si>
  <si>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</si>
  <si>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</si>
  <si>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</si>
  <si>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</si>
  <si>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</si>
  <si>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</si>
  <si>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</si>
  <si>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</si>
  <si>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</si>
  <si>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</si>
  <si>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</si>
  <si>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</si>
  <si>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</si>
  <si>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</si>
  <si>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</si>
  <si>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</si>
  <si>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</si>
  <si>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</si>
  <si>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</si>
  <si>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</si>
  <si>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</si>
  <si>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</si>
  <si>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</si>
  <si>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</si>
  <si>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</si>
  <si>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</si>
  <si>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</si>
  <si>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</si>
  <si>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</si>
  <si>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</si>
  <si>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</si>
  <si>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</si>
  <si>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</si>
  <si>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</si>
  <si>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</si>
  <si>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</si>
  <si>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</si>
  <si>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</si>
  <si>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</si>
  <si>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</si>
  <si>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</si>
  <si>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</si>
  <si>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</si>
  <si>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</si>
  <si>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</si>
  <si>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</si>
  <si>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</si>
  <si>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</si>
  <si>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</si>
  <si>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</si>
  <si>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</si>
  <si>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</si>
  <si>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</si>
  <si>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</si>
  <si>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</si>
  <si>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</si>
  <si>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</si>
  <si>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</si>
  <si>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</si>
  <si>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</si>
  <si>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</si>
  <si>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</si>
  <si>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</si>
  <si>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</si>
  <si>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</si>
  <si>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</si>
  <si>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</si>
  <si>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</si>
  <si>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</si>
  <si>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</si>
  <si>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</si>
  <si>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</si>
  <si>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</si>
  <si>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</si>
  <si>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</si>
  <si>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</si>
  <si>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</si>
  <si>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</si>
  <si>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</si>
  <si>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</si>
  <si>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</si>
  <si>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</si>
  <si>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</si>
  <si>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</si>
  <si>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</si>
  <si>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</si>
  <si>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</si>
  <si>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</si>
  <si>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</si>
  <si>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</si>
  <si>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</si>
  <si>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</si>
  <si>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</si>
  <si>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</si>
  <si>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</si>
  <si>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</si>
  <si>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</si>
  <si>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</si>
  <si>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</si>
  <si>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</si>
  <si>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</si>
  <si>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</si>
  <si>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</si>
  <si>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</si>
  <si>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</si>
  <si>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</si>
  <si>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</si>
  <si>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</si>
  <si>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</si>
  <si>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</si>
  <si>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</si>
  <si>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</si>
  <si>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</si>
  <si>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</si>
  <si>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</si>
  <si>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</si>
  <si>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</si>
  <si>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</si>
  <si>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</si>
  <si>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</si>
  <si>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</si>
  <si>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</si>
  <si>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</si>
  <si>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</si>
  <si>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</si>
  <si>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</si>
  <si>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</si>
  <si>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</si>
  <si>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</si>
  <si>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</si>
  <si>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</si>
  <si>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</si>
  <si>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</si>
  <si>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</si>
  <si>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</si>
  <si>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</si>
  <si>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</si>
  <si>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</si>
  <si>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</si>
  <si>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</si>
  <si>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</si>
  <si>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</si>
  <si>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</si>
  <si>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</si>
  <si>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</si>
  <si>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</si>
  <si>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</si>
  <si>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</si>
  <si>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</si>
  <si>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</si>
  <si>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</si>
  <si>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</si>
  <si>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</si>
  <si>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</si>
  <si>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</si>
  <si>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</si>
  <si>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</si>
  <si>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</si>
  <si>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</si>
  <si>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</si>
  <si>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</si>
  <si>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</si>
  <si>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</si>
  <si>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</si>
  <si>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</si>
  <si>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</si>
  <si>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</si>
  <si>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</si>
  <si>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</si>
  <si>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</si>
  <si>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</si>
  <si>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</si>
  <si>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</si>
  <si>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</si>
  <si>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</si>
  <si>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</si>
  <si>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</si>
  <si>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</si>
  <si>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</si>
  <si>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</si>
  <si>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</si>
  <si>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</si>
  <si>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</si>
  <si>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</si>
  <si>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</si>
  <si>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</si>
  <si>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</si>
  <si>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</si>
  <si>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</si>
  <si>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</si>
  <si>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</si>
  <si>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</si>
  <si>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</si>
  <si>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</si>
  <si>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</si>
  <si>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</si>
  <si>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</si>
  <si>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</si>
  <si>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</si>
  <si>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</si>
  <si>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</si>
  <si>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</si>
  <si>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</si>
  <si>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</si>
  <si>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</si>
  <si>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</si>
  <si>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</si>
  <si>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</si>
  <si>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</si>
  <si>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</si>
  <si>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</si>
  <si>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</si>
  <si>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</si>
  <si>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</si>
  <si>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</si>
  <si>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</si>
  <si>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</si>
  <si>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</si>
  <si>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</si>
  <si>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</si>
  <si>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</si>
  <si>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</si>
  <si>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</si>
  <si>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</si>
  <si>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</si>
  <si>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</si>
  <si>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</si>
  <si>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</si>
  <si>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</si>
  <si>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</si>
  <si>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</si>
  <si>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</si>
  <si>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</si>
  <si>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</si>
  <si>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</si>
  <si>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</si>
  <si>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</si>
  <si>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</si>
  <si>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</si>
  <si>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</si>
  <si>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</si>
  <si>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</si>
  <si>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</si>
  <si>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</si>
  <si>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</si>
  <si>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</si>
  <si>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</si>
  <si>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</si>
  <si>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</si>
  <si>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</si>
  <si>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</si>
  <si>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</si>
  <si>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</si>
  <si>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</si>
  <si>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</si>
  <si>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</si>
  <si>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</si>
  <si>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</si>
  <si>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</si>
  <si>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</si>
  <si>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</si>
  <si>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</si>
  <si>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</si>
  <si>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</si>
  <si>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</si>
  <si>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</si>
  <si>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</si>
  <si>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</si>
  <si>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</si>
  <si>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</si>
  <si>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</si>
  <si>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</si>
  <si>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</si>
  <si>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</si>
  <si>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</si>
  <si>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</si>
  <si>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</si>
  <si>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</si>
  <si>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</si>
  <si>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</si>
  <si>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</si>
  <si>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</si>
  <si>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</si>
  <si>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</si>
  <si>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</si>
  <si>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</si>
  <si>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</si>
  <si>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</si>
  <si>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</si>
  <si>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</si>
  <si>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</si>
  <si>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</si>
  <si>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</si>
  <si>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</si>
  <si>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</si>
  <si>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</si>
  <si>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</si>
  <si>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</si>
  <si>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</si>
  <si>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</si>
  <si>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</si>
  <si>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</si>
  <si>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</si>
  <si>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</si>
  <si>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</si>
  <si>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</si>
  <si>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</si>
  <si>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</si>
  <si>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</si>
  <si>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</si>
  <si>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</si>
  <si>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</si>
  <si>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</si>
  <si>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</si>
  <si>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</si>
  <si>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</si>
  <si>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</si>
  <si>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</si>
  <si>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</si>
  <si>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</si>
  <si>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</si>
  <si>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</si>
  <si>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</si>
  <si>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</si>
  <si>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</si>
  <si>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</si>
  <si>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</si>
  <si>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</si>
  <si>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</si>
  <si>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</si>
  <si>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</si>
  <si>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</si>
  <si>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</si>
  <si>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</si>
  <si>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</si>
  <si>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</si>
  <si>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</si>
  <si>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</si>
  <si>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</si>
  <si>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</si>
  <si>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</si>
  <si>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</si>
  <si>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</si>
  <si>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</si>
  <si>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</si>
  <si>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</si>
  <si>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</si>
  <si>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</si>
  <si>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</si>
  <si>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</si>
  <si>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</si>
  <si>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</si>
  <si>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</si>
  <si>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</si>
  <si>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</si>
  <si>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</si>
  <si>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</si>
  <si>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</si>
  <si>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</si>
  <si>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</si>
  <si>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</si>
  <si>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</si>
  <si>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</si>
  <si>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</si>
  <si>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</si>
  <si>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</si>
  <si>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</si>
  <si>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</si>
  <si>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</si>
  <si>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</si>
  <si>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</si>
  <si>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</si>
  <si>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</si>
  <si>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</si>
  <si>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</si>
  <si>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</si>
  <si>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</si>
  <si>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</si>
  <si>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</si>
  <si>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</si>
  <si>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</si>
  <si>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</si>
  <si>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</si>
  <si>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</si>
  <si>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</si>
  <si>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</si>
  <si>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</si>
  <si>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</si>
  <si>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</si>
  <si>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</si>
  <si>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</si>
  <si>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</si>
  <si>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</si>
  <si>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</si>
  <si>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</si>
  <si>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</si>
  <si>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</si>
  <si>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</si>
  <si>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</si>
  <si>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</si>
  <si>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</si>
  <si>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</si>
  <si>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</si>
  <si>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</si>
  <si>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</si>
  <si>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</si>
  <si>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</si>
  <si>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</si>
  <si>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</si>
  <si>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</si>
  <si>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</si>
  <si>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</si>
  <si>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</si>
  <si>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</si>
  <si>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</si>
  <si>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</si>
  <si>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</si>
  <si>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</si>
  <si>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</si>
  <si>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</si>
  <si>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</si>
  <si>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</si>
  <si>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</si>
  <si>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</si>
  <si>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</si>
  <si>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</si>
  <si>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</si>
  <si>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</si>
  <si>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</si>
  <si>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</si>
  <si>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</si>
  <si>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</si>
  <si>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</si>
  <si>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</si>
  <si>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</si>
  <si>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</si>
  <si>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</si>
  <si>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</si>
  <si>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</si>
  <si>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</si>
  <si>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</si>
  <si>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</si>
  <si>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</si>
  <si>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</si>
  <si>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</si>
  <si>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</si>
  <si>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</si>
  <si>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</si>
  <si>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</si>
  <si>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</si>
  <si>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</si>
  <si>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</si>
  <si>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</si>
  <si>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</si>
  <si>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</si>
  <si>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</si>
  <si>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</si>
  <si>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</si>
  <si>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</si>
  <si>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</si>
  <si>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</si>
  <si>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</si>
  <si>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</si>
  <si>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</si>
  <si>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</si>
  <si>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</si>
  <si>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</si>
  <si>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</si>
  <si>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</si>
  <si>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</si>
  <si>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</si>
  <si>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</si>
  <si>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</si>
  <si>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</si>
  <si>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</si>
  <si>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</si>
  <si>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</si>
  <si>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</si>
  <si>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</si>
  <si>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</si>
  <si>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</si>
  <si>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</si>
  <si>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</si>
  <si>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</si>
  <si>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</si>
  <si>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</si>
  <si>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</si>
  <si>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</si>
  <si>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</si>
  <si>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</si>
  <si>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</si>
  <si>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</si>
  <si>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</si>
  <si>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</si>
  <si>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</si>
  <si>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</si>
  <si>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</si>
  <si>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</si>
  <si>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</si>
  <si>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</si>
  <si>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</si>
  <si>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</si>
  <si>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</si>
  <si>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</si>
  <si>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</si>
  <si>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</si>
  <si>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</si>
  <si>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</si>
  <si>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</si>
  <si>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</si>
  <si>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</si>
  <si>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</si>
  <si>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</si>
  <si>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</si>
  <si>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</si>
  <si>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</si>
  <si>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</si>
  <si>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</si>
  <si>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</si>
  <si>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</si>
  <si>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</si>
  <si>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</si>
  <si>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</si>
  <si>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</si>
  <si>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</si>
  <si>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</si>
  <si>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</si>
  <si>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</si>
  <si>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</si>
  <si>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</si>
  <si>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</si>
  <si>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</si>
  <si>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</si>
  <si>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</si>
  <si>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</si>
  <si>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</si>
  <si>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</si>
  <si>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</si>
  <si>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</si>
  <si>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</si>
  <si>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</si>
  <si>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</si>
  <si>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</si>
  <si>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</si>
  <si>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</si>
  <si>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</si>
  <si>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</si>
  <si>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</si>
  <si>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</si>
  <si>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</si>
  <si>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</si>
  <si>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</si>
  <si>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</si>
  <si>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</si>
  <si>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</si>
  <si>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</si>
  <si>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</si>
  <si>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</si>
  <si>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</si>
  <si>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</si>
  <si>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</si>
  <si>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</si>
  <si>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</si>
  <si>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</si>
  <si>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</si>
  <si>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</si>
  <si>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</si>
  <si>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</si>
  <si>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</si>
  <si>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</si>
  <si>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</si>
  <si>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</si>
  <si>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</si>
  <si>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</si>
  <si>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</si>
  <si>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</si>
  <si>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</si>
  <si>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</si>
  <si>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</si>
  <si>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</si>
  <si>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</si>
  <si>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</si>
  <si>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</si>
  <si>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</si>
  <si>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</si>
  <si>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</si>
  <si>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</si>
  <si>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</si>
  <si>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</si>
  <si>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</si>
  <si>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</si>
  <si>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</si>
  <si>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</si>
  <si>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</si>
  <si>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</si>
  <si>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</si>
  <si>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</si>
  <si>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</si>
  <si>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</si>
  <si>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</si>
  <si>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</si>
  <si>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</si>
  <si>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</si>
  <si>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</si>
  <si>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</si>
  <si>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</si>
  <si>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</si>
  <si>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</si>
  <si>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</si>
  <si>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</si>
  <si>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</si>
  <si>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</si>
  <si>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</si>
  <si>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</si>
  <si>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</si>
  <si>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</si>
  <si>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</si>
  <si>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</si>
  <si>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</si>
  <si>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</si>
  <si>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</si>
  <si>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</si>
  <si>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</si>
  <si>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</si>
  <si>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</si>
  <si>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</si>
  <si>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</si>
  <si>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</si>
  <si>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</si>
  <si>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</si>
  <si>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</si>
  <si>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</si>
  <si>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</si>
  <si>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</si>
  <si>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</si>
  <si>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</si>
  <si>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</si>
  <si>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</si>
  <si>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</si>
  <si>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</si>
  <si>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</si>
  <si>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</si>
  <si>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</si>
  <si>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</si>
  <si>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</si>
  <si>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</si>
  <si>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</si>
  <si>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</si>
  <si>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</si>
  <si>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</si>
  <si>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</si>
  <si>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</si>
  <si>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</si>
  <si>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</si>
  <si>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</si>
  <si>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</si>
  <si>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</si>
  <si>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</si>
  <si>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</si>
  <si>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</si>
  <si>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</si>
  <si>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</si>
  <si>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</si>
  <si>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</si>
  <si>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</si>
  <si>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</si>
  <si>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</si>
  <si>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</si>
  <si>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</si>
  <si>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</si>
  <si>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</si>
  <si>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</si>
  <si>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</si>
  <si>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</si>
  <si>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</si>
  <si>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</si>
  <si>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</si>
  <si>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</si>
  <si>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</si>
  <si>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</si>
  <si>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</si>
  <si>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</si>
  <si>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</si>
  <si>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</si>
  <si>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</si>
  <si>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</si>
  <si>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</si>
  <si>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</si>
  <si>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</si>
  <si>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</si>
  <si>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</si>
  <si>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</si>
  <si>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</si>
  <si>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</si>
  <si>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</si>
  <si>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</si>
  <si>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</si>
  <si>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</si>
  <si>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</si>
  <si>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</si>
  <si>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</si>
  <si>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</si>
  <si>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</si>
  <si>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</si>
  <si>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</si>
  <si>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</si>
  <si>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</si>
  <si>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</si>
  <si>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</si>
  <si>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</si>
  <si>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</si>
  <si>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</si>
  <si>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</si>
  <si>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</si>
  <si>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</si>
  <si>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</si>
  <si>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</si>
  <si>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</si>
  <si>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</si>
  <si>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</si>
  <si>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</si>
  <si>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</si>
  <si>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</si>
  <si>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</si>
  <si>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</si>
  <si>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</si>
  <si>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</si>
  <si>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</si>
  <si>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</si>
  <si>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</si>
  <si>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</si>
  <si>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</si>
  <si>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</si>
  <si>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</si>
  <si>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</si>
  <si>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</si>
  <si>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</si>
  <si>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</si>
  <si>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</si>
  <si>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</si>
  <si>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</si>
  <si>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</si>
  <si>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</si>
  <si>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</si>
  <si>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</si>
  <si>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</si>
  <si>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</si>
  <si>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</si>
  <si>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</si>
  <si>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</si>
  <si>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</si>
  <si>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</si>
  <si>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</si>
  <si>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</si>
  <si>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</si>
  <si>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</si>
  <si>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</si>
  <si>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</si>
  <si>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</si>
  <si>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</si>
  <si>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</si>
  <si>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</si>
  <si>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</si>
  <si>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</si>
  <si>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</si>
  <si>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</si>
  <si>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</si>
  <si>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</si>
  <si>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</si>
  <si>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</si>
  <si>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</si>
  <si>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</si>
  <si>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</si>
  <si>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</si>
  <si>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</si>
  <si>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</si>
  <si>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</si>
  <si>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</si>
  <si>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</si>
  <si>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</si>
  <si>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</si>
  <si>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</si>
  <si>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</si>
  <si>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</si>
  <si>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</si>
  <si>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</si>
  <si>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</si>
  <si>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</si>
  <si>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</si>
  <si>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</si>
  <si>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</si>
  <si>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</si>
  <si>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</si>
  <si>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</si>
  <si>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</si>
  <si>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</si>
  <si>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</si>
  <si>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</si>
  <si>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</si>
  <si>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</si>
  <si>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</si>
  <si>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</si>
  <si>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</si>
  <si>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</si>
  <si>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</si>
  <si>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</si>
  <si>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</si>
  <si>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</si>
  <si>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</si>
  <si>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</si>
  <si>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</si>
  <si>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</si>
  <si>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</si>
  <si>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</si>
  <si>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</si>
  <si>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</si>
  <si>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</si>
  <si>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</si>
  <si>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</si>
  <si>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</si>
  <si>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</si>
  <si>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</si>
  <si>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</si>
  <si>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</si>
  <si>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</si>
  <si>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</si>
  <si>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</si>
  <si>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</si>
  <si>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</si>
  <si>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</si>
  <si>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</si>
  <si>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</si>
  <si>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</si>
  <si>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</si>
  <si>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</si>
  <si>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</si>
  <si>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</si>
  <si>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</si>
  <si>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</si>
  <si>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</si>
  <si>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</si>
  <si>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</si>
  <si>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</si>
  <si>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</si>
  <si>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</si>
  <si>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</si>
  <si>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</si>
  <si>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</si>
  <si>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</si>
  <si>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</si>
  <si>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</si>
  <si>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</si>
  <si>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</si>
  <si>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</si>
  <si>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</si>
  <si>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</si>
  <si>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</si>
  <si>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</si>
  <si>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</si>
  <si>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</si>
  <si>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</si>
  <si>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</si>
  <si>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</si>
  <si>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</si>
  <si>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</si>
  <si>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</si>
  <si>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</si>
  <si>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</si>
  <si>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</si>
  <si>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</si>
  <si>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</si>
  <si>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</si>
  <si>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</si>
  <si>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</si>
  <si>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</si>
  <si>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</si>
  <si>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</si>
  <si>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</si>
  <si>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</si>
  <si>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</si>
  <si>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</si>
  <si>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</si>
  <si>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</si>
  <si>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</si>
  <si>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</si>
  <si>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</si>
  <si>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</si>
  <si>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</si>
  <si>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</si>
  <si>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</si>
  <si>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</si>
  <si>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</si>
  <si>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</si>
  <si>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</si>
  <si>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</si>
  <si>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</si>
  <si>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</si>
  <si>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</si>
  <si>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</si>
  <si>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</si>
  <si>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</si>
  <si>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</si>
  <si>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</si>
  <si>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</si>
  <si>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</si>
  <si>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</si>
  <si>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</si>
  <si>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</si>
  <si>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</si>
  <si>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</si>
  <si>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</si>
  <si>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</si>
  <si>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</si>
  <si>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</si>
  <si>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</si>
  <si>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</si>
  <si>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</si>
  <si>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</si>
  <si>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</si>
  <si>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</si>
  <si>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</si>
  <si>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</si>
  <si>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</si>
  <si>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</si>
  <si>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</si>
  <si>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</si>
  <si>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</si>
  <si>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</si>
  <si>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</si>
  <si>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</si>
  <si>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</si>
  <si>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</si>
  <si>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</si>
  <si>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</si>
  <si>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</si>
  <si>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</si>
  <si>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</si>
  <si>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</si>
  <si>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</si>
  <si>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</si>
  <si>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</si>
  <si>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</si>
  <si>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</si>
  <si>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</si>
  <si>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</si>
  <si>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</si>
  <si>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</si>
  <si>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</si>
  <si>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</si>
  <si>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</si>
  <si>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</si>
  <si>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</si>
  <si>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</si>
  <si>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</si>
  <si>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</si>
  <si>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</si>
  <si>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</si>
  <si>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</si>
  <si>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</si>
  <si>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</si>
  <si>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</si>
  <si>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</si>
  <si>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</si>
  <si>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</si>
  <si>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</si>
  <si>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</si>
  <si>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</si>
  <si>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</si>
  <si>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</si>
  <si>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</si>
  <si>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</si>
  <si>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</si>
  <si>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</si>
  <si>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</si>
  <si>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</si>
  <si>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</si>
  <si>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</si>
  <si>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</si>
  <si>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</si>
  <si>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</si>
  <si>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</si>
  <si>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</si>
  <si>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</si>
  <si>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</si>
  <si>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</si>
  <si>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</si>
  <si>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</si>
  <si>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</si>
  <si>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</si>
  <si>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</si>
  <si>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</si>
  <si>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</si>
  <si>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</si>
  <si>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</si>
  <si>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</si>
  <si>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</si>
  <si>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</si>
  <si>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</si>
  <si>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</si>
  <si>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</si>
  <si>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</si>
  <si>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</si>
  <si>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</si>
  <si>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</si>
  <si>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</si>
  <si>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</si>
  <si>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</si>
  <si>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</si>
  <si>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</si>
  <si>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</si>
  <si>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</si>
  <si>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</si>
  <si>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</si>
  <si>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</si>
  <si>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</si>
  <si>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</si>
  <si>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</si>
  <si>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</si>
  <si>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</si>
  <si>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</si>
  <si>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</si>
  <si>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</si>
  <si>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</si>
  <si>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</si>
  <si>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</si>
  <si>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</si>
  <si>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</si>
  <si>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</si>
  <si>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</si>
  <si>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</si>
  <si>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</si>
  <si>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</si>
  <si>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</si>
  <si>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</si>
  <si>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</si>
  <si>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</si>
  <si>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</si>
  <si>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</si>
  <si>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</si>
  <si>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</si>
  <si>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</si>
  <si>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</si>
  <si>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</si>
  <si>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</si>
  <si>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</si>
  <si>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</si>
  <si>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</si>
  <si>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</si>
  <si>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</si>
  <si>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</si>
  <si>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</si>
  <si>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</si>
  <si>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</si>
  <si>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</si>
  <si>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</si>
  <si>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</si>
  <si>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</si>
  <si>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</si>
  <si>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</si>
  <si>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</si>
  <si>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</si>
  <si>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</si>
  <si>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</si>
  <si>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</si>
  <si>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</si>
  <si>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</si>
  <si>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</si>
  <si>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</si>
  <si>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</si>
  <si>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</si>
  <si>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</si>
  <si>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</si>
  <si>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</si>
  <si>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</si>
  <si>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</si>
  <si>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</si>
  <si>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</si>
  <si>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</si>
  <si>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</si>
  <si>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</si>
  <si>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</si>
  <si>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</si>
  <si>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</si>
  <si>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</si>
  <si>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</si>
  <si>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</si>
  <si>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</si>
  <si>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</si>
  <si>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</si>
  <si>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</si>
  <si>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</si>
  <si>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</si>
  <si>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</si>
  <si>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</si>
  <si>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</si>
  <si>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</si>
  <si>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</si>
  <si>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</si>
  <si>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</si>
  <si>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</si>
  <si>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</si>
  <si>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</si>
  <si>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</si>
  <si>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</si>
  <si>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</si>
  <si>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</si>
  <si>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</si>
  <si>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</si>
  <si>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</si>
  <si>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</si>
  <si>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</si>
  <si>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</si>
  <si>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</si>
  <si>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</si>
  <si>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</si>
  <si>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</si>
  <si>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</si>
  <si>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</si>
  <si>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</si>
  <si>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</si>
  <si>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</si>
  <si>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</si>
  <si>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</si>
  <si>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</si>
  <si>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</si>
  <si>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</si>
  <si>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</si>
  <si>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</si>
  <si>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</si>
  <si>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</si>
  <si>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</si>
  <si>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</si>
  <si>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</si>
  <si>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</si>
  <si>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</si>
  <si>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</si>
  <si>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</si>
  <si>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</si>
  <si>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</si>
  <si>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</si>
  <si>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</si>
  <si>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</si>
  <si>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</si>
  <si>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</si>
  <si>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</si>
  <si>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</si>
  <si>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</si>
  <si>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</si>
  <si>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</si>
  <si>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</si>
  <si>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</si>
  <si>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</si>
  <si>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</si>
  <si>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</si>
  <si>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</si>
  <si>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</si>
  <si>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</si>
  <si>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</si>
  <si>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</si>
  <si>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</si>
  <si>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</si>
  <si>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</si>
  <si>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</si>
  <si>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</si>
  <si>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</si>
  <si>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</si>
  <si>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</si>
  <si>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</si>
  <si>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</si>
  <si>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</si>
  <si>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</si>
  <si>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</si>
  <si>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</si>
  <si>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</si>
  <si>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</si>
  <si>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</si>
  <si>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</si>
  <si>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</si>
  <si>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</si>
  <si>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</si>
  <si>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</si>
  <si>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</si>
  <si>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</si>
  <si>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</si>
  <si>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</si>
  <si>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</si>
  <si>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</si>
  <si>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</si>
  <si>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</si>
  <si>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</si>
  <si>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</si>
  <si>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</si>
  <si>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</si>
  <si>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</si>
  <si>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</si>
  <si>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</si>
  <si>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</si>
  <si>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</si>
  <si>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</si>
  <si>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</si>
  <si>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</si>
  <si>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</si>
  <si>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</si>
  <si>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</si>
  <si>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</si>
  <si>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</si>
  <si>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</si>
  <si>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</si>
  <si>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</si>
  <si>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</si>
  <si>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</si>
  <si>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</si>
  <si>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</si>
  <si>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</si>
  <si>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</si>
  <si>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</si>
  <si>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</si>
  <si>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</si>
  <si>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</si>
  <si>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</si>
  <si>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</si>
  <si>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</si>
  <si>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</si>
  <si>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</si>
  <si>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</si>
  <si>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</si>
  <si>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</si>
  <si>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</si>
  <si>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</si>
  <si>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</si>
  <si>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</si>
  <si>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</si>
  <si>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</si>
  <si>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</si>
  <si>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</si>
  <si>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</si>
  <si>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</si>
  <si>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</si>
  <si>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</si>
  <si>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</si>
  <si>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</si>
  <si>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</si>
  <si>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</si>
  <si>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</si>
  <si>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</si>
  <si>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</si>
  <si>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</si>
  <si>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</si>
  <si>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</si>
  <si>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</si>
  <si>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</si>
  <si>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</si>
  <si>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</si>
  <si>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</si>
  <si>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</si>
  <si>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</si>
  <si>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</si>
  <si>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</si>
  <si>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</si>
  <si>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</si>
  <si>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</si>
  <si>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</si>
  <si>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</si>
  <si>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</si>
  <si>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</si>
  <si>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</si>
  <si>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</si>
  <si>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</si>
  <si>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</si>
  <si>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</si>
  <si>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</si>
  <si>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</si>
  <si>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</si>
  <si>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</si>
  <si>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</si>
  <si>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</si>
  <si>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</si>
  <si>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</si>
  <si>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</si>
  <si>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</si>
  <si>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</si>
  <si>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</si>
  <si>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</si>
  <si>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</si>
  <si>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</si>
  <si>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</si>
  <si>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</si>
  <si>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</si>
  <si>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</si>
  <si>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</si>
  <si>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</si>
  <si>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</si>
  <si>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</si>
  <si>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</si>
  <si>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</si>
  <si>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</si>
  <si>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</si>
  <si>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</si>
  <si>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</si>
  <si>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</si>
  <si>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</si>
  <si>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</si>
  <si>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</si>
  <si>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</si>
  <si>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</si>
  <si>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</si>
  <si>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</si>
  <si>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</si>
  <si>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</si>
  <si>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</si>
  <si>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</si>
  <si>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</si>
  <si>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</si>
  <si>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</si>
  <si>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</si>
  <si>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</si>
  <si>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</si>
  <si>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</si>
  <si>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</si>
  <si>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</si>
  <si>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</si>
  <si>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</si>
  <si>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</si>
  <si>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</si>
  <si>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</si>
  <si>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</si>
  <si>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</si>
  <si>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</si>
  <si>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</si>
  <si>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</si>
  <si>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</si>
  <si>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</si>
  <si>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</si>
  <si>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</si>
  <si>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</si>
  <si>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</si>
  <si>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</si>
  <si>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</si>
  <si>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</si>
  <si>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</si>
  <si>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</si>
  <si>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</si>
  <si>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</si>
  <si>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</si>
  <si>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</si>
  <si>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</si>
  <si>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</si>
  <si>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</si>
  <si>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</si>
  <si>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</si>
  <si>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</si>
  <si>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</si>
  <si>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</si>
  <si>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</si>
  <si>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</si>
  <si>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</si>
  <si>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</si>
  <si>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</si>
  <si>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</si>
  <si>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</si>
  <si>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</si>
  <si>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</si>
  <si>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</si>
  <si>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</si>
  <si>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</si>
  <si>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</si>
  <si>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</si>
  <si>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</si>
  <si>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</si>
  <si>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</si>
  <si>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</si>
  <si>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</si>
  <si>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</si>
  <si>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</si>
  <si>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</si>
  <si>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</si>
  <si>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</si>
  <si>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</si>
  <si>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</si>
  <si>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</si>
  <si>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</si>
  <si>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</si>
  <si>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</si>
  <si>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</si>
  <si>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</si>
  <si>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</si>
  <si>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</si>
  <si>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</si>
  <si>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</si>
  <si>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</si>
  <si>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</si>
  <si>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</si>
  <si>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</si>
  <si>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</si>
  <si>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</si>
  <si>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</si>
  <si>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</si>
  <si>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</si>
  <si>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</si>
  <si>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</si>
  <si>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</si>
  <si>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</si>
  <si>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</si>
  <si>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</si>
  <si>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</si>
  <si>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</si>
  <si>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</si>
  <si>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</si>
  <si>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</si>
  <si>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</si>
  <si>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</si>
  <si>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</si>
  <si>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</si>
  <si>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</si>
  <si>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</si>
  <si>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</si>
  <si>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</si>
  <si>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</si>
  <si>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</si>
  <si>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</si>
  <si>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</si>
  <si>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</si>
  <si>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</si>
  <si>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</si>
  <si>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</si>
  <si>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</si>
  <si>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</si>
  <si>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</si>
  <si>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</si>
  <si>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</si>
  <si>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</si>
  <si>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</si>
  <si>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</si>
  <si>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</si>
  <si>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</si>
  <si>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</si>
  <si>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</si>
  <si>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</si>
  <si>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</si>
  <si>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</si>
  <si>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</si>
  <si>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</si>
  <si>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</si>
  <si>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</si>
  <si>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</si>
  <si>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</si>
  <si>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</si>
  <si>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</si>
  <si>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</si>
  <si>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</si>
  <si>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</si>
  <si>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</si>
  <si>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</si>
  <si>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</si>
  <si>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</si>
  <si>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</si>
  <si>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</si>
  <si>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</si>
  <si>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</si>
  <si>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</si>
  <si>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</si>
  <si>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</si>
  <si>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</si>
  <si>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</si>
  <si>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</si>
  <si>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</si>
  <si>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</si>
  <si>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</si>
  <si>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</si>
  <si>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</si>
  <si>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</si>
  <si>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</si>
  <si>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</si>
  <si>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</si>
  <si>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</si>
  <si>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</si>
  <si>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</si>
  <si>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</si>
  <si>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</si>
  <si>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</si>
  <si>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</si>
  <si>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</si>
  <si>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</si>
  <si>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</si>
  <si>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</si>
  <si>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</si>
  <si>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</si>
  <si>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</si>
  <si>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</si>
  <si>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</si>
  <si>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</si>
  <si>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</si>
  <si>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</si>
  <si>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</si>
  <si>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</si>
  <si>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</si>
  <si>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</si>
  <si>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</si>
  <si>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</si>
  <si>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</si>
  <si>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</si>
  <si>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</si>
  <si>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</si>
  <si>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</si>
  <si>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</si>
  <si>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</si>
  <si>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</si>
  <si>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</si>
  <si>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</si>
  <si>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</si>
  <si>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</si>
  <si>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</si>
  <si>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</si>
  <si>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</si>
  <si>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</si>
  <si>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</si>
  <si>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</si>
  <si>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</si>
  <si>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</si>
  <si>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</si>
  <si>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</si>
  <si>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</si>
  <si>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</si>
  <si>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</si>
  <si>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</si>
  <si>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</si>
  <si>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</si>
  <si>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</si>
  <si>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</si>
  <si>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</si>
  <si>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</si>
  <si>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</si>
  <si>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</si>
  <si>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</si>
  <si>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</si>
  <si>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</si>
  <si>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</si>
  <si>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</si>
  <si>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</si>
  <si>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</si>
  <si>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</si>
  <si>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</si>
  <si>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</si>
  <si>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</si>
  <si>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</si>
  <si>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</si>
  <si>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</si>
  <si>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</si>
  <si>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</si>
  <si>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</si>
  <si>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</si>
  <si>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</si>
  <si>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</si>
  <si>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</si>
  <si>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</si>
  <si>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</si>
  <si>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</si>
  <si>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</si>
  <si>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</si>
  <si>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</si>
  <si>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</si>
  <si>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</si>
  <si>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</si>
  <si>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</si>
  <si>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</si>
  <si>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</si>
  <si>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</si>
  <si>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</si>
  <si>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</si>
  <si>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</si>
  <si>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</si>
  <si>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</si>
  <si>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</si>
  <si>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</si>
  <si>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</si>
  <si>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</si>
  <si>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</si>
  <si>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</si>
  <si>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</si>
  <si>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</si>
  <si>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</si>
  <si>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</si>
  <si>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</si>
  <si>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</si>
  <si>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</si>
  <si>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</si>
  <si>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</si>
  <si>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</si>
  <si>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</si>
  <si>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</si>
  <si>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</si>
  <si>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</si>
  <si>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</si>
  <si>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</si>
  <si>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</si>
  <si>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</si>
  <si>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</si>
  <si>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</si>
  <si>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</si>
  <si>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</si>
  <si>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</si>
  <si>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</si>
  <si>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</si>
  <si>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</si>
  <si>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</si>
  <si>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</si>
  <si>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</si>
  <si>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</si>
  <si>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</si>
  <si>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</si>
  <si>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</si>
  <si>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</si>
  <si>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</si>
  <si>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</si>
  <si>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</si>
  <si>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</si>
  <si>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</si>
  <si>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</si>
  <si>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</si>
  <si>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</si>
  <si>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</si>
  <si>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</si>
  <si>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</si>
  <si>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</si>
  <si>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</si>
  <si>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</si>
  <si>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</si>
  <si>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</si>
  <si>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</si>
  <si>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</si>
  <si>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</si>
  <si>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</si>
  <si>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</si>
  <si>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</si>
  <si>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</si>
  <si>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</si>
  <si>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</si>
  <si>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</si>
  <si>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</si>
  <si>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</si>
  <si>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</si>
  <si>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</si>
  <si>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</si>
  <si>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</si>
  <si>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</si>
  <si>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</si>
  <si>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</si>
  <si>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</si>
  <si>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</si>
  <si>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</si>
  <si>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</si>
  <si>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</si>
  <si>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</si>
  <si>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</si>
  <si>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</si>
  <si>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</si>
  <si>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</si>
  <si>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</si>
  <si>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</si>
  <si>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</si>
  <si>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</si>
  <si>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</si>
  <si>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</si>
  <si>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</si>
  <si>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</si>
  <si>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</si>
  <si>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</si>
  <si>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</si>
  <si>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</si>
  <si>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</si>
  <si>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</si>
  <si>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</si>
  <si>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</si>
  <si>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</si>
  <si>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</si>
  <si>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</si>
  <si>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</si>
  <si>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</si>
  <si>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</si>
  <si>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</si>
  <si>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</si>
  <si>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</si>
  <si>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</si>
  <si>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</si>
  <si>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</si>
  <si>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</si>
  <si>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</si>
  <si>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</si>
  <si>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</si>
  <si>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</si>
  <si>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</si>
  <si>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</si>
  <si>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</si>
  <si>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</si>
  <si>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</si>
  <si>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</si>
  <si>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</si>
  <si>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</si>
  <si>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</si>
  <si>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</si>
  <si>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</si>
  <si>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</si>
  <si>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</si>
  <si>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</si>
  <si>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</si>
  <si>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</si>
  <si>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</si>
  <si>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</si>
  <si>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</si>
  <si>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</si>
  <si>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</si>
  <si>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</si>
  <si>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</si>
  <si>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</si>
  <si>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</si>
  <si>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</si>
  <si>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</si>
  <si>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</si>
  <si>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</si>
  <si>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</si>
  <si>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</si>
  <si>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</si>
  <si>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</si>
  <si>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</si>
  <si>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</si>
  <si>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</si>
  <si>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</si>
  <si>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</si>
  <si>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</si>
  <si>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</si>
  <si>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</si>
  <si>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</si>
  <si>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</si>
  <si>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</si>
  <si>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</si>
  <si>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</si>
  <si>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</si>
  <si>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</si>
  <si>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</si>
  <si>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</si>
  <si>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</si>
  <si>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</si>
  <si>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</si>
  <si>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</si>
  <si>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</si>
  <si>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</si>
  <si>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</si>
  <si>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</si>
  <si>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</si>
  <si>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</si>
  <si>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</si>
  <si>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</si>
  <si>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</si>
  <si>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</si>
  <si>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</si>
  <si>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</si>
  <si>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</si>
  <si>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</si>
  <si>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</si>
  <si>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</si>
  <si>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</si>
  <si>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</si>
  <si>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</si>
  <si>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</si>
  <si>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</si>
  <si>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</si>
  <si>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</si>
  <si>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</si>
  <si>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</si>
  <si>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</si>
  <si>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</si>
  <si>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</si>
  <si>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</si>
  <si>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</si>
  <si>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</si>
  <si>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</si>
  <si>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</si>
  <si>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</si>
  <si>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</si>
  <si>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</si>
  <si>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</si>
  <si>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</si>
  <si>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</si>
  <si>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</si>
  <si>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</si>
  <si>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</si>
  <si>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</si>
  <si>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</si>
  <si>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</si>
  <si>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</si>
  <si>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</si>
  <si>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</si>
  <si>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</si>
  <si>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</si>
  <si>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</si>
  <si>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</si>
  <si>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</si>
  <si>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</si>
  <si>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</si>
  <si>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</si>
  <si>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</si>
  <si>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</si>
  <si>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</si>
  <si>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</si>
  <si>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</si>
  <si>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</si>
  <si>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</si>
  <si>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</si>
  <si>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</si>
  <si>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</si>
  <si>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</si>
  <si>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</si>
  <si>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</si>
  <si>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</si>
  <si>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</si>
  <si>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</si>
  <si>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</si>
  <si>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</si>
  <si>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</si>
  <si>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</si>
  <si>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</si>
  <si>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</si>
  <si>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</si>
  <si>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</si>
  <si>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</si>
  <si>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</si>
  <si>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</si>
  <si>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</si>
  <si>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</si>
  <si>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</si>
  <si>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</si>
  <si>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</si>
  <si>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</si>
  <si>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</si>
  <si>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</si>
  <si>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</si>
  <si>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</si>
  <si>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</si>
  <si>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</si>
  <si>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</si>
  <si>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</si>
  <si>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</si>
  <si>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</si>
  <si>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</si>
  <si>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</si>
  <si>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</si>
  <si>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</si>
  <si>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</si>
  <si>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</si>
  <si>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</si>
  <si>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</si>
  <si>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</si>
  <si>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</si>
  <si>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</si>
  <si>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</si>
  <si>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</si>
  <si>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</si>
  <si>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</si>
  <si>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</si>
  <si>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</si>
  <si>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</si>
  <si>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</si>
  <si>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</si>
  <si>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</si>
  <si>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</si>
  <si>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</si>
  <si>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</si>
  <si>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</si>
  <si>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</si>
  <si>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</si>
  <si>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</si>
  <si>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</si>
  <si>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</si>
  <si>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</si>
  <si>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</si>
  <si>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</si>
  <si>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</si>
  <si>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</si>
  <si>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</si>
  <si>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</si>
  <si>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</si>
  <si>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</si>
  <si>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</si>
  <si>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</si>
  <si>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</si>
  <si>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</si>
  <si>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</si>
  <si>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</si>
  <si>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</si>
  <si>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</si>
  <si>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</si>
  <si>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</si>
  <si>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下渚湖街道宝塔山村</t>
  </si>
  <si>
    <t>湖州市</t>
  </si>
  <si>
    <t>商业/办公用地</t>
  </si>
  <si>
    <t>2017-425</t>
  </si>
  <si>
    <t>其他商服用地</t>
  </si>
  <si>
    <t>≥0.8且≤1.05</t>
  </si>
  <si>
    <t>2019-01-08</t>
  </si>
  <si>
    <t>德土资告(2018)拍字第32号</t>
  </si>
  <si>
    <t>浙江名达旅游开发有限公司</t>
  </si>
  <si>
    <t>40年</t>
  </si>
  <si>
    <t>0星</t>
  </si>
  <si>
    <t>莫干山镇高峰村</t>
  </si>
  <si>
    <t>2017-049</t>
  </si>
  <si>
    <t>≥1且≤1.2</t>
  </si>
  <si>
    <t>2019-01-03</t>
  </si>
  <si>
    <t>德土资告(2018)拍字第31号</t>
  </si>
  <si>
    <t>德清莫干山德信影视城开发有限公司</t>
  </si>
  <si>
    <t>批发零售用地</t>
  </si>
  <si>
    <t>武康街道春晖街北侧、康民路东侧</t>
  </si>
  <si>
    <t>2018-130</t>
  </si>
  <si>
    <t>≥1且≤1.1</t>
  </si>
  <si>
    <t>2018-12-25</t>
  </si>
  <si>
    <t>德土资告(2018)拍字第28号</t>
  </si>
  <si>
    <t>德清县博石置业有限公司</t>
  </si>
  <si>
    <t>莫干山镇燎原村</t>
  </si>
  <si>
    <t>商服用地</t>
  </si>
  <si>
    <t>舞阳街道科源路西侧、游子街北侧</t>
  </si>
  <si>
    <t>2012-165</t>
  </si>
  <si>
    <t>商务金融用地</t>
  </si>
  <si>
    <t>≥2.5且≤3</t>
  </si>
  <si>
    <t>2018-12-07</t>
  </si>
  <si>
    <t>德土资告(2018)拍字第26号</t>
  </si>
  <si>
    <t>浙江本码旗峰置业有限公司</t>
  </si>
  <si>
    <t>禹越镇越丰广场南侧、镇西路西侧</t>
  </si>
  <si>
    <t>2009-073</t>
  </si>
  <si>
    <t>≥2.2且≤2.51</t>
  </si>
  <si>
    <t>2018-11-08</t>
  </si>
  <si>
    <t>德土资告(2018)拍字第20号</t>
  </si>
  <si>
    <t>浙江旺川能源科技有限公司</t>
  </si>
  <si>
    <t>舞阳街道玉屏路东侧</t>
  </si>
  <si>
    <t>2016-523</t>
  </si>
  <si>
    <t>商业用地</t>
  </si>
  <si>
    <t>≥2.0且≤2.5</t>
  </si>
  <si>
    <t>2018-11-06</t>
  </si>
  <si>
    <t>德土资告(2018)拍字第19号</t>
  </si>
  <si>
    <t>德清县城市建设发展总公司</t>
  </si>
  <si>
    <t>1星</t>
  </si>
  <si>
    <t>2016-455</t>
  </si>
  <si>
    <t>德土资告(2018)拍字第18号</t>
  </si>
  <si>
    <t>武康街道城西村抛大坞</t>
  </si>
  <si>
    <t>2018-075</t>
  </si>
  <si>
    <t>≥1.5且≤1.9</t>
  </si>
  <si>
    <t>2018-09-26</t>
  </si>
  <si>
    <t>德土资告(2018)拍字第14号</t>
  </si>
  <si>
    <t>德清县银华通物流有限公司</t>
  </si>
  <si>
    <t>3星</t>
  </si>
  <si>
    <t>2017-042</t>
  </si>
  <si>
    <t>≥1且≤1.35</t>
  </si>
  <si>
    <t>德土资告(2018)拍字第15号</t>
  </si>
  <si>
    <t>浙江熙居旅游开发有限公司</t>
  </si>
  <si>
    <t>阜溪街道民进村</t>
  </si>
  <si>
    <t>2017-557</t>
  </si>
  <si>
    <t>≥1且≤1.3</t>
  </si>
  <si>
    <t>2018-08-17</t>
  </si>
  <si>
    <t>德土资告(2018)拍字第11号</t>
  </si>
  <si>
    <t>浙江青旅生态旅游开发有限公司</t>
  </si>
  <si>
    <t>2星</t>
  </si>
  <si>
    <t>武康街道余英溪北侧、304省道南侧</t>
  </si>
  <si>
    <t>2018-070</t>
  </si>
  <si>
    <t>≥0.98且≤1.08</t>
  </si>
  <si>
    <t>2018-07-12</t>
  </si>
  <si>
    <t>德土资告(2018)拍字第5号</t>
  </si>
  <si>
    <t>德清友诚观云置业有限公司</t>
  </si>
  <si>
    <t>2017-669</t>
  </si>
  <si>
    <t>德土资告(2018)拍字第8号</t>
  </si>
  <si>
    <t>德清御幸房地产开发有限公司</t>
  </si>
  <si>
    <t>2017-420</t>
  </si>
  <si>
    <t>≥0.3且≤0.57</t>
  </si>
  <si>
    <t>2018-04-16</t>
  </si>
  <si>
    <t>德土资告(2018)挂字第28号</t>
  </si>
  <si>
    <t>德清防风文化旅游发展有限公司</t>
  </si>
  <si>
    <t>2018-04-02</t>
  </si>
  <si>
    <t>雷甸镇下高桥村</t>
  </si>
  <si>
    <t>2012-059</t>
  </si>
  <si>
    <t>德土资告(2018)挂字第24号</t>
  </si>
  <si>
    <t>浙江德清通航机场有限公司</t>
  </si>
  <si>
    <t>舞阳街道科源路东侧、游子街北侧</t>
  </si>
  <si>
    <t>2012-192</t>
  </si>
  <si>
    <t>≥2.8且≤3</t>
  </si>
  <si>
    <t>2018-03-05</t>
  </si>
  <si>
    <t>德土资告(2018)挂字第16号</t>
  </si>
  <si>
    <t>德清宏创商务信息咨询有限公司</t>
  </si>
  <si>
    <t>乾元镇环城南路西侧、东苕溪东侧</t>
  </si>
  <si>
    <t>2017-643</t>
  </si>
  <si>
    <t>2018-02-08</t>
  </si>
  <si>
    <t>德土资告(2018)挂字第6号</t>
  </si>
  <si>
    <t>浙江永辉家私有限公司</t>
  </si>
  <si>
    <t>武康街道志远北路东侧、春晖街北侧</t>
  </si>
  <si>
    <t>2017-382</t>
  </si>
  <si>
    <t>≥2.4且≤2.7</t>
  </si>
  <si>
    <t>2018-01-18</t>
  </si>
  <si>
    <t>德土资告(2017)挂字第62号</t>
  </si>
  <si>
    <t>德清县建设投资有限公司</t>
  </si>
  <si>
    <t>2015-234-1</t>
  </si>
  <si>
    <t>德土资告(2017)挂字第61号</t>
  </si>
  <si>
    <t>武康街道志远北路东侧、厚德街北侧</t>
  </si>
  <si>
    <t>2017-329</t>
  </si>
  <si>
    <t>≥1.3且≤1.6</t>
  </si>
  <si>
    <t>2018-01-03</t>
  </si>
  <si>
    <t>德土资告(2017)挂字第52号</t>
  </si>
  <si>
    <t>莫干山镇南路村</t>
  </si>
  <si>
    <t>莫干山镇四合村</t>
  </si>
  <si>
    <t>2016-593</t>
  </si>
  <si>
    <t>≥0.7且≤0.9</t>
  </si>
  <si>
    <t>2017-10-27</t>
  </si>
  <si>
    <t>德土资告字[2017]挂第40号</t>
  </si>
  <si>
    <t>德清御溪上境旅游开发有限公司</t>
  </si>
  <si>
    <t>2017-10-25</t>
  </si>
  <si>
    <t>德清御隆旅游开发有限公司</t>
  </si>
  <si>
    <t>2016-549</t>
  </si>
  <si>
    <t>≥0.8且≤1.2</t>
  </si>
  <si>
    <t>德土资告字[2017]挂第38号-4</t>
  </si>
  <si>
    <t>阜溪街道郭肇村</t>
  </si>
  <si>
    <t>莫干山镇瑶坞村、后坞村</t>
  </si>
  <si>
    <t>2016-590</t>
  </si>
  <si>
    <t>≥1且≤1.16</t>
  </si>
  <si>
    <t>2017-08-09</t>
  </si>
  <si>
    <t>德土资告字[2017]挂第25号</t>
  </si>
  <si>
    <t>德清绿畅旅游开发有限公司</t>
  </si>
  <si>
    <t>莫干山镇筏头村</t>
  </si>
  <si>
    <t>2016-592</t>
  </si>
  <si>
    <t>≥1.5且≤1.8</t>
  </si>
  <si>
    <t>2017-08-02</t>
  </si>
  <si>
    <t>德土资告字[2017]挂第24号</t>
  </si>
  <si>
    <t>浙江亿龙酒店管理有限公司</t>
  </si>
  <si>
    <t>武康街道千秋街南侧、新丰路东侧</t>
  </si>
  <si>
    <t>2009-012-2</t>
  </si>
  <si>
    <t>2017-07-21</t>
  </si>
  <si>
    <t>德土资告字[2017]拍第2号-1</t>
  </si>
  <si>
    <t>浙江金盛达房地产开发有限公司</t>
  </si>
  <si>
    <t>2015-328</t>
  </si>
  <si>
    <t>≥2.0且≤2.8</t>
  </si>
  <si>
    <t>2017-07-12</t>
  </si>
  <si>
    <t>德土资告字[2017]挂第19号-6</t>
  </si>
  <si>
    <t>德清缦田生态农业有限公司</t>
  </si>
  <si>
    <t>2015-326</t>
  </si>
  <si>
    <t>≥2.0且≤2.3</t>
  </si>
  <si>
    <t>德土资告字[2017]挂第19号-4</t>
  </si>
  <si>
    <t>2015-325</t>
  </si>
  <si>
    <t>≥2.0且≤2.4</t>
  </si>
  <si>
    <t>德土资告字[2017]挂第19号-3</t>
  </si>
  <si>
    <t>洛舍镇洛舍村</t>
  </si>
  <si>
    <t>2015-089</t>
  </si>
  <si>
    <t>≥0.7且≤1.1</t>
  </si>
  <si>
    <t>德土资告字[2017]挂第19号-1</t>
  </si>
  <si>
    <t>德清洛舍漾生态旅游开发有限公司</t>
  </si>
  <si>
    <t>2015-295</t>
  </si>
  <si>
    <t>≥0.5且≤1.2</t>
  </si>
  <si>
    <t>德土资告字[2017]挂第19号-2</t>
  </si>
  <si>
    <t>杭州悠然投资管理有限公司</t>
  </si>
  <si>
    <t>2015-327</t>
  </si>
  <si>
    <t>德土资告字[2017]挂第19号-5</t>
  </si>
  <si>
    <t>新市镇新禹线西侧、京杭运河东侧</t>
  </si>
  <si>
    <t>商业用地(旅馆、餐饮)</t>
  </si>
  <si>
    <t>2017-06-21</t>
  </si>
  <si>
    <t>德清县梦里水乡生态农业园有限公司</t>
  </si>
  <si>
    <t>2016-046</t>
  </si>
  <si>
    <t>德土资告字[2017]挂第17号-3</t>
  </si>
  <si>
    <t>2014-259</t>
  </si>
  <si>
    <t>德土资告字[2017]挂第18号</t>
  </si>
  <si>
    <t>2016-067</t>
  </si>
  <si>
    <t>2017-03-17</t>
  </si>
  <si>
    <t>德土资告字[2017]挂第5号</t>
  </si>
  <si>
    <t>德清华盛达生态农庄有限公司</t>
  </si>
  <si>
    <t>洛舍镇杨树湾工业区</t>
  </si>
  <si>
    <t>2016-307</t>
  </si>
  <si>
    <t>≥1且≤1.6</t>
  </si>
  <si>
    <t>2016-11-23</t>
  </si>
  <si>
    <t>德土资告字[2016]挂第37号</t>
  </si>
  <si>
    <t>浙江德华木皮市场管理有限公司</t>
  </si>
  <si>
    <t>乾元镇环城南路西侧、东苕溪东侧</t>
    <phoneticPr fontId="228" type="noConversion"/>
  </si>
  <si>
    <t>武康街道志远北路东侧、春晖街北侧</t>
    <phoneticPr fontId="228" type="noConversion"/>
  </si>
  <si>
    <t>武康街道志远北路东侧、厚德街北侧</t>
    <phoneticPr fontId="228" type="noConversion"/>
  </si>
  <si>
    <t>舞阳街道玉屏路东侧</t>
    <phoneticPr fontId="228" type="noConversion"/>
  </si>
  <si>
    <t>正常</t>
  </si>
  <si>
    <t>楼面地价</t>
  </si>
  <si>
    <t>土地（套用方法）</t>
  </si>
  <si>
    <t>押一</t>
  </si>
  <si>
    <t>钢混</t>
  </si>
  <si>
    <t>武康街道春晖街北侧、康民路东侧</t>
    <phoneticPr fontId="228" type="noConversion"/>
  </si>
  <si>
    <t>武康街道春晖街北侧、康民路东侧</t>
    <phoneticPr fontId="228" type="noConversion"/>
  </si>
  <si>
    <t>武康街道千秋街南侧、新丰路东侧</t>
    <phoneticPr fontId="228" type="noConversion"/>
  </si>
  <si>
    <t>核定资产</t>
  </si>
  <si>
    <t>市场价格</t>
  </si>
  <si>
    <t>其他：</t>
  </si>
  <si>
    <t>企业</t>
  </si>
  <si>
    <t>王鹏</t>
  </si>
  <si>
    <t>郑燚</t>
  </si>
  <si>
    <t>一致</t>
  </si>
  <si>
    <t>符合</t>
  </si>
  <si>
    <t>工程进度</t>
  </si>
  <si>
    <t>土地</t>
  </si>
  <si>
    <t>项目全部</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</si>
  <si>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3" type="noConversion"/>
  </si>
  <si>
    <t>德清国用（2014）第02303441号</t>
    <phoneticPr fontId="21" type="noConversion"/>
  </si>
  <si>
    <t>德清国用（2014）第02303442号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</si>
</sst>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159" fillId="5" borderId="0" xfId="0" applyFont="1" applyFill="1" applyAlignment="1" applyProtection="1">
      <alignment horizontal="lef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15" fillId="0" borderId="2"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出让国有建设用地使用权市场价格预评估</v>
      </c>
      <c r="AX2" s="2874"/>
      <c r="AZ2" s="2874"/>
      <c r="BA2" s="2875"/>
      <c r="BC2" s="2875"/>
    </row>
    <row r="3" spans="1:55" s="2876" customFormat="1">
      <c r="A3" s="2855" t="s">
        <v>2658</v>
      </c>
      <c r="B3" s="2858">
        <f>'预评函-封皮'!B40</f>
        <v>0</v>
      </c>
    </row>
    <row r="4" spans="1:55" s="2857" customFormat="1">
      <c r="A4" s="2855" t="s">
        <v>2659</v>
      </c>
      <c r="B4" s="2856" t="str">
        <f>'预评函-封皮'!B46</f>
        <v>王鹏、郑燚</v>
      </c>
      <c r="N4" s="2857" t="str">
        <f>'预评函-1'!A28</f>
        <v>——</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受贵公司委托，我公司对出让国有建设用地使用权市场价格进行了预评估。</v>
      </c>
      <c r="AM6" s="2880"/>
    </row>
    <row r="7" spans="1:55" s="2854" customFormat="1">
      <c r="A7" s="2855" t="s">
        <v>2654</v>
      </c>
      <c r="B7" s="2856"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本次评估为委托估价方了解标的物之市场价格提供参考依据而评估出让国有建设用地使用权市场价格。</v>
      </c>
    </row>
    <row r="10" spans="1:55" s="2854" customFormat="1">
      <c r="A10" s="2855" t="s">
        <v>2656</v>
      </c>
      <c r="B10" s="2856" t="str">
        <f>'预评函-1'!A11</f>
        <v>2019年1月21日（评估专业人员勘察现场之日）</v>
      </c>
    </row>
    <row r="11" spans="1:55" s="2854" customFormat="1">
      <c r="A11" s="2855" t="s">
        <v>2662</v>
      </c>
      <c r="B11" s="2856" t="str">
        <f>'预评函-1'!A14</f>
        <v>根据《国有土地使用证》[]，本次评估估价对象证载（地类）用途为。</v>
      </c>
    </row>
    <row r="12" spans="1:55" s="2854" customFormat="1">
      <c r="A12" s="2855" t="s">
        <v>2663</v>
      </c>
      <c r="B12" s="2856" t="str">
        <f>'预评函-1'!A15</f>
        <v>本次评估设定用途即为证载用途。</v>
      </c>
    </row>
    <row r="13" spans="1:55" s="2854" customFormat="1">
      <c r="A13" s="2855" t="s">
        <v>2664</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根据《国有土地使用证》[]，估价对象（分摊）出让国有建设用地使用权面积为13862平方米。根据《建设工程规划许可证》[]、《出让合同》[]，估价对象规划建筑面积为33268.8平方米。</v>
      </c>
    </row>
    <row r="16" spans="1:55" s="2854" customFormat="1">
      <c r="A16" s="2855" t="s">
        <v>2666</v>
      </c>
      <c r="B16" s="2856" t="str">
        <f>'预评函-1'!A22</f>
        <v>本次估价对象为出让国有建设用地使用权，《国有土地使用证》[]证载土地终止日期为商业2055年2月25日。截至估价期日，出让国有建设用地使用权剩余土地使用年限为。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19" spans="1:48" s="2854" customFormat="1">
      <c r="A19" s="2855" t="s">
        <v>2669</v>
      </c>
      <c r="B19" s="2856" t="str">
        <f>'预评函-1'!A26</f>
        <v>——</v>
      </c>
    </row>
    <row r="20" spans="1:48" s="2854" customFormat="1">
      <c r="A20" s="2855" t="s">
        <v>2670</v>
      </c>
      <c r="B20" s="2856" t="str">
        <f>'预评函-1'!A27</f>
        <v>——</v>
      </c>
    </row>
    <row r="21" spans="1:48" s="2870" customFormat="1" ht="15" thickBot="1">
      <c r="A21" s="2877" t="s">
        <v>2671</v>
      </c>
      <c r="B21" s="2878" t="str">
        <f>'预评函-1'!A28</f>
        <v>——</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估价期日：2019年1月21日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f>'预评函-2'!E5</f>
        <v>0</v>
      </c>
      <c r="AV32" s="2860"/>
    </row>
    <row r="33" spans="1:2">
      <c r="A33" s="2855" t="s">
        <v>2710</v>
      </c>
      <c r="B33" s="2856">
        <f>'预评函-2'!F5</f>
        <v>258</v>
      </c>
    </row>
    <row r="34" spans="1:2">
      <c r="A34" s="2855" t="s">
        <v>2711</v>
      </c>
      <c r="B34" s="2856">
        <f>'预评函-2'!G5</f>
        <v>0</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v>
      </c>
    </row>
    <row r="39" spans="1:2">
      <c r="A39" s="2855" t="s">
        <v>2716</v>
      </c>
      <c r="B39" s="2856" t="str">
        <f>'预评函-2'!L5</f>
        <v>红线外七通、宗地红线内场地</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13862</v>
      </c>
    </row>
    <row r="44" spans="1:2">
      <c r="A44" s="2855" t="s">
        <v>2737</v>
      </c>
      <c r="B44" s="2856" t="str">
        <f>'预评函-2'!O3</f>
        <v>规划建筑面积/㎡</v>
      </c>
    </row>
    <row r="45" spans="1:2">
      <c r="A45" s="2855" t="s">
        <v>2719</v>
      </c>
      <c r="B45" s="2856">
        <f>'预评函-2'!O5</f>
        <v>33268.799999999996</v>
      </c>
    </row>
    <row r="46" spans="1:2">
      <c r="A46" s="2855" t="s">
        <v>2720</v>
      </c>
      <c r="B46" s="2856">
        <f ca="1">'预评函-2'!P5</f>
        <v>14589</v>
      </c>
    </row>
    <row r="47" spans="1:2">
      <c r="A47" s="2855" t="s">
        <v>2721</v>
      </c>
      <c r="B47" s="2856">
        <f ca="1">'预评函-2'!Q5</f>
        <v>6079</v>
      </c>
    </row>
    <row r="48" spans="1:2">
      <c r="A48" s="2855" t="s">
        <v>2722</v>
      </c>
      <c r="B48" s="2856">
        <f ca="1">'预评函-2'!R5</f>
        <v>20223</v>
      </c>
    </row>
    <row r="49" spans="1:2">
      <c r="A49" s="2855" t="s">
        <v>2738</v>
      </c>
      <c r="B49" s="2856" t="str">
        <f>'预评函-2'!A6</f>
        <v>——</v>
      </c>
    </row>
    <row r="50" spans="1:2">
      <c r="A50" s="2855" t="s">
        <v>2723</v>
      </c>
      <c r="B50" s="2856" t="str">
        <f>'预评函-2'!R6</f>
        <v>——</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1.权利限制：根据估价对象、《国有土地使用权》原件，截至估价期日，估价对象抵押权未见登记。未设定租赁等其他他项权利。</v>
      </c>
    </row>
    <row r="56" spans="1:2">
      <c r="A56" s="2855" t="s">
        <v>2676</v>
      </c>
      <c r="B56" s="2856" t="str">
        <f>'预评函-3'!A3</f>
        <v>2.基础设施条件：估价对象实际开发程度为红线外七通、宗地红线内；本次评估设定开发程度为红线外七通、宗地红线内场地。</v>
      </c>
    </row>
    <row r="57" spans="1:2">
      <c r="A57" s="2855" t="s">
        <v>2677</v>
      </c>
      <c r="B57" s="2856" t="str">
        <f>'预评函-3'!A4</f>
        <v>3.估价规划限制条件：详见《建设工程规划许可证》[]、《出让合同》[]。</v>
      </c>
    </row>
    <row r="58" spans="1:2" s="2870" customFormat="1" ht="15" thickBot="1">
      <c r="A58" s="2877" t="s">
        <v>2726</v>
      </c>
      <c r="B58" s="2878" t="str">
        <f>'预评函-3'!A5</f>
        <v>4.影响价格的其他限定条件：无。</v>
      </c>
    </row>
    <row r="59" spans="1:2" ht="15" thickTop="1">
      <c r="A59" s="2866" t="s">
        <v>2678</v>
      </c>
      <c r="B59" s="2867" t="str">
        <f>'预评函-3'!A8</f>
        <v>2.本次评估设定估价对象宗地权属无争议，未被查封或者以其他形式限制其房地产权利，未设定抵押权等他项权利，不涉及第三方权利义务。</v>
      </c>
    </row>
    <row r="60" spans="1:2">
      <c r="A60" s="2855" t="s">
        <v>2679</v>
      </c>
      <c r="B60" s="2856" t="str">
        <f>'预评函-3'!A9</f>
        <v>——</v>
      </c>
    </row>
    <row r="61" spans="1:2">
      <c r="A61" s="2855" t="s">
        <v>2681</v>
      </c>
      <c r="B61" s="2856" t="str">
        <f>'预评函-3'!A10</f>
        <v>——</v>
      </c>
    </row>
    <row r="62" spans="1:2">
      <c r="A62" s="2855" t="s">
        <v>2680</v>
      </c>
      <c r="B62" s="2856" t="str">
        <f>'预评函-3'!A11</f>
        <v>——</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v>
      </c>
    </row>
    <row r="66" spans="1:2">
      <c r="A66" s="2855" t="s">
        <v>2685</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王鹏</v>
      </c>
    </row>
    <row r="70" spans="1:2">
      <c r="A70" s="2855" t="s">
        <v>2687</v>
      </c>
      <c r="B70" s="2862">
        <f ca="1">'预评函-3'!B20</f>
        <v>2002110030</v>
      </c>
    </row>
    <row r="71" spans="1:2">
      <c r="A71" s="2855" t="s">
        <v>2688</v>
      </c>
      <c r="B71" s="2856" t="str">
        <f>'预评函-3'!A21</f>
        <v>郑燚</v>
      </c>
    </row>
    <row r="72" spans="1:2" s="2870" customFormat="1" ht="15" thickBot="1">
      <c r="A72" s="2877" t="s">
        <v>2688</v>
      </c>
      <c r="B72" s="2883">
        <f ca="1">'预评函-3'!B21</f>
        <v>2014110011</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1937</v>
      </c>
      <c r="B1" s="3221" t="str">
        <f>IF(B10="北京市","北京市",C10)&amp;F10&amp;B16&amp;"国有建设用地使用权"&amp;B9&amp;"预评估"</f>
        <v>出让国有建设用地使用权市场价格预评估</v>
      </c>
      <c r="C1" s="3222"/>
      <c r="D1" s="3222"/>
      <c r="E1" s="3222"/>
      <c r="F1" s="3222"/>
      <c r="G1" s="3222"/>
      <c r="H1" s="3222"/>
      <c r="I1" s="3223"/>
      <c r="J1" s="1693"/>
      <c r="K1" s="2433"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1938</v>
      </c>
      <c r="B2" s="1841"/>
      <c r="D2" s="1693"/>
      <c r="E2" s="1693"/>
      <c r="F2" s="1693"/>
      <c r="G2" s="1693"/>
      <c r="H2" s="1659"/>
      <c r="I2" s="1694"/>
      <c r="J2" s="1693"/>
      <c r="K2" s="2433" t="str">
        <f>IF(B10="北京市","北京市",C10)&amp;F10&amp;B16&amp;"国有建设用地使用权"</f>
        <v>出让国有建设用地使用权</v>
      </c>
      <c r="L2" s="1722"/>
      <c r="M2" s="1722"/>
      <c r="N2" s="1693"/>
      <c r="O2" s="1694"/>
      <c r="P2" s="1693"/>
      <c r="Q2" s="1693"/>
      <c r="R2" s="1693"/>
      <c r="S2" s="1693"/>
      <c r="T2" s="1693"/>
      <c r="U2" s="1693"/>
    </row>
    <row r="3" spans="1:21">
      <c r="A3" s="1660" t="s">
        <v>1939</v>
      </c>
      <c r="B3" s="1661">
        <f>D3</f>
        <v>43486</v>
      </c>
      <c r="C3" s="1662" t="s">
        <v>1995</v>
      </c>
      <c r="D3" s="1661">
        <v>43486</v>
      </c>
      <c r="E3" s="1693"/>
      <c r="F3" s="1693"/>
      <c r="G3" s="1693"/>
      <c r="H3" s="1659"/>
      <c r="I3" s="1694"/>
      <c r="J3" s="1693"/>
      <c r="K3" s="1773"/>
      <c r="L3" s="1722"/>
      <c r="M3" s="1722"/>
      <c r="N3" s="1693"/>
      <c r="O3" s="1694"/>
      <c r="P3" s="1693"/>
      <c r="Q3" s="1693"/>
      <c r="R3" s="1693"/>
      <c r="S3" s="1693"/>
      <c r="T3" s="1693"/>
      <c r="U3" s="1693"/>
    </row>
    <row r="4" spans="1:21" ht="15" thickBot="1">
      <c r="A4" s="1663" t="s">
        <v>1940</v>
      </c>
      <c r="B4" s="1842" t="s">
        <v>3212</v>
      </c>
      <c r="C4" s="1845">
        <f ca="1">SUMIF(土地估价师,B4,估价师及机构信息!E3:E24)</f>
        <v>2002110030</v>
      </c>
      <c r="D4" s="1842" t="s">
        <v>3213</v>
      </c>
      <c r="E4" s="1845">
        <f ca="1">SUMIF(土地估价师,D4,估价师及机构信息!E3:E24)</f>
        <v>2014110011</v>
      </c>
      <c r="F4" s="1842" t="s">
        <v>951</v>
      </c>
      <c r="G4" s="1845">
        <f>SUMIF(土地估价师,F4,估价师及机构信息!E3:E24)</f>
        <v>0</v>
      </c>
      <c r="H4" s="1842" t="s">
        <v>951</v>
      </c>
      <c r="I4" s="1845">
        <f>SUMIF(土地估价师,H4,估价师及机构信息!E3:E24)</f>
        <v>0</v>
      </c>
      <c r="J4" s="1693"/>
      <c r="K4" s="2433" t="str">
        <f>IF(AND(F4="——",H4="——"),B4&amp;"、"&amp;D4,IF(AND(F4&lt;&gt;"——",H4="——"),B4&amp;"、"&amp;D4&amp;"、"&amp;F4,B4&amp;"、"&amp;D4&amp;"、"&amp;F4&amp;"、"&amp;H4))</f>
        <v>王鹏、郑燚</v>
      </c>
      <c r="L4" s="1722"/>
      <c r="M4" s="1722"/>
      <c r="N4" s="1693"/>
      <c r="O4" s="1694"/>
      <c r="P4" s="1693"/>
      <c r="Q4" s="1693"/>
      <c r="R4" s="1693"/>
      <c r="S4" s="1693"/>
      <c r="T4" s="1693"/>
      <c r="U4" s="1693"/>
    </row>
    <row r="5" spans="1:21" ht="15" thickTop="1">
      <c r="A5" s="1664" t="s">
        <v>1941</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1942</v>
      </c>
      <c r="B8" s="1669" t="s">
        <v>3208</v>
      </c>
      <c r="C8" s="1670"/>
      <c r="D8" s="3227" t="s">
        <v>1944</v>
      </c>
      <c r="E8" s="1843"/>
      <c r="F8" s="1671"/>
      <c r="G8" s="1659"/>
      <c r="H8" s="1659"/>
      <c r="I8" s="1706"/>
      <c r="J8" s="1693"/>
      <c r="K8" s="1773"/>
      <c r="L8" s="1722"/>
      <c r="M8" s="1722"/>
      <c r="N8" s="1693"/>
      <c r="O8" s="1694"/>
      <c r="P8" s="1693"/>
      <c r="Q8" s="1693"/>
      <c r="R8" s="1693"/>
      <c r="S8" s="1693"/>
      <c r="T8" s="1693"/>
      <c r="U8" s="1693"/>
    </row>
    <row r="9" spans="1:21" ht="15" thickBot="1">
      <c r="A9" s="1672" t="s">
        <v>1943</v>
      </c>
      <c r="B9" s="1673" t="s">
        <v>3209</v>
      </c>
      <c r="C9" s="1674"/>
      <c r="D9" s="3228"/>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3210</v>
      </c>
      <c r="C10" s="1675"/>
      <c r="D10" s="1666"/>
      <c r="E10" s="1676" t="s">
        <v>1946</v>
      </c>
      <c r="F10" s="1677"/>
      <c r="G10" s="1744"/>
      <c r="H10" s="1745"/>
      <c r="I10" s="1666"/>
      <c r="J10" s="1693"/>
      <c r="K10" s="1773"/>
      <c r="L10" s="1722"/>
      <c r="M10" s="1722"/>
      <c r="N10" s="1693"/>
      <c r="O10" s="1694"/>
      <c r="P10" s="1693"/>
      <c r="Q10" s="1693"/>
      <c r="R10" s="1693"/>
      <c r="S10" s="1693"/>
      <c r="T10" s="1693"/>
      <c r="U10" s="1693"/>
    </row>
    <row r="11" spans="1:21">
      <c r="A11" s="1696" t="s">
        <v>2000</v>
      </c>
      <c r="B11" s="1697" t="s">
        <v>3211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24"/>
      <c r="C12" s="3225"/>
      <c r="D12" s="3226"/>
      <c r="E12" s="1698" t="s">
        <v>2061</v>
      </c>
      <c r="F12" s="3242" t="s">
        <v>2885</v>
      </c>
      <c r="G12" s="3243"/>
      <c r="H12" s="3243"/>
      <c r="I12" s="3244"/>
      <c r="J12" s="1693"/>
      <c r="K12" s="1773"/>
      <c r="L12" s="1722"/>
      <c r="M12" s="1722"/>
      <c r="N12" s="1693"/>
      <c r="O12" s="1694"/>
      <c r="P12" s="1693"/>
      <c r="Q12" s="1693"/>
      <c r="R12" s="1693"/>
      <c r="S12" s="1693"/>
      <c r="T12" s="1693"/>
      <c r="U12" s="1693"/>
    </row>
    <row r="13" spans="1:21">
      <c r="A13" s="1686" t="s">
        <v>2059</v>
      </c>
      <c r="B13" s="3224"/>
      <c r="C13" s="3225"/>
      <c r="D13" s="3226"/>
      <c r="E13" s="1698" t="s">
        <v>2061</v>
      </c>
      <c r="F13" s="3242" t="s">
        <v>2886</v>
      </c>
      <c r="G13" s="3243"/>
      <c r="H13" s="3243"/>
      <c r="I13" s="3244"/>
      <c r="J13" s="1693"/>
      <c r="K13" s="1773"/>
      <c r="L13" s="1722"/>
      <c r="M13" s="1722"/>
      <c r="N13" s="1693"/>
      <c r="O13" s="1694"/>
      <c r="P13" s="1693"/>
      <c r="Q13" s="1693"/>
      <c r="R13" s="1693"/>
      <c r="S13" s="1693"/>
      <c r="T13" s="1693"/>
      <c r="U13" s="1693"/>
    </row>
    <row r="14" spans="1:21">
      <c r="A14" s="1660" t="s">
        <v>2062</v>
      </c>
      <c r="B14" s="1698"/>
      <c r="C14" s="1844" t="s">
        <v>3214</v>
      </c>
      <c r="D14" s="1732" t="str">
        <f>IF(C14="不一致","是否符合证载地类范围","")</f>
        <v/>
      </c>
      <c r="E14" s="1698"/>
      <c r="F14" s="1789" t="s">
        <v>3215</v>
      </c>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2991</v>
      </c>
      <c r="C16" s="1698" t="s">
        <v>1948</v>
      </c>
      <c r="D16" s="2624" t="s">
        <v>1949</v>
      </c>
      <c r="E16" s="1721" t="s">
        <v>2990</v>
      </c>
      <c r="F16" s="1721"/>
      <c r="G16" s="1721"/>
      <c r="H16" s="1721"/>
      <c r="I16" s="1685" t="s">
        <v>1954</v>
      </c>
      <c r="J16" s="1693"/>
      <c r="K16" s="2434" t="str">
        <f>IF(D17="","",D16&amp;TEXT(D17,"yyyy年m月d日;;"))</f>
        <v/>
      </c>
      <c r="L16" s="1698" t="str">
        <f>IF(OR(K16="",M16=""),"","、")</f>
        <v/>
      </c>
      <c r="M16" s="2434" t="str">
        <f>IF(E17="","",E16&amp;TEXT(E17,"yyyy年m月d日;;"))</f>
        <v>商业2055年2月25日</v>
      </c>
      <c r="N16" s="1698" t="str">
        <f>IF(OR(M16="",O16=""),"","、")</f>
        <v/>
      </c>
      <c r="O16" s="2434" t="str">
        <f>IF(F17="","",F16&amp;TEXT(F17,"yyyy年m月d日;;"))</f>
        <v/>
      </c>
      <c r="P16" s="1698" t="str">
        <f>IF(OR(O16="",Q16=""),"","、")</f>
        <v/>
      </c>
      <c r="Q16" s="2434" t="str">
        <f>IF(G17="","",G16&amp;TEXT(G17,"yyyy年m月d日;;"))</f>
        <v/>
      </c>
      <c r="R16" s="1698" t="str">
        <f>IF(OR(Q16="",S16=""),"","、")</f>
        <v/>
      </c>
      <c r="S16" s="2434" t="str">
        <f>IF(H17="","",H16&amp;TEXT(H17,"yyyy年m月d日;;"))</f>
        <v/>
      </c>
      <c r="T16" s="1698" t="str">
        <f>IF(OR(S16="",U16=""),"","、")</f>
        <v/>
      </c>
      <c r="U16" s="2434" t="str">
        <f>IF(I17="","",I16&amp;TEXT(I17,"yyyy年m月d日;;"))</f>
        <v/>
      </c>
    </row>
    <row r="17" spans="1:21">
      <c r="A17" s="1762"/>
      <c r="B17" s="1681"/>
      <c r="C17" s="1682" t="s">
        <v>1955</v>
      </c>
      <c r="D17" s="1699"/>
      <c r="E17" s="1699">
        <v>56670</v>
      </c>
      <c r="F17" s="1699"/>
      <c r="G17" s="1699"/>
      <c r="H17" s="1699"/>
      <c r="I17" s="1699"/>
      <c r="J17" s="1693"/>
      <c r="K17" s="2433" t="str">
        <f>CONCATENATE(K16,L16,M16,N16,O16,P16,Q16,R16,S16,T16,,U16)</f>
        <v>商业2055年2月25日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1957</v>
      </c>
      <c r="D19" s="1757" t="str">
        <f>IF(B16="出让",IF(D17="","",ROUNDDOWN(MIN((D17-$D$3)/365,D18),2)),D18)</f>
        <v/>
      </c>
      <c r="E19" s="1684">
        <f>IF(B16="出让",IF(E17="","",ROUNDDOWN(MIN((E17-$D$3)/365,E18),2)),E18)</f>
        <v>36.119999999999997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39"/>
      <c r="E20" s="3240"/>
      <c r="F20" s="3240"/>
      <c r="G20" s="3240"/>
      <c r="H20" s="3240"/>
      <c r="I20" s="3241"/>
      <c r="J20" s="1693"/>
      <c r="K20" s="1773"/>
      <c r="L20" s="1722"/>
      <c r="M20" s="1722"/>
      <c r="N20" s="1693"/>
      <c r="O20" s="1694"/>
      <c r="P20" s="1693"/>
      <c r="Q20" s="1693"/>
      <c r="R20" s="1693"/>
      <c r="S20" s="1693"/>
      <c r="T20" s="1693"/>
      <c r="U20" s="1693"/>
    </row>
    <row r="21" spans="1:21">
      <c r="A21" s="1762" t="s">
        <v>1958</v>
      </c>
      <c r="B21" s="1763" t="s">
        <v>1959</v>
      </c>
      <c r="C21" s="1758">
        <f>'数据-汇总表'!E3</f>
        <v>33268.799999999996</v>
      </c>
      <c r="D21" s="1759" t="s">
        <v>1960</v>
      </c>
      <c r="E21" s="3229" t="s">
        <v>1998</v>
      </c>
      <c r="F21" s="3230"/>
      <c r="G21" s="3230"/>
      <c r="H21" s="3230"/>
      <c r="I21" s="3231"/>
      <c r="J21" s="1693"/>
      <c r="K21" s="1773"/>
      <c r="L21" s="1722"/>
      <c r="M21" s="1722"/>
      <c r="N21" s="1693"/>
      <c r="O21" s="1694"/>
      <c r="P21" s="1693"/>
      <c r="Q21" s="1693"/>
      <c r="R21" s="1693"/>
      <c r="S21" s="1693"/>
      <c r="T21" s="1693"/>
      <c r="U21" s="1693"/>
    </row>
    <row r="22" spans="1:21">
      <c r="A22" s="3120" t="s">
        <v>951</v>
      </c>
      <c r="B22" s="1660" t="s">
        <v>1961</v>
      </c>
      <c r="C22" s="1685">
        <f>'数据-汇总表'!D3</f>
        <v>13862</v>
      </c>
      <c r="D22" s="1686" t="s">
        <v>1960</v>
      </c>
      <c r="E22" s="3229" t="s">
        <v>2887</v>
      </c>
      <c r="F22" s="3230"/>
      <c r="G22" s="3230"/>
      <c r="H22" s="3230"/>
      <c r="I22" s="3231"/>
      <c r="J22" s="1693"/>
      <c r="K22" s="1773"/>
      <c r="L22" s="1722"/>
      <c r="M22" s="1722"/>
      <c r="N22" s="1693"/>
      <c r="O22" s="1694"/>
      <c r="P22" s="1693"/>
      <c r="Q22" s="1693"/>
      <c r="R22" s="1693"/>
      <c r="S22" s="1693"/>
      <c r="T22" s="1693"/>
      <c r="U22" s="1693"/>
    </row>
    <row r="23" spans="1:21" ht="43.5" thickBot="1">
      <c r="A23" s="1764" t="s">
        <v>1962</v>
      </c>
      <c r="B23" s="1700" t="s">
        <v>1963</v>
      </c>
      <c r="C23" s="1701" t="s">
        <v>2993</v>
      </c>
      <c r="D23" s="1702" t="s">
        <v>1964</v>
      </c>
      <c r="E23" s="1703" t="s">
        <v>2993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32" t="s">
        <v>1966</v>
      </c>
      <c r="C24" s="3233"/>
      <c r="D24" s="3234" t="s">
        <v>1967</v>
      </c>
      <c r="E24" s="3235"/>
      <c r="F24" s="1707" t="s">
        <v>1968</v>
      </c>
      <c r="G24" s="1693"/>
      <c r="H24" s="1693"/>
      <c r="I24" s="1706"/>
      <c r="J24" s="1693"/>
      <c r="K24" s="3220" t="s">
        <v>1969</v>
      </c>
      <c r="L24" s="2435"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2"/>
      <c r="N24" s="1693"/>
      <c r="O24" s="1694"/>
      <c r="P24" s="1693"/>
      <c r="Q24" s="1693"/>
      <c r="R24" s="1693"/>
      <c r="S24" s="1693"/>
      <c r="T24" s="1693"/>
      <c r="U24" s="1693"/>
    </row>
    <row r="25" spans="1:21">
      <c r="A25" s="1750"/>
      <c r="B25" s="1747"/>
      <c r="C25" s="1708"/>
      <c r="D25" s="1709"/>
      <c r="E25" s="1710" t="s">
        <v>951</v>
      </c>
      <c r="F25" s="1711"/>
      <c r="G25" s="1693"/>
      <c r="H25" s="1693"/>
      <c r="I25" s="1706"/>
      <c r="J25" s="1693"/>
      <c r="K25" s="322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1971</v>
      </c>
      <c r="C26" s="1708" t="s">
        <v>1970</v>
      </c>
      <c r="D26" s="1659"/>
      <c r="E26" s="1659"/>
      <c r="F26" s="1687"/>
      <c r="G26" s="1693"/>
      <c r="H26" s="1693"/>
      <c r="I26" s="1706"/>
      <c r="J26" s="1693"/>
      <c r="K26" s="322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06" t="s">
        <v>2001</v>
      </c>
      <c r="B31" s="1763" t="s">
        <v>2002</v>
      </c>
      <c r="C31" s="3245"/>
      <c r="D31" s="3246"/>
      <c r="E31" s="1693"/>
      <c r="F31" s="1693"/>
      <c r="G31" s="1693"/>
      <c r="H31" s="1693"/>
      <c r="I31" s="1706"/>
      <c r="J31" s="1693"/>
      <c r="K31" s="2436"/>
      <c r="L31" s="1693"/>
      <c r="M31" s="1693"/>
      <c r="N31" s="1693"/>
      <c r="O31" s="1693"/>
      <c r="P31" s="1693"/>
      <c r="Q31" s="1693"/>
      <c r="R31" s="1693"/>
      <c r="S31" s="1693"/>
      <c r="T31" s="1693"/>
      <c r="U31" s="1693"/>
    </row>
    <row r="32" spans="1:21">
      <c r="A32" s="3206"/>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06"/>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07"/>
      <c r="B34" s="1660" t="s">
        <v>2005</v>
      </c>
      <c r="C34" s="3208"/>
      <c r="D34" s="3209"/>
      <c r="E34" s="1693"/>
      <c r="F34" s="1693"/>
      <c r="G34" s="1693"/>
      <c r="H34" s="1693"/>
      <c r="I34" s="1706"/>
      <c r="J34" s="1693"/>
      <c r="K34" s="2436"/>
      <c r="L34" s="1693"/>
      <c r="M34" s="1693"/>
      <c r="N34" s="1693"/>
      <c r="O34" s="1693"/>
      <c r="P34" s="1693"/>
      <c r="Q34" s="1693"/>
      <c r="R34" s="1693"/>
      <c r="S34" s="1693"/>
      <c r="T34" s="1693"/>
      <c r="U34" s="1693"/>
    </row>
    <row r="35" spans="1:21">
      <c r="A35" s="3210" t="s">
        <v>846</v>
      </c>
      <c r="B35" s="1721"/>
      <c r="C35" s="1775" t="str">
        <f>IF(B35="场地平整","——","具体情况：")</f>
        <v>具体情况：</v>
      </c>
      <c r="D35" s="3212"/>
      <c r="E35" s="3213"/>
      <c r="F35" s="3213"/>
      <c r="G35" s="3213"/>
      <c r="H35" s="3213"/>
      <c r="I35" s="3214"/>
      <c r="J35" s="1693"/>
      <c r="K35" s="1774"/>
      <c r="L35" s="1722"/>
      <c r="M35" s="1722"/>
      <c r="N35" s="1693"/>
      <c r="O35" s="1694"/>
      <c r="P35" s="1693"/>
      <c r="Q35" s="1693"/>
      <c r="R35" s="1693"/>
      <c r="S35" s="1693"/>
      <c r="T35" s="1693"/>
      <c r="U35" s="1693"/>
    </row>
    <row r="36" spans="1:21">
      <c r="A36" s="3206"/>
      <c r="B36" s="3215" t="s">
        <v>2054</v>
      </c>
      <c r="C36" s="3216"/>
      <c r="D36" s="1791"/>
      <c r="E36" s="3217"/>
      <c r="F36" s="3217"/>
      <c r="G36" s="1686" t="str">
        <f>IF(B35="场地未平整","估价结果处理","")</f>
        <v/>
      </c>
      <c r="H36" s="3218"/>
      <c r="I36" s="3218"/>
      <c r="J36" s="1693"/>
      <c r="K36" s="1774"/>
      <c r="L36" s="1722"/>
      <c r="M36" s="1722"/>
      <c r="N36" s="1693"/>
      <c r="O36" s="1694"/>
      <c r="P36" s="1693"/>
      <c r="Q36" s="1693"/>
      <c r="R36" s="1693"/>
      <c r="S36" s="1693"/>
      <c r="T36" s="1693"/>
      <c r="U36" s="1693"/>
    </row>
    <row r="37" spans="1:21" ht="28.5">
      <c r="A37" s="3206"/>
      <c r="B37" s="3236"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06"/>
      <c r="B38" s="3237"/>
      <c r="C38" s="1668" t="s">
        <v>849</v>
      </c>
      <c r="D38" s="1790">
        <f>ROUNDDOWN(MIN(('数据-取费表'!$B$2-D37)/365,D34),1)</f>
        <v>119.1</v>
      </c>
      <c r="E38" s="1726" t="s">
        <v>850</v>
      </c>
      <c r="F38" s="1693"/>
      <c r="G38" s="1693"/>
      <c r="H38" s="1693"/>
      <c r="I38" s="1706"/>
      <c r="J38" s="1693"/>
      <c r="K38" s="1774"/>
      <c r="L38" s="1693"/>
      <c r="M38" s="1693"/>
      <c r="N38" s="1693"/>
      <c r="O38" s="1693"/>
      <c r="P38" s="1693"/>
      <c r="Q38" s="1693"/>
      <c r="R38" s="1693"/>
      <c r="S38" s="1693"/>
      <c r="T38" s="1693"/>
      <c r="U38" s="1693"/>
    </row>
    <row r="39" spans="1:21">
      <c r="A39" s="3207"/>
      <c r="B39" s="32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c r="C40" s="1689"/>
      <c r="D40" s="1689"/>
      <c r="E40" s="1689"/>
      <c r="F40" s="1689"/>
      <c r="G40" s="1689"/>
      <c r="H40" s="1689"/>
      <c r="I40" s="1706"/>
      <c r="J40" s="1693"/>
      <c r="K40" s="1729">
        <f>COUNTIF(B40:H40,"——")</f>
        <v>0</v>
      </c>
      <c r="L40" s="1698" t="s">
        <v>1978</v>
      </c>
      <c r="M40" s="1695" t="s">
        <v>1979</v>
      </c>
      <c r="N40" s="1695" t="s">
        <v>1980</v>
      </c>
      <c r="O40" s="1695" t="s">
        <v>1981</v>
      </c>
      <c r="P40" s="1695" t="s">
        <v>1982</v>
      </c>
      <c r="Q40" s="1695" t="s">
        <v>1983</v>
      </c>
      <c r="R40" s="1695" t="s">
        <v>1984</v>
      </c>
      <c r="S40" s="3219" t="s">
        <v>1985</v>
      </c>
      <c r="T40" s="1730" t="str">
        <f>NUMBERSTRING(7-K40,1)&amp;"通"</f>
        <v>七通</v>
      </c>
      <c r="U40" s="1693"/>
    </row>
    <row r="41" spans="1:21">
      <c r="A41" s="1662"/>
      <c r="B41" s="3211" t="s">
        <v>1721</v>
      </c>
      <c r="C41" s="3211"/>
      <c r="D41" s="3211"/>
      <c r="E41" s="321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9"/>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4.1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2331</v>
      </c>
      <c r="BA2" s="234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10490+3372</f>
        <v>13862</v>
      </c>
      <c r="B3" s="22">
        <f>IF(C3="否",G5-AT5,G5)</f>
        <v>33268.799999999996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33268.799999999996</v>
      </c>
      <c r="H5" s="27">
        <f t="shared" ref="H5:AT5" si="0">SUM(H13:H641)</f>
        <v>33168.99</v>
      </c>
      <c r="I5" s="27">
        <f t="shared" si="0"/>
        <v>33168.99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99.81</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33268.799999999996</v>
      </c>
      <c r="BA5" s="29">
        <f t="shared" si="1"/>
        <v>33168.99</v>
      </c>
      <c r="BB5" s="29">
        <f t="shared" si="1"/>
        <v>33168.99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99.81</v>
      </c>
      <c r="BM5" s="29">
        <f t="shared" si="1"/>
        <v>0</v>
      </c>
      <c r="BN5" s="29">
        <f t="shared" si="1"/>
        <v>0</v>
      </c>
      <c r="BO5" s="29">
        <f t="shared" si="1"/>
        <v>0</v>
      </c>
      <c r="BP5" s="29">
        <f t="shared" si="1"/>
        <v>0</v>
      </c>
      <c r="BQ5" s="29">
        <f t="shared" si="1"/>
        <v>99.81</v>
      </c>
      <c r="BR5" s="29">
        <f t="shared" si="1"/>
        <v>0</v>
      </c>
      <c r="BS5" s="29">
        <f t="shared" si="1"/>
        <v>0</v>
      </c>
      <c r="BT5" s="30">
        <f t="shared" si="1"/>
        <v>0</v>
      </c>
    </row>
    <row r="6" spans="1:72" s="37" customFormat="1" ht="12.75">
      <c r="A6" s="26" t="s">
        <v>169</v>
      </c>
      <c r="B6" s="31"/>
      <c r="C6" s="31"/>
      <c r="D6" s="32"/>
      <c r="E6" s="27">
        <f>H6+AC6+AT6</f>
        <v>13862</v>
      </c>
      <c r="F6" s="27" t="s">
        <v>1</v>
      </c>
      <c r="G6" s="27" t="s">
        <v>2</v>
      </c>
      <c r="H6" s="33">
        <f>SUMIF(I$12:AB$12,"总值",I6:AB6)</f>
        <v>13820.41</v>
      </c>
      <c r="I6" s="27">
        <f t="shared" ref="I6:AB6" si="2">ROUND($A$3*I5/$B$3,2)</f>
        <v>13820.41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41.59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13862</v>
      </c>
      <c r="AZ6" s="27" t="s">
        <v>3</v>
      </c>
      <c r="BA6" s="27">
        <f>ROUND($AY$6*BA5/$AZ$5,2)</f>
        <v>13820.41</v>
      </c>
      <c r="BB6" s="27">
        <f>ROUND($AY$6*BB5/$AZ$5,2)</f>
        <v>13820.41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41.59</v>
      </c>
      <c r="BM6" s="27">
        <f t="shared" si="5"/>
        <v>0</v>
      </c>
      <c r="BN6" s="27">
        <f t="shared" si="5"/>
        <v>0</v>
      </c>
      <c r="BO6" s="27">
        <f t="shared" si="5"/>
        <v>0</v>
      </c>
      <c r="BP6" s="27">
        <f t="shared" si="5"/>
        <v>0</v>
      </c>
      <c r="BQ6" s="27">
        <f t="shared" si="5"/>
        <v>41.59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2992</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2990</v>
      </c>
      <c r="J10" s="51"/>
      <c r="K10" s="2995"/>
      <c r="L10" s="51"/>
      <c r="M10" s="299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2329</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1678</v>
      </c>
      <c r="E13" s="27">
        <f t="shared" ref="E13:E20" si="6">IF($C$3="是",ROUND($A$3*G13/$B$3,2),ROUND($A$3*(G13-AT13)/$B$3,2))</f>
        <v>13862</v>
      </c>
      <c r="F13" s="81"/>
      <c r="G13" s="82">
        <f t="shared" ref="G13:G20" si="7">H13+AC13+AT13</f>
        <v>33268.799999999996</v>
      </c>
      <c r="H13" s="33">
        <f t="shared" ref="H13:H20" si="8">SUMIF(I$12:AB$12,"总值",I13:AB13)</f>
        <v>33168.99</v>
      </c>
      <c r="I13" s="2992">
        <f>A3*2.4-AL13</f>
        <v>33168.99</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99.81</v>
      </c>
      <c r="AD13" s="2996"/>
      <c r="AE13" s="2996"/>
      <c r="AF13" s="2996"/>
      <c r="AG13" s="2996"/>
      <c r="AH13" s="2996"/>
      <c r="AI13" s="2996"/>
      <c r="AJ13" s="2996"/>
      <c r="AK13" s="2996"/>
      <c r="AL13" s="2996">
        <f>ROUND(A3*2.4*0.003,2)</f>
        <v>99.81</v>
      </c>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13862</v>
      </c>
      <c r="AZ13" s="27">
        <f t="shared" ref="AZ13:AZ20" si="12">BA13+BL13</f>
        <v>33268.799999999996</v>
      </c>
      <c r="BA13" s="27">
        <f t="shared" ref="BA13:BA20" si="13">SUM(BB13:BK13)</f>
        <v>33168.99</v>
      </c>
      <c r="BB13" s="27">
        <f t="shared" ref="BB13:BB20" si="14">IF($D13="是",I13-J13,0)</f>
        <v>33168.99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99.81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99.81</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F28" sqref="F2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8" t="s">
        <v>203</v>
      </c>
      <c r="B2" s="3258"/>
      <c r="C2" s="3258"/>
      <c r="D2" s="1975" t="s">
        <v>204</v>
      </c>
      <c r="E2" s="106" t="s">
        <v>205</v>
      </c>
      <c r="F2" s="1984"/>
      <c r="G2" s="1198"/>
      <c r="H2" s="1199"/>
      <c r="I2" s="1200" t="s">
        <v>856</v>
      </c>
      <c r="J2" s="1984"/>
      <c r="K2" s="1984"/>
      <c r="L2" s="1984"/>
    </row>
    <row r="3" spans="1:16" ht="15.75" thickBot="1">
      <c r="A3" s="3259" t="s">
        <v>206</v>
      </c>
      <c r="B3" s="3259"/>
      <c r="C3" s="3259"/>
      <c r="D3" s="107">
        <f>'数据-基础表'!AY6</f>
        <v>13862</v>
      </c>
      <c r="E3" s="107">
        <f>'数据-基础表'!AZ5</f>
        <v>33268.799999999996</v>
      </c>
      <c r="F3" s="1984"/>
      <c r="G3" s="280" t="s">
        <v>857</v>
      </c>
      <c r="H3" s="275" t="s">
        <v>858</v>
      </c>
      <c r="I3" s="1976">
        <f>ROUND('数据-基础表'!B3/'数据-基础表'!A3,2)</f>
        <v>2.4</v>
      </c>
      <c r="J3" s="1984"/>
      <c r="K3" s="1984"/>
      <c r="L3" s="1984"/>
    </row>
    <row r="4" spans="1:16" ht="15">
      <c r="A4" s="3260"/>
      <c r="B4" s="3261"/>
      <c r="C4" s="3262"/>
      <c r="D4" s="108" t="s">
        <v>204</v>
      </c>
      <c r="E4" s="109" t="s">
        <v>205</v>
      </c>
      <c r="F4" s="1984"/>
      <c r="G4" s="1201"/>
      <c r="H4" s="275" t="s">
        <v>859</v>
      </c>
      <c r="I4" s="1976">
        <f>ROUND(SUMIF('数据-基础表'!I9:AS9,"地上",'数据-基础表'!I5:AS5)/'数据-基础表'!A3,2)</f>
        <v>2.4</v>
      </c>
      <c r="J4" s="1984"/>
      <c r="K4" s="1984"/>
      <c r="L4" s="1984"/>
    </row>
    <row r="5" spans="1:16">
      <c r="A5" s="110" t="s">
        <v>207</v>
      </c>
      <c r="B5" s="3263" t="s">
        <v>230</v>
      </c>
      <c r="C5" s="3263"/>
      <c r="D5" s="111">
        <f>ROUND($D$3*E5/$E$3,2)</f>
        <v>0</v>
      </c>
      <c r="E5" s="112">
        <f>SUMIF('数据-基础表'!$11:$11,"住宅",'数据-基础表'!$5:$5)</f>
        <v>0</v>
      </c>
      <c r="F5" s="1984"/>
      <c r="G5" s="280" t="s">
        <v>860</v>
      </c>
      <c r="H5" s="275" t="s">
        <v>858</v>
      </c>
      <c r="I5" s="1976">
        <f>ROUND(E31/D31,2)</f>
        <v>2.4</v>
      </c>
      <c r="J5" s="1984"/>
      <c r="K5" s="1984"/>
      <c r="L5" s="1984"/>
    </row>
    <row r="6" spans="1:16" ht="15" thickBot="1">
      <c r="A6" s="113"/>
      <c r="B6" s="3263" t="s">
        <v>208</v>
      </c>
      <c r="C6" s="3263"/>
      <c r="D6" s="111">
        <f>ROUND($D$3*E6/$E$3,2)</f>
        <v>13862</v>
      </c>
      <c r="E6" s="112">
        <f>E3-E5</f>
        <v>33268.799999999996</v>
      </c>
      <c r="F6" s="1984"/>
      <c r="G6" s="1201"/>
      <c r="H6" s="275" t="s">
        <v>859</v>
      </c>
      <c r="I6" s="1976">
        <f>ROUND(F31/D31,2)</f>
        <v>2.4</v>
      </c>
      <c r="J6" s="1984"/>
      <c r="K6" s="1984"/>
      <c r="L6" s="1984"/>
    </row>
    <row r="7" spans="1:16" ht="15">
      <c r="A7" s="3255"/>
      <c r="B7" s="3256"/>
      <c r="C7" s="3257"/>
      <c r="D7" s="108" t="s">
        <v>204</v>
      </c>
      <c r="E7" s="114" t="s">
        <v>231</v>
      </c>
      <c r="F7" s="1984"/>
      <c r="G7" s="1156" t="s">
        <v>1645</v>
      </c>
      <c r="H7" s="1157"/>
      <c r="I7" s="1846"/>
      <c r="J7" s="1984"/>
      <c r="K7" s="1984"/>
      <c r="L7" s="1984"/>
    </row>
    <row r="8" spans="1:16">
      <c r="A8" s="110" t="s">
        <v>209</v>
      </c>
      <c r="B8" s="115" t="s">
        <v>210</v>
      </c>
      <c r="C8" s="111" t="s">
        <v>211</v>
      </c>
      <c r="D8" s="111">
        <f t="shared" ref="D8:D15" si="0">ROUND($D$3*E8/$E$3,2)</f>
        <v>13820.41</v>
      </c>
      <c r="E8" s="116">
        <f>SUMIF('数据-基础表'!BB10:BK10,"地上",'数据-基础表'!BB5:BK5)</f>
        <v>33168.99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13820.41</v>
      </c>
      <c r="E16" s="120">
        <f>SUM(E8:E15)</f>
        <v>33168.99</v>
      </c>
      <c r="F16" s="1984"/>
      <c r="G16" s="1986"/>
      <c r="H16" s="968" t="s">
        <v>219</v>
      </c>
      <c r="I16" s="969"/>
      <c r="J16" s="1984"/>
      <c r="K16" s="3249" t="s">
        <v>2563</v>
      </c>
      <c r="L16" s="3250"/>
      <c r="M16" s="3250"/>
      <c r="N16" s="3250"/>
      <c r="O16" s="3250"/>
      <c r="P16" s="3251"/>
    </row>
    <row r="17" spans="1:19" ht="15">
      <c r="A17" s="121" t="s">
        <v>216</v>
      </c>
      <c r="B17" s="122" t="s">
        <v>217</v>
      </c>
      <c r="C17" s="2298" t="s">
        <v>2313</v>
      </c>
      <c r="D17" s="108" t="s">
        <v>204</v>
      </c>
      <c r="E17" s="124" t="s">
        <v>205</v>
      </c>
      <c r="F17" s="125"/>
      <c r="G17" s="1366"/>
      <c r="H17" s="970" t="s">
        <v>218</v>
      </c>
      <c r="I17" s="971" t="s">
        <v>2312</v>
      </c>
      <c r="J17" s="1984"/>
      <c r="K17" s="3252" t="s">
        <v>2564</v>
      </c>
      <c r="L17" s="3253"/>
      <c r="M17" s="3254"/>
      <c r="N17" s="3252" t="s">
        <v>2565</v>
      </c>
      <c r="O17" s="3253"/>
      <c r="P17" s="3254"/>
      <c r="R17" s="2299" t="s">
        <v>2311</v>
      </c>
      <c r="S17" s="144"/>
    </row>
    <row r="18" spans="1:19" ht="15">
      <c r="A18" s="117"/>
      <c r="B18" s="128"/>
      <c r="C18" s="129"/>
      <c r="D18" s="2620"/>
      <c r="E18" s="130" t="s">
        <v>220</v>
      </c>
      <c r="F18" s="131" t="s">
        <v>221</v>
      </c>
      <c r="G18" s="1367" t="s">
        <v>222</v>
      </c>
      <c r="H18" s="972" t="s">
        <v>223</v>
      </c>
      <c r="I18" s="973" t="s">
        <v>224</v>
      </c>
      <c r="J18" s="1984"/>
      <c r="K18" s="2583" t="s">
        <v>2566</v>
      </c>
      <c r="L18" s="2584" t="s">
        <v>2567</v>
      </c>
      <c r="M18" s="2585" t="s">
        <v>2568</v>
      </c>
      <c r="N18" s="2583" t="s">
        <v>2566</v>
      </c>
      <c r="O18" s="2584" t="s">
        <v>2567</v>
      </c>
      <c r="P18" s="2585" t="s">
        <v>2568</v>
      </c>
      <c r="R18" s="2300" t="s">
        <v>2309</v>
      </c>
      <c r="S18" s="2300" t="s">
        <v>2310</v>
      </c>
    </row>
    <row r="19" spans="1:19">
      <c r="A19" s="133"/>
      <c r="B19" s="115" t="s">
        <v>225</v>
      </c>
      <c r="C19" s="2999" t="str">
        <f>'数据-基础表'!I10</f>
        <v>商业</v>
      </c>
      <c r="D19" s="111">
        <f t="shared" ref="D19:D26" si="1">ROUND($D$3*E19/$E$3,2)</f>
        <v>13820.41</v>
      </c>
      <c r="E19" s="134">
        <f t="shared" ref="E19:E26" si="2">SUM(F19:G19)</f>
        <v>33168.99</v>
      </c>
      <c r="F19" s="135">
        <f>'数据-基础表'!I13</f>
        <v>33168.99</v>
      </c>
      <c r="G19" s="1368"/>
      <c r="H19" s="974">
        <f>ROUND($D$3*I19/$E$3,2)</f>
        <v>41.59</v>
      </c>
      <c r="I19" s="116">
        <f>IF($I$17="自定义",P19,M19)</f>
        <v>99.81</v>
      </c>
      <c r="J19" s="1984"/>
      <c r="K19" s="2586">
        <f t="shared" ref="K19:K26" si="3">ROUND(E$28*E19/E$27,2)</f>
        <v>99.81</v>
      </c>
      <c r="L19" s="275">
        <f t="shared" ref="L19:L26" si="4">ROUND(IF(COUNTIF(C19,"*住宅*")&gt;0,E$29*E19/E$32,0),2)</f>
        <v>0</v>
      </c>
      <c r="M19" s="2587">
        <f>K19+L19</f>
        <v>99.81</v>
      </c>
      <c r="N19" s="2588"/>
      <c r="O19" s="2589"/>
      <c r="P19" s="2590">
        <f>N19+O19</f>
        <v>0</v>
      </c>
      <c r="R19" s="275">
        <f t="shared" ref="R19:S26" si="5">D19+H19</f>
        <v>13862</v>
      </c>
      <c r="S19" s="2301">
        <f t="shared" si="5"/>
        <v>33268.799999999996</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13820.41</v>
      </c>
      <c r="E27" s="143">
        <f>IF(SUM(E19:E26)='数据-基础表'!BA5,SUM(E19:E26),IF(F27="地上面积有误","面积有误","地下面积有误"))</f>
        <v>33168.99</v>
      </c>
      <c r="F27" s="134">
        <f>IF(SUM(F19:F26)=E8,SUM(F19:F26),"地上面积有误")</f>
        <v>33168.99</v>
      </c>
      <c r="G27" s="112">
        <f>SUM(G19:G26)</f>
        <v>0</v>
      </c>
      <c r="H27" s="975">
        <f>SUM(H19:H26)</f>
        <v>41.59</v>
      </c>
      <c r="I27" s="976">
        <f>SUM(I19:I26)</f>
        <v>99.81</v>
      </c>
      <c r="J27" s="1984"/>
      <c r="K27" s="2595">
        <f>SUM(K19:K26)</f>
        <v>99.81</v>
      </c>
      <c r="L27" s="2596">
        <f>SUM(L19:L26)</f>
        <v>0</v>
      </c>
      <c r="M27" s="2597">
        <f>SUM(M19:M26)</f>
        <v>99.81</v>
      </c>
      <c r="N27" s="2595">
        <f t="shared" ref="N27:O27" si="10">SUM(N19:N26)</f>
        <v>0</v>
      </c>
      <c r="O27" s="2596">
        <f t="shared" si="10"/>
        <v>0</v>
      </c>
      <c r="P27" s="2598">
        <f>SUM(P19:P26)</f>
        <v>0</v>
      </c>
      <c r="R27" s="2305">
        <f>IF(SUM(R19:R26)=$D$3,SUM(R19:R26),SUM(R19:R26)&amp;"误差"&amp;ROUND(SUM(R19:R26)-$D$3,2))</f>
        <v>13862</v>
      </c>
      <c r="S27" s="275">
        <f>IF(SUM(S19:S26)=$E$3,SUM(S19:S26),SUM(S19:S26)&amp;"误差"&amp;ROUND(SUM(S19:S26)-E3,2))</f>
        <v>33268.799999999996</v>
      </c>
    </row>
    <row r="28" spans="1:19">
      <c r="A28" s="138"/>
      <c r="B28" s="115" t="s">
        <v>227</v>
      </c>
      <c r="C28" s="136" t="s">
        <v>228</v>
      </c>
      <c r="D28" s="111">
        <f>ROUND($D$3*E28/$E$3,2)</f>
        <v>41.59</v>
      </c>
      <c r="E28" s="134">
        <f>SUM(F28:G28)</f>
        <v>99.81</v>
      </c>
      <c r="F28" s="144">
        <f>'数据-基础表'!BQ5+'数据-基础表'!BS5</f>
        <v>99.81</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41.59</v>
      </c>
      <c r="E30" s="134">
        <f>SUM(E28:E29)</f>
        <v>99.81</v>
      </c>
      <c r="F30" s="134">
        <f>SUM(F28:F29)</f>
        <v>99.81</v>
      </c>
      <c r="G30" s="112">
        <f>SUM(G28:G29)</f>
        <v>0</v>
      </c>
      <c r="H30" s="1984"/>
      <c r="I30" s="1984"/>
      <c r="J30" s="1984"/>
      <c r="K30" s="1984"/>
      <c r="L30" s="1984"/>
    </row>
    <row r="31" spans="1:19" ht="32.25" customHeight="1" thickBot="1">
      <c r="A31" s="1370"/>
      <c r="B31" s="1371" t="s">
        <v>229</v>
      </c>
      <c r="C31" s="2330" t="s">
        <v>2322</v>
      </c>
      <c r="D31" s="1372">
        <f>D27+D30</f>
        <v>13862</v>
      </c>
      <c r="E31" s="1372">
        <f>E27+E30</f>
        <v>33268.799999999996</v>
      </c>
      <c r="F31" s="1373">
        <f>F27+F30</f>
        <v>33268.799999999996</v>
      </c>
      <c r="G31" s="1374">
        <f>G27+G30</f>
        <v>0</v>
      </c>
      <c r="H31" s="1984"/>
      <c r="I31" s="1984"/>
      <c r="J31" s="1984"/>
      <c r="K31" s="1984"/>
      <c r="L31" s="1984"/>
    </row>
    <row r="32" spans="1:19">
      <c r="A32" s="1984"/>
      <c r="B32" s="2342" t="s">
        <v>2321</v>
      </c>
      <c r="C32" s="262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8" sqref="K1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3216</v>
      </c>
      <c r="O5" s="163" t="s">
        <v>246</v>
      </c>
      <c r="P5" s="165" t="s">
        <v>247</v>
      </c>
      <c r="Q5" s="166" t="s">
        <v>248</v>
      </c>
      <c r="R5" s="167" t="s">
        <v>249</v>
      </c>
      <c r="S5" s="2599" t="s">
        <v>2569</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2323</v>
      </c>
      <c r="AI5" s="171" t="s">
        <v>2292</v>
      </c>
      <c r="AJ5" s="171" t="s">
        <v>258</v>
      </c>
      <c r="AK5" s="159" t="s">
        <v>259</v>
      </c>
      <c r="AL5" s="159" t="s">
        <v>260</v>
      </c>
      <c r="AM5" s="172" t="s">
        <v>261</v>
      </c>
      <c r="AN5" s="2369"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2990</v>
      </c>
      <c r="D6" s="2308">
        <f>SUMIF(项目基本情况!D$15:I$15,C6,项目基本情况!D$18:I$18)</f>
        <v>40</v>
      </c>
      <c r="E6" s="2309">
        <f>IF(B6="","",SUMIF(项目基本情况!D$15:I$15,C6,项目基本情况!D$17:I$17))</f>
        <v>56670</v>
      </c>
      <c r="F6" s="174">
        <f>SUMIF(项目基本情况!D$15:I$15,C6,项目基本情况!D$19:I$19)</f>
        <v>36.119999999999997</v>
      </c>
      <c r="G6" s="175">
        <f>IF(ISERROR(ROUND(POWER(1+H6,D6-F6)*(POWER(1+H6,F6)-1)/(POWER(1+H6,D6)-1),3)),0,ROUND(POWER(1+H6,D6-F6)*(POWER(1+H6,F6)-1)/(POWER(1+H6,D6)-1),3))</f>
        <v>0.96499999999999997</v>
      </c>
      <c r="H6" s="3000">
        <v>0.05</v>
      </c>
      <c r="I6" s="3000">
        <v>5.5E-2</v>
      </c>
      <c r="J6" s="176">
        <v>8.5000000000000006E-2</v>
      </c>
      <c r="K6" s="179">
        <f>SUMIF('数据-汇总表'!C$19:C$33,'数据-取费表'!A6,'数据-汇总表'!E$19:E$33)</f>
        <v>33168.99</v>
      </c>
      <c r="L6" s="3001">
        <v>2800</v>
      </c>
      <c r="M6" s="177">
        <f t="shared" ref="M6:M14" si="0">ROUND(K6*L6/10000,0)</f>
        <v>9287</v>
      </c>
      <c r="N6" s="3002">
        <v>0</v>
      </c>
      <c r="O6" s="177">
        <f>IF($N$5="成新度","——",ROUND(M6*N6,0))</f>
        <v>0</v>
      </c>
      <c r="P6" s="178">
        <f>IF($N$5="成新度","——",M6-O6)</f>
        <v>9287</v>
      </c>
      <c r="Q6" s="3003">
        <v>0.05</v>
      </c>
      <c r="R6" s="179">
        <f>SUMIF('数据-汇总表'!C$19:C$33,A6,'数据-汇总表'!R$19:R$33)</f>
        <v>13862</v>
      </c>
      <c r="S6" s="132">
        <f>IF('数据-汇总表'!$I$17="按面积比例",SUMIF('数据-汇总表'!C$19:C$33,A6,'数据-汇总表'!K$19:K$33),SUMIF('数据-汇总表'!C$19:C$33,A6,'数据-汇总表'!N$19:N$33))</f>
        <v>99.81</v>
      </c>
      <c r="T6" s="2234">
        <f>IF($T$4="按面积比例",IF(ISERROR(ROUND($M$14*S6/S$16,0)),"0",ROUND($M$14*S6/S$16,0)),"需自行计算录入")</f>
        <v>28</v>
      </c>
      <c r="U6" s="180">
        <v>2.1</v>
      </c>
      <c r="V6" s="181">
        <v>0.03</v>
      </c>
      <c r="W6" s="181">
        <v>0.1</v>
      </c>
      <c r="X6" s="2321"/>
      <c r="Y6" s="182">
        <v>1</v>
      </c>
      <c r="Z6" s="183"/>
      <c r="AA6" s="176"/>
      <c r="AB6" s="176"/>
      <c r="AC6" s="2324"/>
      <c r="AD6" s="184"/>
      <c r="AE6" s="972">
        <f ca="1">IF(AN6="",0,SUMIF(INDIRECT("'"&amp;AN6&amp;"'"&amp;"!E:E"),$AE$5,INDIRECT("'"&amp;AN6&amp;"'"&amp;"!F:F")))</f>
        <v>34.619999999999997</v>
      </c>
      <c r="AF6" s="141"/>
      <c r="AG6" s="1213">
        <f>IF(AF6="",0,AE6-AF6)</f>
        <v>0</v>
      </c>
      <c r="AH6" s="141"/>
      <c r="AI6" s="187">
        <v>365</v>
      </c>
      <c r="AJ6" s="188"/>
      <c r="AK6" s="189">
        <v>1.4999999999999999E-2</v>
      </c>
      <c r="AL6" s="190">
        <v>1.5E-3</v>
      </c>
      <c r="AM6" s="3014">
        <v>0.01</v>
      </c>
      <c r="AN6" s="2370" t="s">
        <v>2994</v>
      </c>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99.81</v>
      </c>
      <c r="L14" s="193">
        <v>2800</v>
      </c>
      <c r="M14" s="177">
        <f t="shared" si="0"/>
        <v>28</v>
      </c>
      <c r="N14" s="194">
        <v>0</v>
      </c>
      <c r="O14" s="177">
        <f t="shared" si="3"/>
        <v>0</v>
      </c>
      <c r="P14" s="178">
        <f t="shared" si="4"/>
        <v>28</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33268.799999999996</v>
      </c>
      <c r="L16" s="206">
        <f>ROUND(M16*10000/SUM(K6:K14),0)</f>
        <v>2800</v>
      </c>
      <c r="M16" s="206">
        <f>SUM(M6:M14)</f>
        <v>9315</v>
      </c>
      <c r="N16" s="207">
        <f>ROUND(SUMPRODUCT(M6:M14,N6:N14)/M16,3)</f>
        <v>0</v>
      </c>
      <c r="O16" s="206">
        <f>SUM(O6:O14)</f>
        <v>0</v>
      </c>
      <c r="P16" s="206">
        <f>SUM(P6:P14)</f>
        <v>9315</v>
      </c>
      <c r="Q16" s="208">
        <f>ROUND(SUMPRODUCT(Q6:Q13,K6:K13)/SUMPRODUCT((Q6:Q13&gt;0)*(K6:K13)),2)</f>
        <v>0.05</v>
      </c>
      <c r="R16" s="2311">
        <f>SUM(R6:R13)</f>
        <v>13862</v>
      </c>
      <c r="S16" s="209">
        <f>SUM(S6:S13)</f>
        <v>99.81</v>
      </c>
      <c r="T16" s="210">
        <f>IF(SUMIF(T6:T13,"&lt;9E307")=M14,SUMIF(T6:T13,"&lt;9E307"),"有误，请检查")</f>
        <v>28</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36" customHeight="1">
      <c r="A27" s="226" t="s">
        <v>2336</v>
      </c>
      <c r="B27" s="227">
        <v>30</v>
      </c>
      <c r="C27" s="3177" t="s">
        <v>3219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f>0.7*80</f>
        <v>56</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v>0</v>
      </c>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44"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2453</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2454</v>
      </c>
      <c r="B40" s="2459">
        <f ca="1">存贷款利率!E2</f>
        <v>4.7500000000000001E-2</v>
      </c>
      <c r="C40" s="2344"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1326</v>
      </c>
      <c r="C53" s="3051" t="s">
        <v>2900</v>
      </c>
      <c r="D53" s="3052"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2902</v>
      </c>
      <c r="B54" s="186">
        <v>8</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2903</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2904</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2905</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2906</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2907</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4" t="s">
        <v>1663</v>
      </c>
      <c r="B1" s="3265"/>
      <c r="C1" s="3265"/>
      <c r="D1" s="3265"/>
      <c r="E1" s="3265"/>
      <c r="F1" s="3265"/>
      <c r="G1" s="3265"/>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56" t="s">
        <v>2918</v>
      </c>
      <c r="D3" s="2009"/>
      <c r="E3" s="1229" t="s">
        <v>1666</v>
      </c>
      <c r="F3" s="1230" t="s">
        <v>1654</v>
      </c>
      <c r="G3" s="3060" t="s">
        <v>2917</v>
      </c>
      <c r="H3" s="2008"/>
      <c r="I3" s="2008"/>
      <c r="J3" s="2008"/>
      <c r="K3" s="2008"/>
      <c r="L3" s="2008"/>
      <c r="M3" s="2008"/>
      <c r="N3" s="2008"/>
      <c r="O3" s="2008"/>
      <c r="P3" s="2008"/>
      <c r="Q3" s="2008"/>
      <c r="R3" s="2008"/>
    </row>
    <row r="4" spans="1:18" ht="41.25">
      <c r="A4" s="1229"/>
      <c r="B4" s="1231" t="s">
        <v>1667</v>
      </c>
      <c r="C4" s="3057" t="s">
        <v>2919</v>
      </c>
      <c r="D4" s="2009"/>
      <c r="E4" s="1232"/>
      <c r="F4" s="1233" t="s">
        <v>1668</v>
      </c>
      <c r="G4" s="3058" t="s">
        <v>2914</v>
      </c>
      <c r="H4" s="2008"/>
      <c r="I4" s="2008"/>
      <c r="J4" s="2008"/>
      <c r="K4" s="2008"/>
      <c r="L4" s="2008"/>
      <c r="M4" s="2008"/>
      <c r="N4" s="2008"/>
      <c r="O4" s="2008"/>
      <c r="P4" s="2008"/>
      <c r="Q4" s="2008"/>
      <c r="R4" s="2008"/>
    </row>
    <row r="5" spans="1:18" ht="41.25">
      <c r="A5" s="1229"/>
      <c r="B5" s="1231" t="s">
        <v>1669</v>
      </c>
      <c r="C5" s="3057" t="s">
        <v>2920</v>
      </c>
      <c r="D5" s="2009"/>
      <c r="E5" s="1232"/>
      <c r="F5" s="1231" t="s">
        <v>2543</v>
      </c>
      <c r="G5" s="3058" t="s">
        <v>2915</v>
      </c>
      <c r="H5" s="2008"/>
      <c r="I5" s="2008"/>
      <c r="J5" s="2008"/>
      <c r="K5" s="2008"/>
      <c r="L5" s="2008"/>
      <c r="M5" s="2008"/>
      <c r="N5" s="2008"/>
      <c r="O5" s="2008"/>
      <c r="P5" s="2008"/>
      <c r="Q5" s="2008"/>
      <c r="R5" s="2008"/>
    </row>
    <row r="6" spans="1:18" ht="54">
      <c r="A6" s="1229"/>
      <c r="B6" s="1231" t="s">
        <v>1655</v>
      </c>
      <c r="C6" s="3058" t="s">
        <v>2914</v>
      </c>
      <c r="D6" s="2009"/>
      <c r="E6" s="1232"/>
      <c r="F6" s="1231" t="s">
        <v>2544</v>
      </c>
      <c r="G6" s="3058" t="s">
        <v>2912</v>
      </c>
      <c r="H6" s="2008"/>
      <c r="I6" s="2008"/>
      <c r="J6" s="2008"/>
      <c r="K6" s="2008"/>
      <c r="L6" s="2008"/>
      <c r="M6" s="2008"/>
      <c r="N6" s="2008"/>
      <c r="O6" s="2008"/>
      <c r="P6" s="2008"/>
      <c r="Q6" s="2008"/>
      <c r="R6" s="2008"/>
    </row>
    <row r="7" spans="1:18" ht="41.25" thickBot="1">
      <c r="A7" s="1229"/>
      <c r="B7" s="1231" t="s">
        <v>2543</v>
      </c>
      <c r="C7" s="3058" t="s">
        <v>2915</v>
      </c>
      <c r="D7" s="2010"/>
      <c r="E7" s="1234"/>
      <c r="F7" s="1235" t="s">
        <v>1670</v>
      </c>
      <c r="G7" s="3061" t="s">
        <v>2916</v>
      </c>
      <c r="H7" s="2008"/>
      <c r="I7" s="2008"/>
      <c r="J7" s="2008"/>
      <c r="K7" s="2008"/>
      <c r="L7" s="2008"/>
      <c r="M7" s="2008"/>
      <c r="N7" s="2008"/>
      <c r="O7" s="2008"/>
      <c r="P7" s="2008"/>
      <c r="Q7" s="2008"/>
      <c r="R7" s="2008"/>
    </row>
    <row r="8" spans="1:18" ht="27">
      <c r="A8" s="1229"/>
      <c r="B8" s="1231" t="s">
        <v>2544</v>
      </c>
      <c r="C8" s="3058" t="s">
        <v>2912</v>
      </c>
      <c r="D8" s="2010"/>
      <c r="E8" s="2010"/>
      <c r="F8" s="1554"/>
      <c r="G8" s="1554"/>
      <c r="H8" s="2008"/>
      <c r="I8" s="2008"/>
      <c r="J8" s="2008"/>
      <c r="K8" s="2008"/>
      <c r="L8" s="2008"/>
      <c r="M8" s="2008"/>
      <c r="N8" s="2008"/>
      <c r="O8" s="2008"/>
      <c r="P8" s="2008"/>
      <c r="Q8" s="2008"/>
      <c r="R8" s="2008"/>
    </row>
    <row r="9" spans="1:18" ht="40.5">
      <c r="A9" s="1229"/>
      <c r="B9" s="1231" t="s">
        <v>1656</v>
      </c>
      <c r="C9" s="3057" t="s">
        <v>2913</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1672</v>
      </c>
      <c r="B13" s="2556"/>
      <c r="C13" s="2556"/>
      <c r="D13" s="1224"/>
      <c r="E13" s="2556"/>
      <c r="F13" s="2556"/>
      <c r="G13" s="2556"/>
    </row>
    <row r="14" spans="1:18" ht="14.25" thickBot="1">
      <c r="A14" s="1238"/>
      <c r="B14" s="1239"/>
      <c r="C14" s="1240" t="s">
        <v>1664</v>
      </c>
      <c r="D14" s="2009"/>
      <c r="E14" s="1241"/>
      <c r="F14" s="1241"/>
      <c r="G14" s="1223" t="s">
        <v>1665</v>
      </c>
    </row>
    <row r="15" spans="1:18" ht="54">
      <c r="A15" s="2566" t="s">
        <v>1657</v>
      </c>
      <c r="B15" s="1242" t="s">
        <v>1653</v>
      </c>
      <c r="C15" s="1243" t="str">
        <f>C3</f>
        <v>估价对象周边居住用地比例、居住小区规模和社区发展完善程度，综合评价居住社区成熟度一般</v>
      </c>
      <c r="D15" s="2009"/>
      <c r="E15" s="2563" t="s">
        <v>1658</v>
      </c>
      <c r="F15" s="1242" t="s">
        <v>1673</v>
      </c>
      <c r="G15" s="1244" t="str">
        <f>G3</f>
        <v>估价对象位于XX开发区，园区建设成熟度XX，产业集聚程度XX</v>
      </c>
    </row>
    <row r="16" spans="1:18" ht="40.5">
      <c r="A16" s="2567"/>
      <c r="B16" s="1245" t="s">
        <v>1667</v>
      </c>
      <c r="C16" s="1246" t="str">
        <f>C4</f>
        <v>估价对象位于XX商圈，周边商业氛围成熟，人流量大，商业繁华度好</v>
      </c>
      <c r="D16" s="2009"/>
      <c r="E16" s="2564"/>
      <c r="F16" s="1247" t="s">
        <v>1668</v>
      </c>
      <c r="G16" s="1005" t="str">
        <f>G4</f>
        <v>估价对象周边道路状况、公共交通通达情况、停车便捷程度，综合评价交通便捷度较好</v>
      </c>
    </row>
    <row r="17" spans="1:7" ht="40.5">
      <c r="A17" s="2567"/>
      <c r="B17" s="1245" t="s">
        <v>1669</v>
      </c>
      <c r="C17" s="1246" t="str">
        <f>C5</f>
        <v>估价对象位于XX商圈，周边办公楼项目较多，入驻率高，办公集聚程度较好</v>
      </c>
      <c r="D17" s="2010"/>
      <c r="E17" s="2564"/>
      <c r="F17" s="1247" t="s">
        <v>1674</v>
      </c>
      <c r="G17" s="2771"/>
    </row>
    <row r="18" spans="1:7" ht="54">
      <c r="A18" s="2567"/>
      <c r="B18" s="1247" t="s">
        <v>1655</v>
      </c>
      <c r="C18" s="1005" t="str">
        <f>C6</f>
        <v>估价对象周边道路状况、公共交通通达情况、停车便捷程度，综合评价交通便捷度较好</v>
      </c>
      <c r="D18" s="2010"/>
      <c r="E18" s="2564"/>
      <c r="F18" s="1247" t="s">
        <v>1670</v>
      </c>
      <c r="G18" s="1005" t="str">
        <f>G7</f>
        <v>该园区内是否有污染型企业，绿化情况，卫生条件，整体环境状况判断</v>
      </c>
    </row>
    <row r="19" spans="1:7" ht="27">
      <c r="A19" s="2567"/>
      <c r="B19" s="1247" t="s">
        <v>1659</v>
      </c>
      <c r="C19" s="2771"/>
      <c r="D19" s="2009"/>
      <c r="E19" s="2564"/>
      <c r="F19" s="1231" t="s">
        <v>2543</v>
      </c>
      <c r="G19" s="1005" t="str">
        <f>G5</f>
        <v>估价对象所在区域公共配套设施齐备情况</v>
      </c>
    </row>
    <row r="20" spans="1:7" ht="40.5">
      <c r="A20" s="2567"/>
      <c r="B20" s="1247" t="s">
        <v>1660</v>
      </c>
      <c r="C20" s="1246" t="str">
        <f>C9</f>
        <v>区域自然环境：；人文环境；综合评价环境状况一般</v>
      </c>
      <c r="D20" s="2010"/>
      <c r="E20" s="2564"/>
      <c r="F20" s="1231" t="s">
        <v>2544</v>
      </c>
      <c r="G20" s="1005" t="str">
        <f>G6</f>
        <v>估价对象所在区域基础设施水平</v>
      </c>
    </row>
    <row r="21" spans="1:7" ht="27">
      <c r="A21" s="2567"/>
      <c r="B21" s="1231" t="s">
        <v>2543</v>
      </c>
      <c r="C21" s="1005" t="str">
        <f>C7</f>
        <v>估价对象所在区域公共配套设施齐备情况</v>
      </c>
      <c r="D21" s="2009"/>
      <c r="E21" s="2564"/>
      <c r="F21" s="1247" t="s">
        <v>1661</v>
      </c>
      <c r="G21" s="3062"/>
    </row>
    <row r="22" spans="1:7" ht="27">
      <c r="A22" s="2567"/>
      <c r="B22" s="1231" t="s">
        <v>2544</v>
      </c>
      <c r="C22" s="1005" t="str">
        <f>C8</f>
        <v>估价对象所在区域基础设施水平</v>
      </c>
      <c r="D22" s="2009"/>
      <c r="E22" s="2564"/>
      <c r="F22" s="1247" t="s">
        <v>1671</v>
      </c>
      <c r="G22" s="2771"/>
    </row>
    <row r="23" spans="1:7" ht="15" thickBot="1">
      <c r="A23" s="2567"/>
      <c r="B23" s="1247" t="s">
        <v>1661</v>
      </c>
      <c r="C23" s="3062"/>
      <c r="E23" s="2565"/>
      <c r="F23" s="1248" t="s">
        <v>1675</v>
      </c>
      <c r="G23" s="3063"/>
    </row>
    <row r="24" spans="1:7" ht="14.25" thickBot="1">
      <c r="A24" s="256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2840</v>
      </c>
      <c r="B1" s="3020">
        <f>SUM(B14:B23)</f>
        <v>33268.799999999996</v>
      </c>
      <c r="C1" s="3021"/>
      <c r="D1" s="3021"/>
      <c r="E1" s="3021"/>
      <c r="F1" s="3021"/>
    </row>
    <row r="2" spans="1:9" ht="16.5">
      <c r="A2" s="3020" t="s">
        <v>2841</v>
      </c>
      <c r="B2" s="3020">
        <f>SUM(C14:C23)</f>
        <v>13862</v>
      </c>
      <c r="C2" s="3021"/>
      <c r="D2" s="3021"/>
      <c r="E2" s="3021"/>
      <c r="F2" s="3021"/>
    </row>
    <row r="3" spans="1:9" ht="16.5">
      <c r="A3" s="3020" t="s">
        <v>2842</v>
      </c>
      <c r="B3" s="3022">
        <f>项目基本情况!D3</f>
        <v>43486</v>
      </c>
      <c r="C3" s="3021"/>
      <c r="D3" s="3021"/>
      <c r="E3" s="3021"/>
      <c r="F3" s="3021"/>
    </row>
    <row r="4" spans="1:9" ht="33">
      <c r="A4" s="3020" t="s">
        <v>2843</v>
      </c>
      <c r="B4" s="3020" t="s">
        <v>2844</v>
      </c>
      <c r="C4" s="3020" t="s">
        <v>2845</v>
      </c>
      <c r="D4" s="3020" t="s">
        <v>2846</v>
      </c>
      <c r="E4" s="3021"/>
      <c r="F4" s="3021"/>
    </row>
    <row r="5" spans="1:9" ht="16.5">
      <c r="A5" s="3020" t="s">
        <v>2847</v>
      </c>
      <c r="B5" s="3020">
        <f ca="1">SUM(D14:D23)</f>
        <v>20223</v>
      </c>
      <c r="C5" s="3020">
        <f ca="1">ROUND(B5*10000/$B$1,0)</f>
        <v>6079</v>
      </c>
      <c r="D5" s="3020">
        <f ca="1">ROUND(B5*10000/$B$2,0)</f>
        <v>14589</v>
      </c>
      <c r="E5" s="3021"/>
      <c r="F5" s="3021"/>
    </row>
    <row r="6" spans="1:9" ht="16.5">
      <c r="A6" s="3020" t="s">
        <v>2848</v>
      </c>
      <c r="B6" s="3020">
        <f>SUM(G14:G23)</f>
        <v>0</v>
      </c>
      <c r="C6" s="3020">
        <f t="shared" ref="C6:C8" si="0">ROUND(B6*10000/$B$1,0)</f>
        <v>0</v>
      </c>
      <c r="D6" s="3020">
        <f t="shared" ref="D6:D8" si="1">ROUND(B6*10000/$B$2,0)</f>
        <v>0</v>
      </c>
      <c r="E6" s="3021"/>
      <c r="F6" s="3021"/>
    </row>
    <row r="7" spans="1:9" ht="16.5">
      <c r="A7" s="3020" t="s">
        <v>2849</v>
      </c>
      <c r="B7" s="3020">
        <f>SUM(H14:H23)</f>
        <v>0</v>
      </c>
      <c r="C7" s="3020">
        <f t="shared" si="0"/>
        <v>0</v>
      </c>
      <c r="D7" s="3020">
        <f t="shared" si="1"/>
        <v>0</v>
      </c>
      <c r="E7" s="3021"/>
      <c r="F7" s="3021"/>
    </row>
    <row r="8" spans="1:9" ht="16.5">
      <c r="A8" s="3020" t="s">
        <v>2850</v>
      </c>
      <c r="B8" s="3020">
        <f>SUM(I14:I23)</f>
        <v>0</v>
      </c>
      <c r="C8" s="3020">
        <f t="shared" si="0"/>
        <v>0</v>
      </c>
      <c r="D8" s="3020">
        <f t="shared" si="1"/>
        <v>0</v>
      </c>
      <c r="E8" s="3021"/>
      <c r="F8" s="3021"/>
    </row>
    <row r="9" spans="1:9" ht="16.5">
      <c r="A9" s="3020" t="s">
        <v>2851</v>
      </c>
      <c r="B9" s="3023"/>
      <c r="C9" s="3021"/>
      <c r="D9" s="3021"/>
      <c r="E9" s="3021"/>
      <c r="F9" s="3021"/>
    </row>
    <row r="10" spans="1:9" ht="16.5">
      <c r="A10" s="3020" t="s">
        <v>2852</v>
      </c>
      <c r="B10" s="3023"/>
      <c r="C10" s="3021"/>
      <c r="D10" s="3021"/>
      <c r="E10" s="3021"/>
      <c r="F10" s="3021"/>
    </row>
    <row r="11" spans="1:9" ht="16.5">
      <c r="A11" s="3020" t="s">
        <v>2869</v>
      </c>
      <c r="B11" s="3023"/>
      <c r="C11" s="3021"/>
      <c r="D11" s="3021"/>
      <c r="E11" s="3021"/>
      <c r="F11" s="3021"/>
    </row>
    <row r="12" spans="1:9" ht="16.5">
      <c r="A12" s="3021"/>
      <c r="B12" s="3021"/>
      <c r="C12" s="3021"/>
      <c r="D12" s="3021"/>
      <c r="E12" s="3021"/>
      <c r="F12" s="3021"/>
    </row>
    <row r="13" spans="1:9" ht="33">
      <c r="A13" s="3026" t="s">
        <v>2868</v>
      </c>
      <c r="B13" s="3024" t="s">
        <v>2840</v>
      </c>
      <c r="C13" s="3024" t="s">
        <v>2841</v>
      </c>
      <c r="D13" s="3024" t="s">
        <v>2853</v>
      </c>
      <c r="E13" s="3020" t="s">
        <v>2867</v>
      </c>
      <c r="F13" s="3020" t="s">
        <v>2846</v>
      </c>
      <c r="G13" s="3024" t="s">
        <v>2854</v>
      </c>
      <c r="H13" s="3024" t="s">
        <v>2855</v>
      </c>
      <c r="I13" s="3024" t="s">
        <v>2856</v>
      </c>
    </row>
    <row r="14" spans="1:9" ht="16.5">
      <c r="A14" s="3027" t="s">
        <v>2866</v>
      </c>
      <c r="B14" s="3024">
        <f>结果表!L38</f>
        <v>33268.799999999996</v>
      </c>
      <c r="C14" s="3024">
        <f>结果表!K38</f>
        <v>13862</v>
      </c>
      <c r="D14" s="3024">
        <f ca="1">结果表!C42</f>
        <v>20223</v>
      </c>
      <c r="E14" s="3024">
        <f ca="1">ROUND(D14*10000/B14,0)</f>
        <v>6079</v>
      </c>
      <c r="F14" s="3024">
        <f ca="1">ROUND(D14*10000/C14,0)</f>
        <v>14589</v>
      </c>
      <c r="G14" s="3024" t="str">
        <f>结果表!C44</f>
        <v>——</v>
      </c>
      <c r="H14" s="3024" t="str">
        <f>结果表!C45</f>
        <v>——</v>
      </c>
      <c r="I14" s="3024" t="str">
        <f>结果表!C46</f>
        <v>——</v>
      </c>
    </row>
    <row r="15" spans="1:9" ht="16.5">
      <c r="A15" s="3027" t="s">
        <v>2857</v>
      </c>
      <c r="B15" s="3028"/>
      <c r="C15" s="3028"/>
      <c r="D15" s="3028"/>
      <c r="E15" s="3024" t="e">
        <f t="shared" ref="E15:E23" si="2">ROUND(D15*10000/B15,0)</f>
        <v>#DIV/0!</v>
      </c>
      <c r="F15" s="3024" t="e">
        <f t="shared" ref="F15:F23" si="3">ROUND(D15*10000/C15,0)</f>
        <v>#DIV/0!</v>
      </c>
      <c r="G15" s="3025"/>
      <c r="H15" s="3025"/>
      <c r="I15" s="3028"/>
    </row>
    <row r="16" spans="1:9" ht="16.5">
      <c r="A16" s="3027" t="s">
        <v>2858</v>
      </c>
      <c r="B16" s="3028"/>
      <c r="C16" s="3028"/>
      <c r="D16" s="3028"/>
      <c r="E16" s="3024" t="e">
        <f t="shared" si="2"/>
        <v>#DIV/0!</v>
      </c>
      <c r="F16" s="3024" t="e">
        <f t="shared" si="3"/>
        <v>#DIV/0!</v>
      </c>
      <c r="G16" s="3025"/>
      <c r="H16" s="3025"/>
      <c r="I16" s="3028"/>
    </row>
    <row r="17" spans="1:9" ht="16.5">
      <c r="A17" s="3027" t="s">
        <v>2859</v>
      </c>
      <c r="B17" s="3028"/>
      <c r="C17" s="3028"/>
      <c r="D17" s="3028"/>
      <c r="E17" s="3024" t="e">
        <f t="shared" si="2"/>
        <v>#DIV/0!</v>
      </c>
      <c r="F17" s="3024" t="e">
        <f t="shared" si="3"/>
        <v>#DIV/0!</v>
      </c>
      <c r="G17" s="3025"/>
      <c r="H17" s="3025"/>
      <c r="I17" s="3028"/>
    </row>
    <row r="18" spans="1:9" ht="16.5">
      <c r="A18" s="3027" t="s">
        <v>2860</v>
      </c>
      <c r="B18" s="3028"/>
      <c r="C18" s="3028"/>
      <c r="D18" s="3028"/>
      <c r="E18" s="3024" t="e">
        <f t="shared" si="2"/>
        <v>#DIV/0!</v>
      </c>
      <c r="F18" s="3024" t="e">
        <f t="shared" si="3"/>
        <v>#DIV/0!</v>
      </c>
      <c r="G18" s="3028"/>
      <c r="H18" s="3028"/>
      <c r="I18" s="3028"/>
    </row>
    <row r="19" spans="1:9" ht="16.5">
      <c r="A19" s="3027" t="s">
        <v>2861</v>
      </c>
      <c r="B19" s="3028"/>
      <c r="C19" s="3028"/>
      <c r="D19" s="3028"/>
      <c r="E19" s="3024" t="e">
        <f t="shared" si="2"/>
        <v>#DIV/0!</v>
      </c>
      <c r="F19" s="3024" t="e">
        <f t="shared" si="3"/>
        <v>#DIV/0!</v>
      </c>
      <c r="G19" s="3028"/>
      <c r="H19" s="3028"/>
      <c r="I19" s="3028"/>
    </row>
    <row r="20" spans="1:9" ht="16.5">
      <c r="A20" s="3027" t="s">
        <v>2862</v>
      </c>
      <c r="B20" s="3028"/>
      <c r="C20" s="3028"/>
      <c r="D20" s="3028"/>
      <c r="E20" s="3024" t="e">
        <f t="shared" si="2"/>
        <v>#DIV/0!</v>
      </c>
      <c r="F20" s="3024" t="e">
        <f t="shared" si="3"/>
        <v>#DIV/0!</v>
      </c>
      <c r="G20" s="3028"/>
      <c r="H20" s="3028"/>
      <c r="I20" s="3028"/>
    </row>
    <row r="21" spans="1:9" ht="16.5">
      <c r="A21" s="3027" t="s">
        <v>2863</v>
      </c>
      <c r="B21" s="3028"/>
      <c r="C21" s="3028"/>
      <c r="D21" s="3028"/>
      <c r="E21" s="3024" t="e">
        <f t="shared" si="2"/>
        <v>#DIV/0!</v>
      </c>
      <c r="F21" s="3024" t="e">
        <f t="shared" si="3"/>
        <v>#DIV/0!</v>
      </c>
      <c r="G21" s="3028"/>
      <c r="H21" s="3028"/>
      <c r="I21" s="3028"/>
    </row>
    <row r="22" spans="1:9" ht="16.5">
      <c r="A22" s="3027" t="s">
        <v>2864</v>
      </c>
      <c r="B22" s="3028"/>
      <c r="C22" s="3028"/>
      <c r="D22" s="3028"/>
      <c r="E22" s="3024" t="e">
        <f t="shared" si="2"/>
        <v>#DIV/0!</v>
      </c>
      <c r="F22" s="3024" t="e">
        <f t="shared" si="3"/>
        <v>#DIV/0!</v>
      </c>
      <c r="G22" s="3028"/>
      <c r="H22" s="3028"/>
      <c r="I22" s="3028"/>
    </row>
    <row r="23" spans="1:9" ht="16.5">
      <c r="A23" s="3027" t="s">
        <v>2865</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3218</v>
      </c>
      <c r="E1" s="1805" t="s">
        <v>2057</v>
      </c>
      <c r="F1" s="1807" t="s">
        <v>3217</v>
      </c>
      <c r="G1" s="311"/>
      <c r="H1" s="311"/>
      <c r="I1" s="311"/>
      <c r="J1" s="2029"/>
      <c r="K1" s="2029"/>
      <c r="L1" s="2029"/>
      <c r="M1" s="2029"/>
      <c r="N1" s="2029"/>
      <c r="O1" s="2029"/>
      <c r="P1" s="2029"/>
      <c r="Q1" s="2029"/>
      <c r="R1" s="2029"/>
      <c r="S1" s="2029"/>
      <c r="T1" s="2029"/>
      <c r="U1" s="2029"/>
      <c r="V1" s="2029"/>
    </row>
    <row r="2" spans="1:22" ht="21.75" customHeight="1" thickBot="1">
      <c r="A2" s="3302" t="str">
        <f>项目基本情况!K2</f>
        <v>出让国有建设用地使用权</v>
      </c>
      <c r="B2" s="3303"/>
      <c r="C2" s="3304"/>
      <c r="D2" s="3304"/>
      <c r="E2" s="3304"/>
      <c r="F2" s="3304"/>
      <c r="G2" s="3303"/>
      <c r="H2" s="3303"/>
      <c r="I2" s="3305"/>
      <c r="J2" s="2030"/>
      <c r="K2" s="2029"/>
      <c r="L2" s="2029"/>
      <c r="M2" s="2029"/>
      <c r="N2" s="2029"/>
      <c r="O2" s="2029"/>
      <c r="P2" s="2029"/>
      <c r="Q2" s="2029"/>
      <c r="R2" s="2029"/>
      <c r="S2" s="2029"/>
      <c r="T2" s="2029"/>
      <c r="U2" s="2029"/>
      <c r="V2" s="2029"/>
    </row>
    <row r="3" spans="1:22" ht="14.25">
      <c r="A3" s="3295" t="s">
        <v>298</v>
      </c>
      <c r="B3" s="3296"/>
      <c r="C3" s="3296"/>
      <c r="D3" s="3296"/>
      <c r="E3" s="3296"/>
      <c r="F3" s="3296"/>
      <c r="G3" s="3296"/>
      <c r="H3" s="3296"/>
      <c r="I3" s="3296"/>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267" t="s">
        <v>301</v>
      </c>
      <c r="F4" s="3268"/>
      <c r="G4" s="3268"/>
      <c r="H4" s="3268"/>
      <c r="I4" s="329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66" t="s">
        <v>302</v>
      </c>
      <c r="B5" s="3292">
        <v>25</v>
      </c>
      <c r="C5" s="3290"/>
      <c r="D5" s="3294"/>
      <c r="E5" s="261" t="s">
        <v>303</v>
      </c>
      <c r="F5" s="262"/>
      <c r="G5" s="262"/>
      <c r="H5" s="262"/>
      <c r="I5" s="263"/>
      <c r="J5" s="2030"/>
      <c r="K5" s="2029"/>
      <c r="L5" s="2029"/>
      <c r="M5" s="2029"/>
      <c r="N5" s="2029"/>
      <c r="O5" s="2029"/>
      <c r="P5" s="2029"/>
      <c r="Q5" s="2029"/>
      <c r="R5" s="2029"/>
      <c r="S5" s="2029"/>
      <c r="T5" s="2029"/>
      <c r="U5" s="2029"/>
      <c r="V5" s="2029"/>
    </row>
    <row r="6" spans="1:22" ht="14.25">
      <c r="A6" s="3266"/>
      <c r="B6" s="3292"/>
      <c r="C6" s="3293"/>
      <c r="D6" s="3294"/>
      <c r="E6" s="261" t="s">
        <v>304</v>
      </c>
      <c r="F6" s="262"/>
      <c r="G6" s="262"/>
      <c r="H6" s="262"/>
      <c r="I6" s="263"/>
      <c r="J6" s="2030"/>
      <c r="K6" s="2029"/>
      <c r="L6" s="2029"/>
      <c r="M6" s="2029"/>
      <c r="N6" s="2029"/>
      <c r="O6" s="2029"/>
      <c r="P6" s="2029"/>
      <c r="Q6" s="2029"/>
      <c r="R6" s="2029"/>
      <c r="S6" s="2029"/>
      <c r="T6" s="2029"/>
      <c r="U6" s="2029"/>
      <c r="V6" s="2029"/>
    </row>
    <row r="7" spans="1:22" ht="14.25">
      <c r="A7" s="3266"/>
      <c r="B7" s="3292"/>
      <c r="C7" s="3291"/>
      <c r="D7" s="3294"/>
      <c r="E7" s="261" t="s">
        <v>305</v>
      </c>
      <c r="F7" s="262"/>
      <c r="G7" s="262"/>
      <c r="H7" s="262"/>
      <c r="I7" s="263"/>
      <c r="J7" s="2030"/>
      <c r="K7" s="2029"/>
      <c r="L7" s="2029"/>
      <c r="M7" s="2029"/>
      <c r="N7" s="2029"/>
      <c r="O7" s="2029"/>
      <c r="P7" s="2029"/>
      <c r="Q7" s="2029"/>
      <c r="R7" s="2029"/>
      <c r="S7" s="2029"/>
      <c r="T7" s="2029"/>
      <c r="U7" s="2029"/>
      <c r="V7" s="2029"/>
    </row>
    <row r="8" spans="1:22" ht="14.25">
      <c r="A8" s="3266" t="s">
        <v>306</v>
      </c>
      <c r="B8" s="3292">
        <v>15</v>
      </c>
      <c r="C8" s="3290"/>
      <c r="D8" s="3294"/>
      <c r="E8" s="261" t="s">
        <v>307</v>
      </c>
      <c r="F8" s="262"/>
      <c r="G8" s="262"/>
      <c r="H8" s="262"/>
      <c r="I8" s="263"/>
      <c r="J8" s="2030"/>
      <c r="K8" s="2029"/>
      <c r="L8" s="2029"/>
      <c r="M8" s="2029"/>
      <c r="N8" s="2029"/>
      <c r="O8" s="2029"/>
      <c r="P8" s="2029"/>
      <c r="Q8" s="2029"/>
      <c r="R8" s="2029"/>
      <c r="S8" s="2029"/>
      <c r="T8" s="2029"/>
      <c r="U8" s="2029"/>
      <c r="V8" s="2029"/>
    </row>
    <row r="9" spans="1:22" ht="14.25">
      <c r="A9" s="3266"/>
      <c r="B9" s="3292"/>
      <c r="C9" s="3291"/>
      <c r="D9" s="3294"/>
      <c r="E9" s="261" t="s">
        <v>308</v>
      </c>
      <c r="F9" s="262"/>
      <c r="G9" s="262"/>
      <c r="H9" s="262"/>
      <c r="I9" s="263"/>
      <c r="J9" s="2030"/>
      <c r="K9" s="2029"/>
      <c r="L9" s="2029"/>
      <c r="M9" s="2029"/>
      <c r="N9" s="2029"/>
      <c r="O9" s="2029"/>
      <c r="P9" s="2029"/>
      <c r="Q9" s="2029"/>
      <c r="R9" s="2029"/>
      <c r="S9" s="2029"/>
      <c r="T9" s="2029"/>
      <c r="U9" s="2029"/>
      <c r="V9" s="2029"/>
    </row>
    <row r="10" spans="1:22" ht="14.25">
      <c r="A10" s="3266" t="s">
        <v>309</v>
      </c>
      <c r="B10" s="3292">
        <v>15</v>
      </c>
      <c r="C10" s="3290"/>
      <c r="D10" s="3294"/>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6"/>
      <c r="B11" s="3292"/>
      <c r="C11" s="3291"/>
      <c r="D11" s="3294"/>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6" t="s">
        <v>312</v>
      </c>
      <c r="B12" s="3292">
        <v>15</v>
      </c>
      <c r="C12" s="3290"/>
      <c r="D12" s="3294"/>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6"/>
      <c r="B13" s="3292"/>
      <c r="C13" s="3291"/>
      <c r="D13" s="3294"/>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6" t="s">
        <v>315</v>
      </c>
      <c r="B14" s="3292">
        <v>30</v>
      </c>
      <c r="C14" s="3290">
        <v>0</v>
      </c>
      <c r="D14" s="3294">
        <v>10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6"/>
      <c r="B15" s="3292"/>
      <c r="C15" s="3293"/>
      <c r="D15" s="3294"/>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6"/>
      <c r="B16" s="3292"/>
      <c r="C16" s="3291"/>
      <c r="D16" s="329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11112</v>
      </c>
      <c r="D19" s="271">
        <f ca="1">SUMIF(INDIRECT("'"&amp;D4&amp;"'"&amp;"!A:A"),结果表!B19,INDIRECT("'"&amp;D4&amp;"'"&amp;"!B:B"))</f>
        <v>20223</v>
      </c>
      <c r="E19" s="268" t="s">
        <v>323</v>
      </c>
      <c r="F19" s="269" t="s">
        <v>322</v>
      </c>
      <c r="G19" s="272">
        <f ca="1">ROUND(C19*$C$18+D19*$D$18,0)</f>
        <v>20223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3340</v>
      </c>
      <c r="D20" s="277">
        <f ca="1">SUMIF(INDIRECT("'"&amp;D4&amp;"'"&amp;"!A:A"),结果表!B20,INDIRECT("'"&amp;D4&amp;"'"&amp;"!B:B"))</f>
        <v>6079</v>
      </c>
      <c r="E20" s="274"/>
      <c r="F20" s="275" t="s">
        <v>325</v>
      </c>
      <c r="G20" s="278">
        <f ca="1">ROUND(C20*$C$18+D20*$D$18,0)</f>
        <v>6079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8016</v>
      </c>
      <c r="D21" s="151">
        <f ca="1">SUMIF(INDIRECT("'"&amp;D4&amp;"'"&amp;"!A:A"),结果表!B21,INDIRECT("'"&amp;D4&amp;"'"&amp;"!B:B"))</f>
        <v>14589</v>
      </c>
      <c r="E21" s="274"/>
      <c r="F21" s="280" t="s">
        <v>327</v>
      </c>
      <c r="G21" s="282">
        <f ca="1">ROUND(C21*$C$18+D21*$D$18,0)</f>
        <v>14589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0.81992440604751615</v>
      </c>
      <c r="E22" s="284"/>
      <c r="F22" s="285"/>
      <c r="G22" s="286">
        <f ca="1">ROUND(G19/('数据-汇总表'!D3/666.67),0)</f>
        <v>973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3"/>
      <c r="B25" s="1321" t="s">
        <v>331</v>
      </c>
      <c r="C25" s="290">
        <f>IF(B30=0,0,C30)</f>
        <v>0</v>
      </c>
      <c r="D25" s="291"/>
      <c r="E25" s="311"/>
      <c r="F25" s="311"/>
      <c r="G25" s="311"/>
      <c r="H25" s="311"/>
      <c r="I25" s="311"/>
      <c r="J25" s="2029"/>
      <c r="K25" s="1255" t="str">
        <f ca="1">项目基本情况!B16&amp;"国有建设用地使用权价格："&amp;O38&amp;"万元"</f>
        <v>出让国有建设用地使用权价格：20223万元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大写金额：人民币贰亿零贰佰贰拾叁万元整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单位面积地价：14589元/平方米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楼面地价：6079元/平方米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5" t="s">
        <v>336</v>
      </c>
      <c r="B30" s="309"/>
      <c r="C30" s="309"/>
      <c r="D30" s="310"/>
      <c r="E30" s="3106" t="s">
        <v>2967</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抵押担保权已注销时的抵押价格：——万元</v>
      </c>
      <c r="L31" s="2443"/>
      <c r="M31" s="2443"/>
      <c r="N31" s="2443"/>
      <c r="O31" s="2444"/>
      <c r="P31" s="2029"/>
      <c r="V31" s="2029"/>
    </row>
    <row r="32" spans="1:26" ht="18.75" thickBot="1">
      <c r="A32" s="268" t="s">
        <v>337</v>
      </c>
      <c r="B32" s="1382" t="s">
        <v>1688</v>
      </c>
      <c r="C32" s="1383">
        <f ca="1">G19-C24</f>
        <v>20223</v>
      </c>
      <c r="D32" s="1384" t="s">
        <v>1689</v>
      </c>
      <c r="E32" s="311"/>
      <c r="F32" s="311"/>
      <c r="G32" s="311"/>
      <c r="H32" s="311"/>
      <c r="I32" s="311"/>
      <c r="J32" s="2029"/>
      <c r="K32" s="2442" t="e">
        <f>IF(K31="——","——","大写金额：人民币"&amp;NUMBERSTRING(INT(O40*10000),2)&amp;"元整")</f>
        <v>#VALUE!</v>
      </c>
      <c r="L32" s="2445"/>
      <c r="M32" s="2445"/>
      <c r="N32" s="2445"/>
      <c r="O32" s="2446"/>
      <c r="P32" s="2029"/>
      <c r="V32" s="2029"/>
    </row>
    <row r="33" spans="1:26" ht="18.75" thickBot="1">
      <c r="A33" s="298" t="s">
        <v>340</v>
      </c>
      <c r="B33" s="1385" t="s">
        <v>1690</v>
      </c>
      <c r="C33" s="264">
        <f ca="1">ROUND(C32*10000/'数据-汇总表'!E3,0)</f>
        <v>6079</v>
      </c>
      <c r="D33" s="1386" t="s">
        <v>1691</v>
      </c>
      <c r="E33" s="327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14589</v>
      </c>
      <c r="D34" s="1388" t="s">
        <v>1691</v>
      </c>
      <c r="E34" s="331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973</v>
      </c>
      <c r="D35" s="1391" t="s">
        <v>1693</v>
      </c>
      <c r="E35" s="3314"/>
      <c r="F35" s="301" t="s">
        <v>342</v>
      </c>
      <c r="G35" s="982"/>
      <c r="H35" s="981" t="s">
        <v>343</v>
      </c>
      <c r="I35" s="311"/>
      <c r="J35" s="2029"/>
      <c r="K35" s="3287" t="s">
        <v>350</v>
      </c>
      <c r="L35" s="3287" t="s">
        <v>351</v>
      </c>
      <c r="M35" s="1264" t="s">
        <v>352</v>
      </c>
      <c r="N35" s="3287" t="s">
        <v>353</v>
      </c>
      <c r="O35" s="3287" t="s">
        <v>354</v>
      </c>
      <c r="P35" s="2029"/>
      <c r="V35" s="2029"/>
    </row>
    <row r="36" spans="1:26" ht="16.5" customHeight="1">
      <c r="A36" s="303" t="s">
        <v>344</v>
      </c>
      <c r="B36" s="304" t="s">
        <v>333</v>
      </c>
      <c r="C36" s="305" t="s">
        <v>345</v>
      </c>
      <c r="D36" s="305" t="s">
        <v>346</v>
      </c>
      <c r="E36" s="306" t="s">
        <v>347</v>
      </c>
      <c r="F36" s="311"/>
      <c r="G36" s="311"/>
      <c r="H36" s="311"/>
      <c r="I36" s="311"/>
      <c r="J36" s="2031"/>
      <c r="K36" s="3288"/>
      <c r="L36" s="3288"/>
      <c r="M36" s="1266" t="s">
        <v>355</v>
      </c>
      <c r="N36" s="3288"/>
      <c r="O36" s="3288"/>
      <c r="P36" s="2029"/>
      <c r="V36" s="2029"/>
    </row>
    <row r="37" spans="1:26" ht="16.5" customHeight="1" thickBot="1">
      <c r="A37" s="1260" t="s">
        <v>348</v>
      </c>
      <c r="B37" s="307"/>
      <c r="C37" s="294"/>
      <c r="D37" s="294"/>
      <c r="E37" s="295"/>
      <c r="F37" s="311"/>
      <c r="G37" s="311"/>
      <c r="H37" s="311"/>
      <c r="I37" s="311"/>
      <c r="J37" s="2031"/>
      <c r="K37" s="3289"/>
      <c r="L37" s="3289"/>
      <c r="M37" s="1267"/>
      <c r="N37" s="3289"/>
      <c r="O37" s="3289"/>
      <c r="P37" s="2029"/>
      <c r="V37" s="2029"/>
    </row>
    <row r="38" spans="1:26" ht="16.5" customHeight="1" thickBot="1">
      <c r="A38" s="1260" t="s">
        <v>349</v>
      </c>
      <c r="B38" s="307"/>
      <c r="C38" s="294"/>
      <c r="D38" s="294"/>
      <c r="E38" s="295"/>
      <c r="F38" s="311"/>
      <c r="G38" s="311"/>
      <c r="H38" s="311"/>
      <c r="I38" s="311"/>
      <c r="J38" s="2031"/>
      <c r="K38" s="1268">
        <f>'数据-汇总表'!D3</f>
        <v>13862</v>
      </c>
      <c r="L38" s="1269">
        <f>'数据-汇总表'!E3</f>
        <v>33268.799999999996</v>
      </c>
      <c r="M38" s="1269">
        <f ca="1">C34</f>
        <v>14589</v>
      </c>
      <c r="N38" s="1269">
        <f ca="1">C33</f>
        <v>6079</v>
      </c>
      <c r="O38" s="1270">
        <f ca="1">C32</f>
        <v>20223</v>
      </c>
      <c r="P38" s="2029"/>
      <c r="V38" s="2029"/>
    </row>
    <row r="39" spans="1:26" ht="16.5" customHeight="1" thickBot="1">
      <c r="A39" s="1265"/>
      <c r="B39" s="308"/>
      <c r="C39" s="309"/>
      <c r="D39" s="309"/>
      <c r="E39" s="310"/>
      <c r="F39" s="311"/>
      <c r="G39" s="311"/>
      <c r="H39" s="311"/>
      <c r="I39" s="311"/>
      <c r="J39" s="2031"/>
      <c r="K39" s="3332" t="str">
        <f>MID(A44,3,LEN(A44)-2)</f>
        <v/>
      </c>
      <c r="L39" s="3333"/>
      <c r="M39" s="3333"/>
      <c r="N39" s="3334"/>
      <c r="O39" s="1393" t="str">
        <f>C44</f>
        <v>——</v>
      </c>
      <c r="P39" s="2029"/>
      <c r="V39" s="2029"/>
    </row>
    <row r="40" spans="1:26" ht="19.5" thickBot="1">
      <c r="A40" s="104" t="s">
        <v>872</v>
      </c>
      <c r="B40" s="311"/>
      <c r="C40" s="311"/>
      <c r="D40" s="311"/>
      <c r="E40" s="311"/>
      <c r="F40" s="311"/>
      <c r="G40" s="311"/>
      <c r="H40" s="311"/>
      <c r="I40" s="311"/>
      <c r="J40" s="2031"/>
      <c r="K40" s="3332" t="str">
        <f t="shared" ref="K40:K41" si="0">MID(A45,3,LEN(A45)-2)</f>
        <v/>
      </c>
      <c r="L40" s="3333"/>
      <c r="M40" s="3333"/>
      <c r="N40" s="3334"/>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2" t="str">
        <f t="shared" si="0"/>
        <v/>
      </c>
      <c r="L41" s="3333"/>
      <c r="M41" s="3333"/>
      <c r="N41" s="3334"/>
      <c r="O41" s="1393" t="str">
        <f>C46</f>
        <v>——</v>
      </c>
      <c r="P41" s="2029"/>
      <c r="V41" s="2029"/>
    </row>
    <row r="42" spans="1:26" ht="29.25">
      <c r="A42" s="3274" t="s">
        <v>2067</v>
      </c>
      <c r="B42" s="3275"/>
      <c r="C42" s="264">
        <f ca="1">C32</f>
        <v>20223</v>
      </c>
      <c r="D42" s="317">
        <f ca="1">C33</f>
        <v>6079</v>
      </c>
      <c r="E42" s="317">
        <f ca="1">C34</f>
        <v>14589</v>
      </c>
      <c r="F42" s="318">
        <f ca="1">C35</f>
        <v>973</v>
      </c>
      <c r="G42" s="311"/>
      <c r="H42" s="311"/>
      <c r="I42" s="319"/>
      <c r="J42" s="2031"/>
      <c r="K42" s="1271" t="s">
        <v>361</v>
      </c>
      <c r="L42" s="2048" t="s">
        <v>362</v>
      </c>
      <c r="M42" s="1272" t="s">
        <v>363</v>
      </c>
      <c r="N42" s="2049" t="s">
        <v>364</v>
      </c>
      <c r="O42" s="2050" t="s">
        <v>365</v>
      </c>
      <c r="P42" s="2029"/>
      <c r="V42" s="2029"/>
    </row>
    <row r="43" spans="1:26" ht="30">
      <c r="A43" s="3285" t="s">
        <v>2727</v>
      </c>
      <c r="B43" s="3286"/>
      <c r="C43" s="264">
        <f>IF(H33="正常操作",G33+G34+G35,G34+G35)</f>
        <v>0</v>
      </c>
      <c r="D43" s="317" t="s">
        <v>43</v>
      </c>
      <c r="E43" s="317" t="s">
        <v>44</v>
      </c>
      <c r="F43" s="318" t="s">
        <v>44</v>
      </c>
      <c r="G43" s="2844" t="s">
        <v>951</v>
      </c>
      <c r="H43" s="311"/>
      <c r="I43" s="319"/>
      <c r="J43" s="2031"/>
      <c r="K43" s="1273" t="str">
        <f>C4</f>
        <v>比较法-住宅、综合</v>
      </c>
      <c r="L43" s="1274">
        <f ca="1">IF(L42="估价结果/万元",C19,C20)</f>
        <v>11112</v>
      </c>
      <c r="M43" s="1275">
        <f>C18</f>
        <v>0</v>
      </c>
      <c r="N43" s="1276">
        <f ca="1">IF(N42="测算结果/万元",G19,G20)</f>
        <v>20223</v>
      </c>
      <c r="O43" s="1277">
        <f ca="1">IF(O42="最终结果/万元",C32,C33)</f>
        <v>20223</v>
      </c>
      <c r="P43" s="2029"/>
      <c r="V43" s="2029"/>
    </row>
    <row r="44" spans="1:26" ht="30.75" thickBot="1">
      <c r="A44" s="3274" t="str">
        <f>IF(OR(项目基本情况!E8="抵押价格",项目基本情况!E8="已注销及未注销"),"3.抵押价格","——")</f>
        <v>——</v>
      </c>
      <c r="B44" s="3275"/>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20223</v>
      </c>
      <c r="M44" s="1280">
        <f>D18</f>
        <v>1</v>
      </c>
      <c r="N44" s="1281"/>
      <c r="O44" s="1282"/>
      <c r="P44" s="2029"/>
      <c r="V44" s="2029"/>
    </row>
    <row r="45" spans="1:26" ht="15">
      <c r="A45" s="3280" t="str">
        <f>IF(项目基本情况!E8="已注销及未注销","4.抵押担保权已注销时的抵押价格",IF(项目基本情况!E8="已注销","3.抵押担保权已注销时的抵押价格","——"))</f>
        <v>——</v>
      </c>
      <c r="B45" s="328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6" t="str">
        <f>IF(项目基本情况!E9="抵押净值",IF(A45="——","4.抵押净值","5.抵押净值"),"——")</f>
        <v>——</v>
      </c>
      <c r="B46" s="327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1" t="s">
        <v>374</v>
      </c>
      <c r="B63" s="3322"/>
      <c r="C63" s="3323"/>
      <c r="D63" s="341">
        <f ca="1">ROUND(C42*F63,0)</f>
        <v>12134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2" t="s">
        <v>378</v>
      </c>
      <c r="B64" s="3283"/>
      <c r="C64" s="3283"/>
      <c r="D64" s="3283"/>
      <c r="E64" s="3283"/>
      <c r="F64" s="3283"/>
      <c r="G64" s="328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78" t="s">
        <v>386</v>
      </c>
      <c r="B66" s="3279"/>
      <c r="C66" s="3279"/>
      <c r="D66" s="261">
        <f ca="1">IF(H66="情况1",0,IF(H66="情况2",D70,IF(H66="情况3",D71,IF(H66="情况4",D72))))</f>
        <v>636</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36" t="s">
        <v>385</v>
      </c>
      <c r="M66" s="3337"/>
      <c r="N66" s="2437"/>
      <c r="O66" s="2438"/>
      <c r="P66" s="2439"/>
      <c r="Q66" s="2029"/>
      <c r="R66" s="2029"/>
      <c r="S66" s="2029"/>
      <c r="T66" s="2029"/>
      <c r="U66" s="2029"/>
      <c r="V66" s="2029"/>
    </row>
    <row r="67" spans="1:22" ht="25.5" customHeight="1">
      <c r="A67" s="352" t="s">
        <v>390</v>
      </c>
      <c r="B67" s="3269" t="s">
        <v>391</v>
      </c>
      <c r="C67" s="3269"/>
      <c r="D67" s="353">
        <v>0</v>
      </c>
      <c r="E67" s="41" t="s">
        <v>392</v>
      </c>
      <c r="F67" s="62" t="s">
        <v>21</v>
      </c>
      <c r="G67" s="3324"/>
      <c r="H67" s="311"/>
      <c r="I67" s="1292"/>
      <c r="J67" s="2036"/>
      <c r="K67" s="1977">
        <v>2</v>
      </c>
      <c r="L67" s="3335" t="s">
        <v>389</v>
      </c>
      <c r="M67" s="3335"/>
      <c r="N67" s="1325">
        <f>'数据-取费表'!B2</f>
        <v>43486</v>
      </c>
      <c r="O67" s="1325"/>
      <c r="P67" s="1325"/>
      <c r="Q67" s="2029"/>
      <c r="R67" s="2029"/>
      <c r="S67" s="2029"/>
      <c r="T67" s="2029"/>
      <c r="U67" s="2029"/>
      <c r="V67" s="2029"/>
    </row>
    <row r="68" spans="1:22" ht="25.5" customHeight="1">
      <c r="A68" s="354"/>
      <c r="B68" s="3269" t="s">
        <v>394</v>
      </c>
      <c r="C68" s="3269"/>
      <c r="D68" s="355"/>
      <c r="E68" s="77"/>
      <c r="F68" s="356"/>
      <c r="G68" s="3325"/>
      <c r="H68" s="311"/>
      <c r="I68" s="1292"/>
      <c r="J68" s="2036"/>
      <c r="K68" s="1977">
        <v>3</v>
      </c>
      <c r="L68" s="3335" t="s">
        <v>393</v>
      </c>
      <c r="M68" s="3335"/>
      <c r="N68" s="1293">
        <f ca="1">C42</f>
        <v>20223</v>
      </c>
      <c r="O68" s="1293"/>
      <c r="P68" s="1293"/>
      <c r="Q68" s="2029"/>
      <c r="R68" s="2029"/>
      <c r="S68" s="2029"/>
      <c r="T68" s="2029"/>
      <c r="U68" s="2029"/>
      <c r="V68" s="2029"/>
    </row>
    <row r="69" spans="1:22" ht="12" customHeight="1">
      <c r="A69" s="357"/>
      <c r="B69" s="3269" t="s">
        <v>395</v>
      </c>
      <c r="C69" s="3269"/>
      <c r="D69" s="358"/>
      <c r="E69" s="73"/>
      <c r="F69" s="356"/>
      <c r="G69" s="3326"/>
      <c r="H69" s="311"/>
      <c r="I69" s="1292"/>
      <c r="J69" s="2036"/>
      <c r="K69" s="1294">
        <v>4</v>
      </c>
      <c r="L69" s="3340" t="s">
        <v>2879</v>
      </c>
      <c r="M69" s="3341"/>
      <c r="N69" s="1295" t="str">
        <f>C44</f>
        <v>——</v>
      </c>
      <c r="O69" s="1295"/>
      <c r="P69" s="1295"/>
      <c r="Q69" s="2029"/>
      <c r="R69" s="2029"/>
      <c r="S69" s="2029"/>
      <c r="T69" s="2029"/>
      <c r="U69" s="2029"/>
      <c r="V69" s="2029"/>
    </row>
    <row r="70" spans="1:22" ht="24" customHeight="1">
      <c r="A70" s="359" t="s">
        <v>396</v>
      </c>
      <c r="B70" s="3269" t="s">
        <v>397</v>
      </c>
      <c r="C70" s="3269"/>
      <c r="D70" s="358">
        <f ca="1">ROUND(D63*'数据-取费表'!B41/(1+'数据-取费表'!C42),0)</f>
        <v>636</v>
      </c>
      <c r="E70" s="17" t="s">
        <v>398</v>
      </c>
      <c r="F70" s="360">
        <f>'数据-取费表'!B41</f>
        <v>5.5000000000000007E-2</v>
      </c>
      <c r="G70" s="361"/>
      <c r="H70" s="311"/>
      <c r="I70" s="1292"/>
      <c r="J70" s="2036"/>
      <c r="K70" s="3037"/>
      <c r="L70" s="3038"/>
      <c r="M70" s="3038"/>
      <c r="N70" s="3039" t="s">
        <v>2884</v>
      </c>
      <c r="O70" s="3038"/>
      <c r="P70" s="3040"/>
      <c r="Q70" s="2029"/>
      <c r="R70" s="2029"/>
      <c r="S70" s="2029"/>
      <c r="T70" s="2029"/>
      <c r="U70" s="2029"/>
      <c r="V70" s="2029"/>
    </row>
    <row r="71" spans="1:22" ht="12" customHeight="1">
      <c r="A71" s="359" t="s">
        <v>404</v>
      </c>
      <c r="B71" s="3270" t="s">
        <v>405</v>
      </c>
      <c r="C71" s="3271"/>
      <c r="D71" s="358">
        <f ca="1">ROUND(D63*'数据-取费表'!B41/(1+'数据-取费表'!C42),0)</f>
        <v>636</v>
      </c>
      <c r="E71" s="17" t="s">
        <v>398</v>
      </c>
      <c r="F71" s="360">
        <f>'数据-取费表'!B41</f>
        <v>5.5000000000000007E-2</v>
      </c>
      <c r="G71" s="361"/>
      <c r="H71" s="311"/>
      <c r="I71" s="1292"/>
      <c r="J71" s="2036"/>
      <c r="K71" s="3036" t="s">
        <v>399</v>
      </c>
      <c r="L71" s="3342" t="s">
        <v>400</v>
      </c>
      <c r="M71" s="3342"/>
      <c r="N71" s="3036" t="s">
        <v>401</v>
      </c>
      <c r="O71" s="3036" t="s">
        <v>402</v>
      </c>
      <c r="P71" s="3036" t="s">
        <v>403</v>
      </c>
      <c r="Q71" s="2029"/>
      <c r="R71" s="2029"/>
      <c r="S71" s="2029"/>
      <c r="T71" s="2029"/>
      <c r="U71" s="2029"/>
      <c r="V71" s="2029"/>
    </row>
    <row r="72" spans="1:22" ht="12" customHeight="1">
      <c r="A72" s="359" t="s">
        <v>407</v>
      </c>
      <c r="B72" s="3270" t="s">
        <v>408</v>
      </c>
      <c r="C72" s="3271"/>
      <c r="D72" s="358">
        <f ca="1">C86</f>
        <v>526</v>
      </c>
      <c r="E72" s="73" t="s">
        <v>409</v>
      </c>
      <c r="F72" s="360">
        <f>'数据-取费表'!B41</f>
        <v>5.5000000000000007E-2</v>
      </c>
      <c r="G72" s="361"/>
      <c r="H72" s="1298"/>
      <c r="I72" s="1292"/>
      <c r="J72" s="2036"/>
      <c r="K72" s="1977">
        <v>1</v>
      </c>
      <c r="L72" s="3317" t="s">
        <v>406</v>
      </c>
      <c r="M72" s="3317"/>
      <c r="N72" s="1296">
        <f ca="1">D66</f>
        <v>636</v>
      </c>
      <c r="O72" s="1860" t="str">
        <f>E66</f>
        <v>销售额×税（费）率</v>
      </c>
      <c r="P72" s="1297">
        <f>F66</f>
        <v>5.5000000000000007E-2</v>
      </c>
      <c r="Q72" s="2029"/>
      <c r="R72" s="2029"/>
      <c r="S72" s="2029"/>
      <c r="T72" s="2029"/>
      <c r="U72" s="2029"/>
      <c r="V72" s="2029"/>
    </row>
    <row r="73" spans="1:22" ht="24" customHeight="1">
      <c r="A73" s="3311" t="s">
        <v>411</v>
      </c>
      <c r="B73" s="3279"/>
      <c r="C73" s="3279"/>
      <c r="D73" s="362">
        <f>IF(H73="个人住宅",0,ROUND(D63*I73,0))</f>
        <v>0</v>
      </c>
      <c r="E73" s="17" t="s">
        <v>412</v>
      </c>
      <c r="F73" s="360" t="str">
        <f>IF(H73="正常",I73,"免征")</f>
        <v>免征</v>
      </c>
      <c r="G73" s="361"/>
      <c r="H73" s="191" t="s">
        <v>2452</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11" t="s">
        <v>415</v>
      </c>
      <c r="B74" s="3279"/>
      <c r="C74" s="3279"/>
      <c r="D74" s="362">
        <f ca="1">IF(H74="个人住宅",D75,D76)</f>
        <v>6223</v>
      </c>
      <c r="E74" s="17" t="s">
        <v>416</v>
      </c>
      <c r="F74" s="360" t="str">
        <f>IF(H74="正常",F76,"免征")</f>
        <v>——</v>
      </c>
      <c r="G74" s="983" t="s">
        <v>417</v>
      </c>
      <c r="H74" s="363" t="s">
        <v>413</v>
      </c>
      <c r="I74" s="42"/>
      <c r="J74" s="2036"/>
      <c r="K74" s="1977">
        <v>3</v>
      </c>
      <c r="L74" s="3317" t="s">
        <v>414</v>
      </c>
      <c r="M74" s="3317"/>
      <c r="N74" s="1296">
        <f t="shared" ca="1" si="1"/>
        <v>6223</v>
      </c>
      <c r="O74" s="1860" t="str">
        <f t="shared" si="1"/>
        <v>增值额×税（费）率</v>
      </c>
      <c r="P74" s="1299" t="str">
        <f t="shared" si="1"/>
        <v>——</v>
      </c>
      <c r="Q74" s="2029"/>
      <c r="R74" s="2029"/>
      <c r="S74" s="2029"/>
      <c r="T74" s="2029"/>
      <c r="U74" s="2029"/>
      <c r="V74" s="2029"/>
    </row>
    <row r="75" spans="1:22" ht="24">
      <c r="A75" s="359" t="s">
        <v>418</v>
      </c>
      <c r="B75" s="3267" t="s">
        <v>419</v>
      </c>
      <c r="C75" s="3297"/>
      <c r="D75" s="364">
        <v>0</v>
      </c>
      <c r="E75" s="41" t="s">
        <v>420</v>
      </c>
      <c r="F75" s="365"/>
      <c r="G75" s="361"/>
      <c r="H75" s="42"/>
      <c r="I75" s="42"/>
      <c r="J75" s="2036"/>
      <c r="K75" s="3029">
        <f>IF(H77="非个人房产","",4)</f>
        <v>4</v>
      </c>
      <c r="L75" s="3317" t="str">
        <f>IF(H77="非个人房产","——","个人所得税")</f>
        <v>个人所得税</v>
      </c>
      <c r="M75" s="3317"/>
      <c r="N75" s="1300">
        <f ca="1">D77</f>
        <v>121</v>
      </c>
      <c r="O75" s="1873" t="str">
        <f>E77</f>
        <v>销售额×税（费）率</v>
      </c>
      <c r="P75" s="1301">
        <f>F77</f>
        <v>0.01</v>
      </c>
      <c r="Q75" s="2029"/>
      <c r="R75" s="2029"/>
      <c r="S75" s="2029"/>
      <c r="T75" s="2029"/>
      <c r="U75" s="2029"/>
      <c r="V75" s="2029"/>
    </row>
    <row r="76" spans="1:22" ht="24.75">
      <c r="A76" s="359" t="s">
        <v>396</v>
      </c>
      <c r="B76" s="3267" t="s">
        <v>422</v>
      </c>
      <c r="C76" s="3268"/>
      <c r="D76" s="362">
        <f ca="1">IF(H76="转让取得",C99,C115)</f>
        <v>6223</v>
      </c>
      <c r="E76" s="17" t="s">
        <v>423</v>
      </c>
      <c r="F76" s="53" t="s">
        <v>21</v>
      </c>
      <c r="G76" s="361"/>
      <c r="H76" s="363" t="s">
        <v>424</v>
      </c>
      <c r="I76" s="42"/>
      <c r="J76" s="2036"/>
      <c r="K76" s="3029"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29"/>
      <c r="R76" s="2029"/>
      <c r="S76" s="2029"/>
      <c r="T76" s="2029"/>
      <c r="U76" s="2029"/>
      <c r="V76" s="2029"/>
    </row>
    <row r="77" spans="1:22" ht="26.25" thickBot="1">
      <c r="A77" s="3319" t="s">
        <v>426</v>
      </c>
      <c r="B77" s="3320"/>
      <c r="C77" s="3320"/>
      <c r="D77" s="366">
        <f ca="1">IF(H77="非个人房产","——",IF(H77="个人住宅",0,ROUND(D63*I77,0)))</f>
        <v>121</v>
      </c>
      <c r="E77" s="367" t="str">
        <f>IF(H77="非个人房产","——","销售额×税（费）率")</f>
        <v>销售额×税（费）率</v>
      </c>
      <c r="F77" s="368">
        <f>IF(H77="非个人房产","——",IF(H77="个人住宅","免征",I77))</f>
        <v>0.01</v>
      </c>
      <c r="G77" s="984" t="s">
        <v>417</v>
      </c>
      <c r="H77" s="363" t="s">
        <v>2880</v>
      </c>
      <c r="I77" s="369">
        <v>0.01</v>
      </c>
      <c r="J77" s="2036"/>
      <c r="K77" s="3318">
        <f>IF(AND(K75="",K76=""),4,IF(项目基本情况!K6="上海银行",K76+1,K75+1))</f>
        <v>5</v>
      </c>
      <c r="L77" s="3317" t="s">
        <v>2881</v>
      </c>
      <c r="M77" s="3035" t="s">
        <v>421</v>
      </c>
      <c r="N77" s="1302"/>
      <c r="O77" s="1303">
        <f ca="1">SUMIF(N72:N76,"&lt;9e307")</f>
        <v>6980</v>
      </c>
      <c r="P77" s="1304"/>
      <c r="Q77" s="3033" t="e">
        <f ca="1">O77/N69</f>
        <v>#VALUE!</v>
      </c>
      <c r="R77" s="2029"/>
      <c r="S77" s="2029"/>
      <c r="T77" s="2029"/>
      <c r="U77" s="2029"/>
      <c r="V77" s="2029"/>
    </row>
    <row r="78" spans="1:22" ht="12" customHeight="1">
      <c r="A78" s="1305"/>
      <c r="B78" s="311"/>
      <c r="C78" s="311"/>
      <c r="D78" s="311"/>
      <c r="E78" s="42"/>
      <c r="F78" s="42"/>
      <c r="G78" s="42"/>
      <c r="H78" s="1003"/>
      <c r="I78" s="311"/>
      <c r="J78" s="2036"/>
      <c r="K78" s="3318"/>
      <c r="L78" s="3317"/>
      <c r="M78" s="3035" t="s">
        <v>425</v>
      </c>
      <c r="N78" s="1302"/>
      <c r="O78" s="1303" t="str">
        <f ca="1">NUMBERSTRING(INT(O77*10000),2)&amp;"元整"</f>
        <v>陆仟玖佰捌拾万元整</v>
      </c>
      <c r="P78" s="1304"/>
      <c r="Q78" s="2029"/>
      <c r="R78" s="2029"/>
      <c r="S78" s="2029"/>
      <c r="T78" s="2029"/>
      <c r="U78" s="2029"/>
      <c r="V78" s="2029"/>
    </row>
    <row r="79" spans="1:22" ht="13.5" thickBot="1">
      <c r="A79" s="3312" t="s">
        <v>427</v>
      </c>
      <c r="B79" s="3312"/>
      <c r="C79" s="3312"/>
      <c r="D79" s="3312"/>
      <c r="E79" s="3312"/>
      <c r="F79" s="42"/>
      <c r="G79" s="42"/>
      <c r="H79" s="1003"/>
      <c r="I79" s="311"/>
      <c r="J79" s="2036"/>
      <c r="K79" s="3338">
        <f>K77+1</f>
        <v>6</v>
      </c>
      <c r="L79" s="3317" t="s">
        <v>2882</v>
      </c>
      <c r="M79" s="3035" t="s">
        <v>421</v>
      </c>
      <c r="N79" s="1302"/>
      <c r="O79" s="1303" t="e">
        <f ca="1">N69-O77</f>
        <v>#VALUE!</v>
      </c>
      <c r="P79" s="1304"/>
      <c r="Q79" s="2029"/>
      <c r="R79" s="2029"/>
      <c r="S79" s="2029"/>
      <c r="T79" s="2029"/>
      <c r="U79" s="2029"/>
      <c r="V79" s="2029"/>
    </row>
    <row r="80" spans="1:22" ht="12.75">
      <c r="A80" s="3307" t="s">
        <v>428</v>
      </c>
      <c r="B80" s="3308"/>
      <c r="C80" s="994"/>
      <c r="D80" s="994" t="s">
        <v>429</v>
      </c>
      <c r="E80" s="370" t="s">
        <v>430</v>
      </c>
      <c r="F80" s="42"/>
      <c r="G80" s="42"/>
      <c r="H80" s="1003"/>
      <c r="I80" s="311"/>
      <c r="J80" s="2029"/>
      <c r="K80" s="3339"/>
      <c r="L80" s="3317"/>
      <c r="M80" s="3035" t="s">
        <v>425</v>
      </c>
      <c r="N80" s="1302"/>
      <c r="O80" s="1303" t="e">
        <f ca="1">NUMBERSTRING(INT(O79*10000),2)&amp;"元整"</f>
        <v>#VALUE!</v>
      </c>
      <c r="P80" s="1304"/>
      <c r="Q80" s="2029"/>
      <c r="R80" s="2029"/>
      <c r="S80" s="2029"/>
      <c r="T80" s="2029"/>
      <c r="U80" s="2029"/>
      <c r="V80" s="2029"/>
    </row>
    <row r="81" spans="1:26" ht="13.5" thickBot="1">
      <c r="A81" s="381" t="s">
        <v>1823</v>
      </c>
      <c r="B81" s="371" t="s">
        <v>431</v>
      </c>
      <c r="C81" s="372">
        <f ca="1">ROUND((C82+C83)/(1+'数据-取费表'!C42),0)</f>
        <v>11556</v>
      </c>
      <c r="D81" s="373"/>
      <c r="E81" s="374"/>
      <c r="F81" s="42"/>
      <c r="G81" s="42"/>
      <c r="H81" s="1003"/>
      <c r="I81" s="311"/>
      <c r="J81" s="2029"/>
      <c r="K81" s="3029">
        <f>K79+1</f>
        <v>7</v>
      </c>
      <c r="L81" s="3315" t="s">
        <v>2883</v>
      </c>
      <c r="M81" s="3316"/>
      <c r="N81" s="1306"/>
      <c r="O81" s="1307" t="e">
        <f ca="1">ROUND(O79*10000/'数据-汇总表'!E3,0)</f>
        <v>#VALUE!</v>
      </c>
      <c r="P81" s="1308"/>
      <c r="Q81" s="2029"/>
      <c r="R81" s="2029"/>
      <c r="S81" s="2029"/>
      <c r="T81" s="2029"/>
      <c r="U81" s="2029"/>
      <c r="V81" s="2029"/>
    </row>
    <row r="82" spans="1:26" ht="13.5" thickTop="1">
      <c r="A82" s="375" t="s">
        <v>1824</v>
      </c>
      <c r="B82" s="376" t="s">
        <v>432</v>
      </c>
      <c r="C82" s="377">
        <f ca="1">D63</f>
        <v>12134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27" t="s">
        <v>2870</v>
      </c>
      <c r="L83" s="3041" t="s">
        <v>2871</v>
      </c>
      <c r="M83" s="3031" t="e">
        <f>IF(N69&gt;10000,N69*0.5%,IF(AND(N69&gt;1000,N69&lt;=10000),N69*1%,IF(AND(N69&gt;100,N69&lt;=1000),N69*3%,IF(AND(N69&gt;10,N69&lt;=100),N69*5%,N69*8%))))</f>
        <v>#VALUE!</v>
      </c>
      <c r="N83" s="53" t="e">
        <f>ROUND(M83,1)</f>
        <v>#VALUE!</v>
      </c>
      <c r="O83" s="3034"/>
      <c r="P83" s="2029"/>
      <c r="Q83" s="2029"/>
      <c r="R83" s="2029"/>
      <c r="S83" s="2029"/>
      <c r="T83" s="2029"/>
      <c r="U83" s="2029"/>
      <c r="V83" s="2029"/>
    </row>
    <row r="84" spans="1:26" ht="12.75">
      <c r="A84" s="381" t="s">
        <v>1826</v>
      </c>
      <c r="B84" s="382" t="s">
        <v>434</v>
      </c>
      <c r="C84" s="383">
        <v>2000</v>
      </c>
      <c r="D84" s="384" t="s">
        <v>19</v>
      </c>
      <c r="E84" s="3076" t="s">
        <v>2939</v>
      </c>
      <c r="F84" s="42"/>
      <c r="G84" s="42"/>
      <c r="H84" s="1003"/>
      <c r="I84" s="311"/>
      <c r="J84" s="2029"/>
      <c r="K84" s="3327"/>
      <c r="L84" s="3041" t="s">
        <v>2872</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2873</v>
      </c>
      <c r="P84" s="2029"/>
      <c r="Q84" s="2029"/>
      <c r="R84" s="2029"/>
      <c r="S84" s="2029"/>
      <c r="T84" s="2029"/>
      <c r="U84" s="2029"/>
      <c r="V84" s="2029"/>
    </row>
    <row r="85" spans="1:26" ht="12.75">
      <c r="A85" s="381" t="s">
        <v>1827</v>
      </c>
      <c r="B85" s="382" t="s">
        <v>435</v>
      </c>
      <c r="C85" s="385">
        <f ca="1">C81-C84</f>
        <v>9556</v>
      </c>
      <c r="D85" s="378" t="s">
        <v>19</v>
      </c>
      <c r="E85" s="379"/>
      <c r="F85" s="42"/>
      <c r="G85" s="42"/>
      <c r="H85" s="1003"/>
      <c r="I85" s="311"/>
      <c r="J85" s="2029"/>
      <c r="K85" s="3327"/>
      <c r="L85" s="3041" t="s">
        <v>2874</v>
      </c>
      <c r="M85" s="3031" t="e">
        <f>IF(N69&gt;1000,N69*0.1%,IF(AND(N69&gt;500,N69&lt;=1000),N69*0.5%,IF(AND(N69&gt;50,N69&lt;=500),N69*1%,IF(AND(N69&gt;1,N69&lt;=50),N69*1.5%))))</f>
        <v>#VALUE!</v>
      </c>
      <c r="N85" s="53" t="e">
        <f t="shared" si="2"/>
        <v>#VALUE!</v>
      </c>
      <c r="O85" s="2029" t="s">
        <v>2873</v>
      </c>
      <c r="P85" s="2029"/>
      <c r="Q85" s="2029"/>
      <c r="R85" s="2029"/>
      <c r="S85" s="2029"/>
      <c r="T85" s="2029"/>
      <c r="U85" s="2029"/>
      <c r="V85" s="2029"/>
    </row>
    <row r="86" spans="1:26" ht="13.5" thickBot="1">
      <c r="A86" s="386" t="s">
        <v>1828</v>
      </c>
      <c r="B86" s="387" t="s">
        <v>436</v>
      </c>
      <c r="C86" s="388">
        <f ca="1">IF(C85&lt;=0,0,ROUND(C85*D86,0))</f>
        <v>526</v>
      </c>
      <c r="D86" s="389">
        <f>'数据-取费表'!B41</f>
        <v>5.5000000000000007E-2</v>
      </c>
      <c r="E86" s="390"/>
      <c r="F86" s="42"/>
      <c r="G86" s="42"/>
      <c r="H86" s="1003"/>
      <c r="I86" s="311"/>
      <c r="J86" s="2029"/>
      <c r="K86" s="3327"/>
      <c r="L86" s="3041" t="s">
        <v>2875</v>
      </c>
      <c r="M86" s="3031" t="e">
        <f>N69*0.5%</f>
        <v>#VALUE!</v>
      </c>
      <c r="N86" s="53" t="e">
        <f>IF(M86&gt;0.5,0.5,ROUND(M86,0))</f>
        <v>#VALUE!</v>
      </c>
      <c r="O86" s="2029" t="s">
        <v>2876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7"/>
      <c r="L87" s="3041" t="s">
        <v>2877</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9"/>
      <c r="R87" s="2029"/>
      <c r="S87" s="2029"/>
      <c r="T87" s="2029"/>
      <c r="U87" s="2029"/>
      <c r="V87" s="2029"/>
      <c r="W87" s="292"/>
      <c r="X87" s="292"/>
      <c r="Y87" s="292"/>
      <c r="Z87" s="292"/>
    </row>
    <row r="88" spans="1:26" s="1314" customFormat="1" ht="15" thickBot="1">
      <c r="A88" s="3309" t="s">
        <v>437</v>
      </c>
      <c r="B88" s="3310"/>
      <c r="C88" s="3310"/>
      <c r="D88" s="3310"/>
      <c r="E88" s="3310"/>
      <c r="F88" s="3310"/>
      <c r="G88" s="3310"/>
      <c r="H88" s="3310"/>
      <c r="I88" s="1315"/>
      <c r="J88" s="2037"/>
      <c r="K88" s="3327"/>
      <c r="L88" s="3041" t="s">
        <v>2878</v>
      </c>
      <c r="M88" s="3031" t="e">
        <f>IF(N69&gt;10000,N69*0.5%,IF(AND(N69&gt;5000,N69&lt;=10000),N69*1%,IF(AND(N69&gt;1000,N69&lt;=5000),N69*2%,IF(AND(N69&gt;200,N69&lt;=1000),N69*3%,N69*5%))))</f>
        <v>#VALUE!</v>
      </c>
      <c r="N88" s="53" t="e">
        <f>ROUND(M88,1)</f>
        <v>#VALUE!</v>
      </c>
      <c r="O88" s="3034"/>
      <c r="P88" s="11"/>
      <c r="Q88" s="2034"/>
      <c r="R88" s="2034"/>
      <c r="S88" s="2034"/>
      <c r="T88" s="2034"/>
      <c r="U88" s="2034"/>
      <c r="V88" s="2034"/>
      <c r="W88" s="2038"/>
      <c r="X88" s="2038"/>
      <c r="Y88" s="2038"/>
      <c r="Z88" s="2038"/>
    </row>
    <row r="89" spans="1:26" s="1314" customFormat="1" ht="14.25">
      <c r="A89" s="3307" t="s">
        <v>428</v>
      </c>
      <c r="B89" s="3308"/>
      <c r="C89" s="994"/>
      <c r="D89" s="994" t="s">
        <v>429</v>
      </c>
      <c r="E89" s="391" t="s">
        <v>438</v>
      </c>
      <c r="F89" s="392"/>
      <c r="G89" s="392"/>
      <c r="H89" s="393"/>
      <c r="I89" s="1316"/>
      <c r="J89" s="2039"/>
      <c r="K89" s="3327"/>
      <c r="L89" s="3041" t="s">
        <v>27</v>
      </c>
      <c r="M89" s="3032"/>
      <c r="N89" s="53" t="e">
        <f>ROUND(SUM(N83:N88),0)</f>
        <v>#VALUE!</v>
      </c>
      <c r="O89" s="3042" t="e">
        <f>N89/N69</f>
        <v>#VALUE!</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11556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2619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270" t="s">
        <v>447</v>
      </c>
      <c r="F94" s="3269"/>
      <c r="G94" s="3269"/>
      <c r="H94" s="330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58</v>
      </c>
      <c r="D96" s="406">
        <f>'数据-取费表'!B43</f>
        <v>5.000000000000001E-3</v>
      </c>
      <c r="E96" s="3298" t="s">
        <v>2425</v>
      </c>
      <c r="F96" s="3299"/>
      <c r="G96" s="3299"/>
      <c r="H96" s="330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8937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3.4123711340206184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4446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09" t="s">
        <v>454</v>
      </c>
      <c r="B101" s="3310"/>
      <c r="C101" s="3310"/>
      <c r="D101" s="3310"/>
      <c r="E101" s="3310"/>
      <c r="F101" s="3310"/>
      <c r="G101" s="3310"/>
      <c r="H101" s="331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7" t="s">
        <v>428</v>
      </c>
      <c r="B102" s="330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11556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748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2436</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55</v>
      </c>
      <c r="D109" s="406"/>
      <c r="E109" s="3301" t="s">
        <v>462</v>
      </c>
      <c r="F109" s="3299"/>
      <c r="G109" s="3299"/>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63</v>
      </c>
      <c r="D110" s="406">
        <v>0.1</v>
      </c>
      <c r="E110" s="3301" t="s">
        <v>464</v>
      </c>
      <c r="F110" s="3299"/>
      <c r="G110" s="3299"/>
      <c r="H110" s="330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58</v>
      </c>
      <c r="D111" s="406">
        <f>'数据-取费表'!B43</f>
        <v>5.000000000000001E-3</v>
      </c>
      <c r="E111" s="3298" t="s">
        <v>2425</v>
      </c>
      <c r="F111" s="3299"/>
      <c r="G111" s="3299"/>
      <c r="H111" s="330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01" t="s">
        <v>2450</v>
      </c>
      <c r="F112" s="3299"/>
      <c r="G112" s="3299"/>
      <c r="H112" s="330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10808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14.449197860962567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6223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11112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3340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8016</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534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2" t="s">
        <v>522</v>
      </c>
      <c r="D6" s="3353"/>
      <c r="E6" s="3352" t="s">
        <v>523</v>
      </c>
      <c r="F6" s="3353"/>
      <c r="G6" s="3352" t="s">
        <v>524</v>
      </c>
      <c r="H6" s="3353"/>
      <c r="I6" s="3352" t="s">
        <v>525</v>
      </c>
      <c r="J6" s="3353"/>
      <c r="K6" s="514" t="s">
        <v>526</v>
      </c>
      <c r="L6" s="2134"/>
      <c r="M6" s="2133"/>
      <c r="N6" s="2133"/>
      <c r="O6" s="2135"/>
      <c r="P6" s="3354" t="s">
        <v>527</v>
      </c>
      <c r="Q6" s="3355"/>
      <c r="R6" s="3360" t="s">
        <v>523</v>
      </c>
      <c r="S6" s="3361"/>
      <c r="T6" s="3360" t="s">
        <v>524</v>
      </c>
      <c r="U6" s="3361"/>
      <c r="V6" s="3347" t="s">
        <v>525</v>
      </c>
      <c r="W6" s="3347"/>
      <c r="X6" s="1568"/>
      <c r="Y6" s="3360" t="s">
        <v>527</v>
      </c>
      <c r="Z6" s="3361"/>
      <c r="AA6" s="3349" t="s">
        <v>523</v>
      </c>
      <c r="AB6" s="3350" t="s">
        <v>524</v>
      </c>
      <c r="AC6" s="3349" t="s">
        <v>525</v>
      </c>
    </row>
    <row r="7" spans="1:30" ht="20.25">
      <c r="A7" s="515"/>
      <c r="B7" s="516"/>
      <c r="C7" s="3368" t="s">
        <v>2926</v>
      </c>
      <c r="D7" s="3369"/>
      <c r="E7" s="3368" t="str">
        <f>Sheet1!A4</f>
        <v>武康街道春晖街北侧、康民路东侧</v>
      </c>
      <c r="F7" s="3369"/>
      <c r="G7" s="3368" t="str">
        <f>Sheet1!A5</f>
        <v>武康街道志远北路东侧、厚德街北侧</v>
      </c>
      <c r="H7" s="3369"/>
      <c r="I7" s="3368" t="str">
        <f>Sheet1!A6</f>
        <v>武康街道春晖街北侧、康民路东侧</v>
      </c>
      <c r="J7" s="3369"/>
      <c r="K7" s="514"/>
      <c r="L7" s="2134"/>
      <c r="M7" s="2133"/>
      <c r="N7" s="2133"/>
      <c r="O7" s="2135"/>
      <c r="P7" s="3356"/>
      <c r="Q7" s="3357"/>
      <c r="R7" s="3362"/>
      <c r="S7" s="3363"/>
      <c r="T7" s="3362"/>
      <c r="U7" s="3363"/>
      <c r="V7" s="3347"/>
      <c r="W7" s="3347"/>
      <c r="X7" s="1568"/>
      <c r="Y7" s="3362"/>
      <c r="Z7" s="3363"/>
      <c r="AA7" s="3350"/>
      <c r="AB7" s="3350"/>
      <c r="AC7" s="3350"/>
    </row>
    <row r="8" spans="1:30" ht="21" thickBot="1">
      <c r="A8" s="515"/>
      <c r="B8" s="516"/>
      <c r="C8" s="3370" t="s">
        <v>2930</v>
      </c>
      <c r="D8" s="3371"/>
      <c r="E8" s="3370" t="s">
        <v>2930</v>
      </c>
      <c r="F8" s="3371"/>
      <c r="G8" s="3366" t="s">
        <v>2930</v>
      </c>
      <c r="H8" s="3367"/>
      <c r="I8" s="3366" t="s">
        <v>2930</v>
      </c>
      <c r="J8" s="3367"/>
      <c r="K8" s="514" t="s">
        <v>528</v>
      </c>
      <c r="L8" s="2134"/>
      <c r="M8" s="2133"/>
      <c r="N8" s="2133"/>
      <c r="O8" s="2135"/>
      <c r="P8" s="3358"/>
      <c r="Q8" s="3359"/>
      <c r="R8" s="3362"/>
      <c r="S8" s="3363"/>
      <c r="T8" s="3364"/>
      <c r="U8" s="3365"/>
      <c r="V8" s="3347"/>
      <c r="W8" s="3347"/>
      <c r="X8" s="1568"/>
      <c r="Y8" s="3364"/>
      <c r="Z8" s="3365"/>
      <c r="AA8" s="3351"/>
      <c r="AB8" s="3351"/>
      <c r="AC8" s="3351"/>
    </row>
    <row r="9" spans="1:30" s="1220" customFormat="1" ht="21" thickBot="1">
      <c r="A9" s="2890"/>
      <c r="B9" s="2897" t="s">
        <v>529</v>
      </c>
      <c r="C9" s="2889">
        <f>'数据-取费表'!B2</f>
        <v>43486</v>
      </c>
      <c r="D9" s="520">
        <v>100</v>
      </c>
      <c r="E9" s="521" t="str">
        <f>Sheet1!K4</f>
        <v>2018-01-18</v>
      </c>
      <c r="F9" s="522">
        <f>SUMIF(72:72,YEAR(E9)&amp;"-"&amp;INT((MONTH(E9)+2)/3),73:73)</f>
        <v>96</v>
      </c>
      <c r="G9" s="523" t="str">
        <f>Sheet1!K5</f>
        <v>2018-01-03</v>
      </c>
      <c r="H9" s="520">
        <f>SUMIF(72:72,YEAR(G9)&amp;"-"&amp;INT((MONTH(G9)+2)/3),73:73)</f>
        <v>96</v>
      </c>
      <c r="I9" s="523" t="str">
        <f>Sheet1!K6</f>
        <v>2018-12-25</v>
      </c>
      <c r="J9" s="520">
        <f>SUMIF(72:72,YEAR(I9)&amp;"-"&amp;INT((MONTH(I9)+2)/3),73:73)</f>
        <v>99</v>
      </c>
      <c r="K9" s="524"/>
      <c r="L9" s="2136"/>
      <c r="M9" s="2133"/>
      <c r="N9" s="2133"/>
      <c r="O9" s="2137"/>
      <c r="P9" s="3377" t="s">
        <v>530</v>
      </c>
      <c r="Q9" s="3379"/>
      <c r="R9" s="1569" t="s">
        <v>8</v>
      </c>
      <c r="S9" s="1570">
        <f t="shared" ref="S9:S17" si="0">F9</f>
        <v>96</v>
      </c>
      <c r="T9" s="1569" t="s">
        <v>8</v>
      </c>
      <c r="U9" s="1570">
        <f t="shared" ref="U9:U17" si="1">H9</f>
        <v>96</v>
      </c>
      <c r="V9" s="1569" t="s">
        <v>8</v>
      </c>
      <c r="W9" s="1570">
        <f t="shared" ref="W9:W17" si="2">J9</f>
        <v>99</v>
      </c>
      <c r="X9" s="1571"/>
      <c r="Y9" s="3377" t="s">
        <v>530</v>
      </c>
      <c r="Z9" s="3378"/>
      <c r="AA9" s="1572">
        <f>D9/F9</f>
        <v>1.0416666666666667</v>
      </c>
      <c r="AB9" s="1572">
        <f>D9/H9</f>
        <v>1.0416666666666667</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6"/>
      <c r="M10" s="2133"/>
      <c r="N10" s="2133"/>
      <c r="O10" s="2137"/>
      <c r="P10" s="3377" t="s">
        <v>533</v>
      </c>
      <c r="Q10" s="3378"/>
      <c r="R10" s="1569" t="s">
        <v>8</v>
      </c>
      <c r="S10" s="1570">
        <f t="shared" si="0"/>
        <v>100</v>
      </c>
      <c r="T10" s="1569" t="s">
        <v>8</v>
      </c>
      <c r="U10" s="1570">
        <f t="shared" si="1"/>
        <v>100</v>
      </c>
      <c r="V10" s="1569" t="s">
        <v>8</v>
      </c>
      <c r="W10" s="1570">
        <f t="shared" si="2"/>
        <v>100</v>
      </c>
      <c r="X10" s="1571"/>
      <c r="Y10" s="3377" t="s">
        <v>533</v>
      </c>
      <c r="Z10" s="3378"/>
      <c r="AA10" s="1572">
        <f t="shared" ref="AA10:AA47" si="3">D10/F10</f>
        <v>1</v>
      </c>
      <c r="AB10" s="1572">
        <f t="shared" ref="AB10:AB47" si="4">D10/H10</f>
        <v>1</v>
      </c>
      <c r="AC10" s="1572">
        <f t="shared" ref="AC10:AC47" si="5">D10/J10</f>
        <v>1</v>
      </c>
    </row>
    <row r="11" spans="1:30" s="1220" customFormat="1" ht="20.25">
      <c r="A11" s="2892"/>
      <c r="B11" s="2899" t="s">
        <v>2753</v>
      </c>
      <c r="C11" s="2886"/>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46" t="s">
        <v>535</v>
      </c>
      <c r="Q11" s="1151" t="str">
        <f t="shared" ref="Q11:Q17" si="6">B11</f>
        <v>用途</v>
      </c>
      <c r="R11" s="1569" t="s">
        <v>8</v>
      </c>
      <c r="S11" s="1570">
        <f t="shared" si="0"/>
        <v>100</v>
      </c>
      <c r="T11" s="1569" t="s">
        <v>8</v>
      </c>
      <c r="U11" s="1570">
        <f t="shared" si="1"/>
        <v>100</v>
      </c>
      <c r="V11" s="1569" t="s">
        <v>8</v>
      </c>
      <c r="W11" s="1570">
        <f t="shared" si="2"/>
        <v>100</v>
      </c>
      <c r="X11" s="1571"/>
      <c r="Y11" s="3292" t="s">
        <v>536</v>
      </c>
      <c r="Z11" s="1150" t="str">
        <f t="shared" ref="Z11:Z17" si="7">Q11</f>
        <v>用途</v>
      </c>
      <c r="AA11" s="1572">
        <f t="shared" si="3"/>
        <v>1</v>
      </c>
      <c r="AB11" s="1572">
        <f t="shared" si="4"/>
        <v>1</v>
      </c>
      <c r="AC11" s="1572">
        <f t="shared" si="5"/>
        <v>1</v>
      </c>
    </row>
    <row r="12" spans="1:30" s="1338" customFormat="1" ht="27">
      <c r="A12" s="2893"/>
      <c r="B12" s="2898" t="s">
        <v>2754</v>
      </c>
      <c r="C12" s="910"/>
      <c r="D12" s="255">
        <v>100</v>
      </c>
      <c r="E12" s="529"/>
      <c r="F12" s="255">
        <f>ROUND(100/'数据-取费表'!G16,0)</f>
        <v>104</v>
      </c>
      <c r="G12" s="530"/>
      <c r="H12" s="255">
        <f>ROUND(100/'数据-取费表'!G16,0)</f>
        <v>104</v>
      </c>
      <c r="I12" s="530"/>
      <c r="J12" s="255">
        <f>ROUND(100/'数据-取费表'!G16,0)</f>
        <v>104</v>
      </c>
      <c r="K12" s="531"/>
      <c r="L12" s="2139"/>
      <c r="M12" s="2133"/>
      <c r="N12" s="2133"/>
      <c r="O12" s="2140"/>
      <c r="P12" s="3346"/>
      <c r="Q12" s="1151" t="str">
        <f t="shared" si="6"/>
        <v>土地使用年限（年）</v>
      </c>
      <c r="R12" s="1569" t="s">
        <v>8</v>
      </c>
      <c r="S12" s="1570">
        <f t="shared" si="0"/>
        <v>104</v>
      </c>
      <c r="T12" s="1569" t="s">
        <v>8</v>
      </c>
      <c r="U12" s="1570">
        <f t="shared" si="1"/>
        <v>104</v>
      </c>
      <c r="V12" s="1569" t="s">
        <v>8</v>
      </c>
      <c r="W12" s="1570">
        <f t="shared" si="2"/>
        <v>104</v>
      </c>
      <c r="X12" s="1571"/>
      <c r="Y12" s="3292"/>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v>2.4</v>
      </c>
      <c r="D13" s="255">
        <v>100</v>
      </c>
      <c r="E13" s="533">
        <v>1.1000000000000001</v>
      </c>
      <c r="F13" s="255">
        <f>LOOKUP(E13,82:82,83:83)-LOOKUP(C13,82:82,83:83)+100</f>
        <v>106</v>
      </c>
      <c r="G13" s="534">
        <v>1.6</v>
      </c>
      <c r="H13" s="255">
        <f>LOOKUP(G13,82:82,83:83)-LOOKUP(C13,82:82,83:83)+100</f>
        <v>103</v>
      </c>
      <c r="I13" s="533">
        <v>1.1000000000000001</v>
      </c>
      <c r="J13" s="255">
        <f>LOOKUP(I13,82:82,83:83)-LOOKUP(C13,82:82,83:83)+100</f>
        <v>106</v>
      </c>
      <c r="K13" s="535">
        <v>3</v>
      </c>
      <c r="L13" s="2141"/>
      <c r="M13" s="2133"/>
      <c r="N13" s="2133"/>
      <c r="O13" s="2142"/>
      <c r="P13" s="3346"/>
      <c r="Q13" s="1151" t="str">
        <f t="shared" si="6"/>
        <v>容积率</v>
      </c>
      <c r="R13" s="1569" t="s">
        <v>8</v>
      </c>
      <c r="S13" s="1570">
        <f t="shared" si="0"/>
        <v>106</v>
      </c>
      <c r="T13" s="1569" t="s">
        <v>8</v>
      </c>
      <c r="U13" s="1570">
        <f t="shared" si="1"/>
        <v>103</v>
      </c>
      <c r="V13" s="1569" t="s">
        <v>8</v>
      </c>
      <c r="W13" s="1570">
        <f t="shared" si="2"/>
        <v>106</v>
      </c>
      <c r="X13" s="1571"/>
      <c r="Y13" s="3292"/>
      <c r="Z13" s="1150" t="str">
        <f t="shared" si="7"/>
        <v>容积率</v>
      </c>
      <c r="AA13" s="1572">
        <f t="shared" si="3"/>
        <v>0.94339622641509435</v>
      </c>
      <c r="AB13" s="1572">
        <f t="shared" si="4"/>
        <v>0.970873786407767</v>
      </c>
      <c r="AC13" s="1572">
        <f t="shared" si="5"/>
        <v>0.94339622641509435</v>
      </c>
    </row>
    <row r="14" spans="1:30" s="1220" customFormat="1" ht="20.25">
      <c r="A14" s="2891"/>
      <c r="B14" s="2900" t="s">
        <v>2756</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6"/>
      <c r="Q14" s="1151" t="str">
        <f t="shared" si="6"/>
        <v>配建</v>
      </c>
      <c r="R14" s="1569" t="s">
        <v>8</v>
      </c>
      <c r="S14" s="1570">
        <f t="shared" si="0"/>
        <v>100</v>
      </c>
      <c r="T14" s="1569" t="s">
        <v>8</v>
      </c>
      <c r="U14" s="1570">
        <f t="shared" si="1"/>
        <v>100</v>
      </c>
      <c r="V14" s="1569" t="s">
        <v>8</v>
      </c>
      <c r="W14" s="1570">
        <f t="shared" si="2"/>
        <v>100</v>
      </c>
      <c r="X14" s="1571"/>
      <c r="Y14" s="3292"/>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6"/>
      <c r="Q15" s="1151">
        <f t="shared" si="6"/>
        <v>111</v>
      </c>
      <c r="R15" s="1569" t="s">
        <v>8</v>
      </c>
      <c r="S15" s="1570">
        <f t="shared" si="0"/>
        <v>100</v>
      </c>
      <c r="T15" s="1569" t="s">
        <v>8</v>
      </c>
      <c r="U15" s="1570">
        <f t="shared" si="1"/>
        <v>100</v>
      </c>
      <c r="V15" s="1569" t="s">
        <v>8</v>
      </c>
      <c r="W15" s="1570">
        <f t="shared" si="2"/>
        <v>100</v>
      </c>
      <c r="X15" s="1571"/>
      <c r="Y15" s="3292"/>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6"/>
      <c r="Q16" s="1151">
        <f t="shared" si="6"/>
        <v>111</v>
      </c>
      <c r="R16" s="1569" t="s">
        <v>8</v>
      </c>
      <c r="S16" s="1570">
        <f t="shared" si="0"/>
        <v>100</v>
      </c>
      <c r="T16" s="1569" t="s">
        <v>8</v>
      </c>
      <c r="U16" s="1570">
        <f t="shared" si="1"/>
        <v>100</v>
      </c>
      <c r="V16" s="1569" t="s">
        <v>8</v>
      </c>
      <c r="W16" s="1570">
        <f t="shared" si="2"/>
        <v>100</v>
      </c>
      <c r="X16" s="1571"/>
      <c r="Y16" s="3292"/>
      <c r="Z16" s="1150">
        <f t="shared" si="7"/>
        <v>111</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0" t="s">
        <v>540</v>
      </c>
      <c r="Q17" s="1573" t="str">
        <f t="shared" si="6"/>
        <v>居住社区成熟度</v>
      </c>
      <c r="R17" s="1574" t="s">
        <v>8</v>
      </c>
      <c r="S17" s="1575">
        <f t="shared" si="0"/>
        <v>100</v>
      </c>
      <c r="T17" s="1574" t="s">
        <v>8</v>
      </c>
      <c r="U17" s="1575">
        <f t="shared" si="1"/>
        <v>100</v>
      </c>
      <c r="V17" s="1574" t="s">
        <v>8</v>
      </c>
      <c r="W17" s="1575">
        <f t="shared" si="2"/>
        <v>100</v>
      </c>
      <c r="X17" s="1568"/>
      <c r="Y17" s="3380"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1"/>
      <c r="Q18" s="1573"/>
      <c r="R18" s="1574"/>
      <c r="S18" s="1575"/>
      <c r="T18" s="1574"/>
      <c r="U18" s="1575"/>
      <c r="V18" s="1574"/>
      <c r="W18" s="1575"/>
      <c r="X18" s="1568"/>
      <c r="Y18" s="338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1"/>
      <c r="Q19" s="1573" t="str">
        <f>B19</f>
        <v>商业繁华度</v>
      </c>
      <c r="R19" s="1574" t="s">
        <v>8</v>
      </c>
      <c r="S19" s="1575">
        <f>F19</f>
        <v>100</v>
      </c>
      <c r="T19" s="1574" t="s">
        <v>8</v>
      </c>
      <c r="U19" s="1575">
        <f>H19</f>
        <v>100</v>
      </c>
      <c r="V19" s="1574" t="s">
        <v>8</v>
      </c>
      <c r="W19" s="1575">
        <f>J19</f>
        <v>100</v>
      </c>
      <c r="X19" s="1568"/>
      <c r="Y19" s="3381"/>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1"/>
      <c r="Q20" s="1573"/>
      <c r="R20" s="1574"/>
      <c r="S20" s="1575"/>
      <c r="T20" s="1574"/>
      <c r="U20" s="1575"/>
      <c r="V20" s="1574"/>
      <c r="W20" s="1575"/>
      <c r="X20" s="1568"/>
      <c r="Y20" s="338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1"/>
      <c r="Q21" s="1573" t="str">
        <f>B21</f>
        <v>办公集聚程度</v>
      </c>
      <c r="R21" s="1574" t="s">
        <v>8</v>
      </c>
      <c r="S21" s="1575">
        <f>F21</f>
        <v>100</v>
      </c>
      <c r="T21" s="1574" t="s">
        <v>8</v>
      </c>
      <c r="U21" s="1575">
        <f>H21</f>
        <v>100</v>
      </c>
      <c r="V21" s="1574" t="s">
        <v>8</v>
      </c>
      <c r="W21" s="1575">
        <f>J21</f>
        <v>100</v>
      </c>
      <c r="X21" s="1568"/>
      <c r="Y21" s="338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1"/>
      <c r="Q22" s="1573"/>
      <c r="R22" s="1574"/>
      <c r="S22" s="1575"/>
      <c r="T22" s="1574"/>
      <c r="U22" s="1575"/>
      <c r="V22" s="1574"/>
      <c r="W22" s="1575"/>
      <c r="X22" s="1568"/>
      <c r="Y22" s="338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1"/>
      <c r="Q23" s="1573" t="str">
        <f>B23</f>
        <v>交通便捷度</v>
      </c>
      <c r="R23" s="1574" t="s">
        <v>8</v>
      </c>
      <c r="S23" s="1575">
        <f>F23</f>
        <v>100</v>
      </c>
      <c r="T23" s="1574" t="s">
        <v>8</v>
      </c>
      <c r="U23" s="1575">
        <f>H23</f>
        <v>100</v>
      </c>
      <c r="V23" s="1574" t="s">
        <v>8</v>
      </c>
      <c r="W23" s="1575">
        <f>J23</f>
        <v>100</v>
      </c>
      <c r="X23" s="1568"/>
      <c r="Y23" s="3381"/>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1"/>
      <c r="Q24" s="1573"/>
      <c r="R24" s="1574"/>
      <c r="S24" s="1575"/>
      <c r="T24" s="1574"/>
      <c r="U24" s="1575"/>
      <c r="V24" s="1574"/>
      <c r="W24" s="1575"/>
      <c r="X24" s="1568"/>
      <c r="Y24" s="338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1"/>
      <c r="Q25" s="1573" t="str">
        <f t="shared" ref="Q25:Q39" si="8">B25</f>
        <v>区域土地利用方向</v>
      </c>
      <c r="R25" s="1574" t="s">
        <v>8</v>
      </c>
      <c r="S25" s="1575">
        <f>F25</f>
        <v>100</v>
      </c>
      <c r="T25" s="1574" t="s">
        <v>8</v>
      </c>
      <c r="U25" s="1575">
        <f>H25</f>
        <v>100</v>
      </c>
      <c r="V25" s="1574" t="s">
        <v>8</v>
      </c>
      <c r="W25" s="1575">
        <f>J25</f>
        <v>100</v>
      </c>
      <c r="X25" s="1568"/>
      <c r="Y25" s="338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1"/>
      <c r="Q26" s="1573"/>
      <c r="R26" s="1574"/>
      <c r="S26" s="1575"/>
      <c r="T26" s="1574"/>
      <c r="U26" s="1575"/>
      <c r="V26" s="1574"/>
      <c r="W26" s="1575"/>
      <c r="X26" s="1568"/>
      <c r="Y26" s="338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1"/>
      <c r="Q27" s="1573" t="str">
        <f t="shared" si="8"/>
        <v>自然及人文环境状况</v>
      </c>
      <c r="R27" s="1574" t="s">
        <v>8</v>
      </c>
      <c r="S27" s="1575">
        <f>F27</f>
        <v>100</v>
      </c>
      <c r="T27" s="1574" t="s">
        <v>8</v>
      </c>
      <c r="U27" s="1575">
        <f>H27</f>
        <v>100</v>
      </c>
      <c r="V27" s="1574" t="s">
        <v>8</v>
      </c>
      <c r="W27" s="1575">
        <f>J27</f>
        <v>100</v>
      </c>
      <c r="X27" s="1568"/>
      <c r="Y27" s="3381"/>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1"/>
      <c r="Q28" s="1573"/>
      <c r="R28" s="1574"/>
      <c r="S28" s="1575"/>
      <c r="T28" s="1574"/>
      <c r="U28" s="1575"/>
      <c r="V28" s="1574"/>
      <c r="W28" s="1575"/>
      <c r="X28" s="1568"/>
      <c r="Y28" s="3381"/>
      <c r="Z28" s="1576"/>
      <c r="AA28" s="1577">
        <v>1</v>
      </c>
      <c r="AB28" s="1577">
        <v>1</v>
      </c>
      <c r="AC28" s="1577">
        <v>1</v>
      </c>
    </row>
    <row r="29" spans="1:29" s="1220" customFormat="1" ht="42.75">
      <c r="A29" s="577"/>
      <c r="B29" s="2570"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1"/>
      <c r="Q29" s="1151" t="str">
        <f t="shared" si="8"/>
        <v>公共配套设施</v>
      </c>
      <c r="R29" s="1569" t="s">
        <v>8</v>
      </c>
      <c r="S29" s="1570">
        <f>F29</f>
        <v>100</v>
      </c>
      <c r="T29" s="1569" t="s">
        <v>8</v>
      </c>
      <c r="U29" s="1570">
        <f>H29</f>
        <v>100</v>
      </c>
      <c r="V29" s="1569" t="s">
        <v>8</v>
      </c>
      <c r="W29" s="1570">
        <f>J29</f>
        <v>100</v>
      </c>
      <c r="X29" s="1571"/>
      <c r="Y29" s="3381"/>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1"/>
      <c r="Q30" s="1151"/>
      <c r="R30" s="1569"/>
      <c r="S30" s="1570"/>
      <c r="T30" s="1569"/>
      <c r="U30" s="1570"/>
      <c r="V30" s="1569"/>
      <c r="W30" s="1570"/>
      <c r="X30" s="1571"/>
      <c r="Y30" s="3381"/>
      <c r="Z30" s="1150"/>
      <c r="AA30" s="1577">
        <v>1</v>
      </c>
      <c r="AB30" s="1577">
        <v>1</v>
      </c>
      <c r="AC30" s="1577">
        <v>1</v>
      </c>
    </row>
    <row r="31" spans="1:29" s="1220" customFormat="1" ht="28.5">
      <c r="A31" s="577"/>
      <c r="B31" s="2570"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1"/>
      <c r="Q31" s="2557" t="str">
        <f t="shared" ref="Q31" si="9">B31</f>
        <v>基础设施水平</v>
      </c>
      <c r="R31" s="1569" t="s">
        <v>8</v>
      </c>
      <c r="S31" s="1570">
        <f>F31</f>
        <v>100</v>
      </c>
      <c r="T31" s="1569" t="s">
        <v>8</v>
      </c>
      <c r="U31" s="1570">
        <f>H31</f>
        <v>100</v>
      </c>
      <c r="V31" s="1569" t="s">
        <v>8</v>
      </c>
      <c r="W31" s="1570">
        <f>J31</f>
        <v>100</v>
      </c>
      <c r="X31" s="1571"/>
      <c r="Y31" s="3381"/>
      <c r="Z31" s="2554" t="str">
        <f>Q31</f>
        <v>基础设施水平</v>
      </c>
      <c r="AA31" s="1577">
        <f>D31/F31</f>
        <v>1</v>
      </c>
      <c r="AB31" s="1577">
        <f>D31/H31</f>
        <v>1</v>
      </c>
      <c r="AC31" s="1577">
        <f>D31/J31</f>
        <v>1</v>
      </c>
    </row>
    <row r="32" spans="1:29" s="1220" customFormat="1" ht="20.25">
      <c r="A32" s="577"/>
      <c r="B32" s="566"/>
      <c r="C32" s="579"/>
      <c r="D32" s="557"/>
      <c r="E32" s="2571"/>
      <c r="F32" s="555"/>
      <c r="G32" s="579"/>
      <c r="H32" s="555"/>
      <c r="I32" s="579"/>
      <c r="J32" s="555"/>
      <c r="K32" s="531"/>
      <c r="L32" s="2136"/>
      <c r="M32" s="2133"/>
      <c r="N32" s="2133"/>
      <c r="O32" s="2138"/>
      <c r="P32" s="3381"/>
      <c r="Q32" s="2557"/>
      <c r="R32" s="1569"/>
      <c r="S32" s="1570"/>
      <c r="T32" s="1569"/>
      <c r="U32" s="1570"/>
      <c r="V32" s="1569"/>
      <c r="W32" s="1570"/>
      <c r="X32" s="1571"/>
      <c r="Y32" s="3381"/>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1"/>
      <c r="Q34" s="1573" t="str">
        <f t="shared" si="8"/>
        <v>毗邻道路的类型与等级</v>
      </c>
      <c r="R34" s="1574" t="s">
        <v>8</v>
      </c>
      <c r="S34" s="1575">
        <f t="shared" si="10"/>
        <v>100</v>
      </c>
      <c r="T34" s="1574" t="s">
        <v>8</v>
      </c>
      <c r="U34" s="1575">
        <f t="shared" si="11"/>
        <v>100</v>
      </c>
      <c r="V34" s="1574" t="s">
        <v>8</v>
      </c>
      <c r="W34" s="1575">
        <f t="shared" si="12"/>
        <v>100</v>
      </c>
      <c r="X34" s="1568"/>
      <c r="Y34" s="3381"/>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1"/>
      <c r="Q35" s="1573"/>
      <c r="R35" s="1574"/>
      <c r="S35" s="1575"/>
      <c r="T35" s="1574"/>
      <c r="U35" s="1575"/>
      <c r="V35" s="1574"/>
      <c r="W35" s="1575"/>
      <c r="X35" s="1568"/>
      <c r="Y35" s="338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1"/>
      <c r="Q36" s="1573" t="str">
        <f t="shared" si="8"/>
        <v>土地级别</v>
      </c>
      <c r="R36" s="1574" t="s">
        <v>8</v>
      </c>
      <c r="S36" s="1575">
        <f t="shared" si="10"/>
        <v>100</v>
      </c>
      <c r="T36" s="1574" t="s">
        <v>8</v>
      </c>
      <c r="U36" s="1575">
        <f t="shared" si="11"/>
        <v>100</v>
      </c>
      <c r="V36" s="1574" t="s">
        <v>8</v>
      </c>
      <c r="W36" s="1575">
        <f t="shared" si="12"/>
        <v>100</v>
      </c>
      <c r="X36" s="1568"/>
      <c r="Y36" s="338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1"/>
      <c r="Q37" s="1573">
        <f t="shared" si="8"/>
        <v>111</v>
      </c>
      <c r="R37" s="1574" t="s">
        <v>8</v>
      </c>
      <c r="S37" s="1575">
        <f t="shared" si="10"/>
        <v>100</v>
      </c>
      <c r="T37" s="1574" t="s">
        <v>8</v>
      </c>
      <c r="U37" s="1575">
        <f t="shared" si="11"/>
        <v>100</v>
      </c>
      <c r="V37" s="1574" t="s">
        <v>8</v>
      </c>
      <c r="W37" s="1575">
        <f t="shared" si="12"/>
        <v>100</v>
      </c>
      <c r="X37" s="1568"/>
      <c r="Y37" s="338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2" t="s">
        <v>550</v>
      </c>
      <c r="Q38" s="1573">
        <f t="shared" si="8"/>
        <v>111</v>
      </c>
      <c r="R38" s="1574" t="s">
        <v>8</v>
      </c>
      <c r="S38" s="1575">
        <f t="shared" si="10"/>
        <v>100</v>
      </c>
      <c r="T38" s="1574" t="s">
        <v>8</v>
      </c>
      <c r="U38" s="1575">
        <f t="shared" si="11"/>
        <v>100</v>
      </c>
      <c r="V38" s="1574" t="s">
        <v>8</v>
      </c>
      <c r="W38" s="1575">
        <f t="shared" si="12"/>
        <v>100</v>
      </c>
      <c r="X38" s="1568"/>
      <c r="Y38" s="338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3"/>
      <c r="Q39" s="1573">
        <f t="shared" si="8"/>
        <v>111</v>
      </c>
      <c r="R39" s="1578" t="s">
        <v>8</v>
      </c>
      <c r="S39" s="1579">
        <f t="shared" si="10"/>
        <v>100</v>
      </c>
      <c r="T39" s="1578" t="s">
        <v>8</v>
      </c>
      <c r="U39" s="1579">
        <f t="shared" si="11"/>
        <v>100</v>
      </c>
      <c r="V39" s="1578" t="s">
        <v>8</v>
      </c>
      <c r="W39" s="1579">
        <f t="shared" si="12"/>
        <v>100</v>
      </c>
      <c r="X39" s="1580"/>
      <c r="Y39" s="3383"/>
      <c r="Z39" s="1581">
        <f t="shared" si="13"/>
        <v>111</v>
      </c>
      <c r="AA39" s="1577">
        <f t="shared" si="3"/>
        <v>1</v>
      </c>
      <c r="AB39" s="1577">
        <f t="shared" si="4"/>
        <v>1</v>
      </c>
      <c r="AC39" s="1577">
        <f t="shared" si="5"/>
        <v>1</v>
      </c>
    </row>
    <row r="40" spans="1:29" ht="20.25">
      <c r="A40" s="2885" t="s">
        <v>2752</v>
      </c>
      <c r="B40" s="595" t="s">
        <v>552</v>
      </c>
      <c r="C40" s="596">
        <f>'数据-汇总表'!D3</f>
        <v>13862</v>
      </c>
      <c r="D40" s="597">
        <v>100</v>
      </c>
      <c r="E40" s="596">
        <f>Sheet1!H4</f>
        <v>14233</v>
      </c>
      <c r="F40" s="597">
        <f>LOOKUP(E40,119:119,120:120)-LOOKUP(C40,119:119,120:120)+100</f>
        <v>100</v>
      </c>
      <c r="G40" s="596">
        <f>Sheet1!H5</f>
        <v>5357</v>
      </c>
      <c r="H40" s="597">
        <f>LOOKUP(G40,119:119,120:120)-LOOKUP(C40,119:119,120:120)+100</f>
        <v>98</v>
      </c>
      <c r="I40" s="598">
        <f>Sheet1!H6</f>
        <v>1093</v>
      </c>
      <c r="J40" s="597">
        <f>LOOKUP(I40,119:119,120:120)-LOOKUP(C40,119:119,120:120)+100</f>
        <v>96</v>
      </c>
      <c r="K40" s="581"/>
      <c r="L40" s="2143"/>
      <c r="M40" s="2133"/>
      <c r="N40" s="2133"/>
      <c r="O40" s="2142"/>
      <c r="P40" s="3383"/>
      <c r="Q40" s="1573" t="str">
        <f>B40</f>
        <v>宗地面积</v>
      </c>
      <c r="R40" s="1574" t="s">
        <v>8</v>
      </c>
      <c r="S40" s="1575">
        <f t="shared" si="10"/>
        <v>100</v>
      </c>
      <c r="T40" s="1574" t="s">
        <v>8</v>
      </c>
      <c r="U40" s="1575">
        <f t="shared" si="11"/>
        <v>98</v>
      </c>
      <c r="V40" s="1574" t="s">
        <v>8</v>
      </c>
      <c r="W40" s="1575">
        <f t="shared" si="12"/>
        <v>96</v>
      </c>
      <c r="X40" s="1568"/>
      <c r="Y40" s="3383"/>
      <c r="Z40" s="1576" t="str">
        <f t="shared" si="13"/>
        <v>宗地面积</v>
      </c>
      <c r="AA40" s="1577">
        <f t="shared" si="3"/>
        <v>1</v>
      </c>
      <c r="AB40" s="1577">
        <f t="shared" si="4"/>
        <v>1.0204081632653061</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3"/>
      <c r="Q41" s="1573" t="str">
        <f t="shared" ref="Q41:Q47" si="14">B41</f>
        <v>宗地形状</v>
      </c>
      <c r="R41" s="1574" t="s">
        <v>8</v>
      </c>
      <c r="S41" s="1575">
        <f t="shared" si="10"/>
        <v>100</v>
      </c>
      <c r="T41" s="1574" t="s">
        <v>8</v>
      </c>
      <c r="U41" s="1575">
        <f t="shared" si="11"/>
        <v>100</v>
      </c>
      <c r="V41" s="1574" t="s">
        <v>8</v>
      </c>
      <c r="W41" s="1575">
        <f t="shared" si="12"/>
        <v>100</v>
      </c>
      <c r="X41" s="1568"/>
      <c r="Y41" s="338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3"/>
      <c r="Q42" s="1573" t="str">
        <f t="shared" si="14"/>
        <v>临街宽度及深度</v>
      </c>
      <c r="R42" s="1574" t="s">
        <v>8</v>
      </c>
      <c r="S42" s="1575">
        <f t="shared" si="10"/>
        <v>100</v>
      </c>
      <c r="T42" s="1574" t="s">
        <v>8</v>
      </c>
      <c r="U42" s="1575">
        <f t="shared" si="11"/>
        <v>100</v>
      </c>
      <c r="V42" s="1574" t="s">
        <v>8</v>
      </c>
      <c r="W42" s="1575">
        <f t="shared" si="12"/>
        <v>100</v>
      </c>
      <c r="X42" s="1568"/>
      <c r="Y42" s="3383"/>
      <c r="Z42" s="1576" t="str">
        <f t="shared" si="13"/>
        <v>临街宽度及深度</v>
      </c>
      <c r="AA42" s="1577">
        <f t="shared" si="3"/>
        <v>1</v>
      </c>
      <c r="AB42" s="1577">
        <f t="shared" si="4"/>
        <v>1</v>
      </c>
      <c r="AC42" s="1577">
        <f t="shared" si="5"/>
        <v>1</v>
      </c>
    </row>
    <row r="43" spans="1:29" s="1220" customFormat="1" ht="20.25">
      <c r="A43" s="600"/>
      <c r="B43" s="1896"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3"/>
      <c r="Q43" s="1573" t="str">
        <f t="shared" si="14"/>
        <v>宗地开发程度</v>
      </c>
      <c r="R43" s="1569" t="s">
        <v>8</v>
      </c>
      <c r="S43" s="1570">
        <f t="shared" si="10"/>
        <v>100</v>
      </c>
      <c r="T43" s="1569" t="s">
        <v>8</v>
      </c>
      <c r="U43" s="1570">
        <f t="shared" si="11"/>
        <v>100</v>
      </c>
      <c r="V43" s="1569" t="s">
        <v>8</v>
      </c>
      <c r="W43" s="1570">
        <f t="shared" si="12"/>
        <v>100</v>
      </c>
      <c r="X43" s="1571"/>
      <c r="Y43" s="3383"/>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3" t="s">
        <v>550</v>
      </c>
      <c r="Q44" s="1573" t="str">
        <f t="shared" si="14"/>
        <v>工程地质条件</v>
      </c>
      <c r="R44" s="1574" t="s">
        <v>8</v>
      </c>
      <c r="S44" s="1575">
        <f t="shared" si="10"/>
        <v>100</v>
      </c>
      <c r="T44" s="1574" t="s">
        <v>8</v>
      </c>
      <c r="U44" s="1575">
        <f t="shared" si="11"/>
        <v>100</v>
      </c>
      <c r="V44" s="1574" t="s">
        <v>8</v>
      </c>
      <c r="W44" s="1575">
        <f t="shared" si="12"/>
        <v>100</v>
      </c>
      <c r="X44" s="1568"/>
      <c r="Y44" s="338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3"/>
      <c r="Q45" s="1573">
        <f t="shared" si="14"/>
        <v>111</v>
      </c>
      <c r="R45" s="1574" t="s">
        <v>8</v>
      </c>
      <c r="S45" s="1575">
        <f t="shared" si="10"/>
        <v>100</v>
      </c>
      <c r="T45" s="1574" t="s">
        <v>8</v>
      </c>
      <c r="U45" s="1575">
        <f t="shared" si="11"/>
        <v>100</v>
      </c>
      <c r="V45" s="1574" t="s">
        <v>8</v>
      </c>
      <c r="W45" s="1575">
        <f t="shared" si="12"/>
        <v>100</v>
      </c>
      <c r="X45" s="1568"/>
      <c r="Y45" s="338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3"/>
      <c r="Q46" s="1573">
        <f t="shared" si="14"/>
        <v>111</v>
      </c>
      <c r="R46" s="1574" t="s">
        <v>8</v>
      </c>
      <c r="S46" s="1575">
        <f t="shared" si="10"/>
        <v>100</v>
      </c>
      <c r="T46" s="1574" t="s">
        <v>8</v>
      </c>
      <c r="U46" s="1575">
        <f t="shared" si="11"/>
        <v>100</v>
      </c>
      <c r="V46" s="1574" t="s">
        <v>8</v>
      </c>
      <c r="W46" s="1575">
        <f t="shared" si="12"/>
        <v>100</v>
      </c>
      <c r="X46" s="1568"/>
      <c r="Y46" s="338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3"/>
      <c r="Q47" s="1573">
        <f t="shared" si="14"/>
        <v>111</v>
      </c>
      <c r="R47" s="1578" t="s">
        <v>8</v>
      </c>
      <c r="S47" s="1579">
        <f t="shared" si="10"/>
        <v>100</v>
      </c>
      <c r="T47" s="1578" t="s">
        <v>8</v>
      </c>
      <c r="U47" s="1579">
        <f t="shared" si="11"/>
        <v>100</v>
      </c>
      <c r="V47" s="1578" t="s">
        <v>8</v>
      </c>
      <c r="W47" s="1579">
        <f t="shared" si="12"/>
        <v>100</v>
      </c>
      <c r="X47" s="1580"/>
      <c r="Y47" s="3383"/>
      <c r="Z47" s="1581">
        <f t="shared" si="13"/>
        <v>111</v>
      </c>
      <c r="AA47" s="1577">
        <f t="shared" si="3"/>
        <v>1</v>
      </c>
      <c r="AB47" s="1577">
        <f t="shared" si="4"/>
        <v>1</v>
      </c>
      <c r="AC47" s="1577">
        <f t="shared" si="5"/>
        <v>1</v>
      </c>
    </row>
    <row r="48" spans="1:29" ht="20.25">
      <c r="A48" s="607" t="s">
        <v>556</v>
      </c>
      <c r="B48" s="608" t="s">
        <v>3201</v>
      </c>
      <c r="C48" s="609" t="s">
        <v>1</v>
      </c>
      <c r="D48" s="610"/>
      <c r="E48" s="611">
        <f>Sheet1!P4</f>
        <v>3590</v>
      </c>
      <c r="F48" s="612"/>
      <c r="G48" s="613">
        <f>Sheet1!P5</f>
        <v>3450</v>
      </c>
      <c r="H48" s="614"/>
      <c r="I48" s="611">
        <f>Sheet1!P6</f>
        <v>3390.92</v>
      </c>
      <c r="J48" s="614"/>
      <c r="K48" s="1340"/>
      <c r="L48" s="2145"/>
      <c r="M48" s="2133"/>
      <c r="N48" s="2133"/>
      <c r="O48" s="2146"/>
      <c r="P48" s="3346" t="str">
        <f>A48</f>
        <v>成交单价</v>
      </c>
      <c r="Q48" s="3346"/>
      <c r="R48" s="3347">
        <f>E48</f>
        <v>3590</v>
      </c>
      <c r="S48" s="3347"/>
      <c r="T48" s="3347">
        <f>G48</f>
        <v>3450</v>
      </c>
      <c r="U48" s="3347"/>
      <c r="V48" s="3347">
        <f>I48</f>
        <v>3390.92</v>
      </c>
      <c r="W48" s="3347"/>
      <c r="X48" s="1560"/>
      <c r="Y48" s="1582"/>
      <c r="Z48" s="1560"/>
      <c r="AA48" s="1560"/>
      <c r="AB48" s="1560"/>
      <c r="AC48" s="1560"/>
    </row>
    <row r="49" spans="1:29" ht="21" thickBot="1">
      <c r="A49" s="615" t="s">
        <v>2690</v>
      </c>
      <c r="B49" s="616"/>
      <c r="C49" s="617">
        <f>R50</f>
        <v>3350</v>
      </c>
      <c r="D49" s="618"/>
      <c r="E49" s="617">
        <f>R49</f>
        <v>3392</v>
      </c>
      <c r="F49" s="619"/>
      <c r="G49" s="620">
        <f>T49</f>
        <v>3423</v>
      </c>
      <c r="H49" s="618"/>
      <c r="I49" s="617">
        <f>V49</f>
        <v>3236</v>
      </c>
      <c r="J49" s="618"/>
      <c r="K49" s="1341"/>
      <c r="L49" s="2145"/>
      <c r="M49" s="2133"/>
      <c r="N49" s="2133"/>
      <c r="O49" s="2146"/>
      <c r="P49" s="3346" t="str">
        <f>A49</f>
        <v>比较价格（元/平方米）</v>
      </c>
      <c r="Q49" s="3346"/>
      <c r="R49" s="3348">
        <f>ROUND(PRODUCT(R48,AA9:AA47),0)</f>
        <v>3392</v>
      </c>
      <c r="S49" s="3348"/>
      <c r="T49" s="3348">
        <f>ROUND(PRODUCT(T48,AB9:AB47),0)</f>
        <v>3423</v>
      </c>
      <c r="U49" s="3348"/>
      <c r="V49" s="3348">
        <f>ROUND(PRODUCT(V48,AC9:AC47),0)</f>
        <v>3236</v>
      </c>
      <c r="W49" s="3348"/>
      <c r="X49" s="1560"/>
      <c r="Y49" s="1560"/>
      <c r="Z49" s="1560"/>
      <c r="AA49" s="1560"/>
      <c r="AB49" s="1560"/>
      <c r="AC49" s="1560"/>
    </row>
    <row r="50" spans="1:29" ht="21" thickBot="1">
      <c r="A50" s="621" t="s">
        <v>2932</v>
      </c>
      <c r="B50" s="622"/>
      <c r="C50" s="623">
        <f>R50</f>
        <v>3350</v>
      </c>
      <c r="D50" s="623"/>
      <c r="E50" s="623"/>
      <c r="F50" s="623"/>
      <c r="G50" s="623"/>
      <c r="H50" s="623"/>
      <c r="I50" s="623"/>
      <c r="J50" s="623"/>
      <c r="K50" s="1342"/>
      <c r="L50" s="2145"/>
      <c r="M50" s="2133"/>
      <c r="N50" s="2133"/>
      <c r="O50" s="2146"/>
      <c r="P50" s="3343" t="str">
        <f>A50</f>
        <v>估价对象XX用房的比较价格（楼面单价，元/平方米）</v>
      </c>
      <c r="Q50" s="3344"/>
      <c r="R50" s="3345">
        <f>ROUND(AVERAGE(R49:V49),0)</f>
        <v>3350</v>
      </c>
      <c r="S50" s="3345"/>
      <c r="T50" s="3345"/>
      <c r="U50" s="3345"/>
      <c r="V50" s="3345"/>
      <c r="W50" s="334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5.8372641509433887E-2</v>
      </c>
      <c r="F53" s="627" t="str">
        <f>IF(OR(E53&gt;=0.3,E53&lt;=-0.3),"超过30%","")</f>
        <v/>
      </c>
      <c r="G53" s="626">
        <f>IF(G48&lt;G49,G49/G48-1,G48/G49-1)</f>
        <v>7.8878177037686736E-3</v>
      </c>
      <c r="H53" s="627" t="str">
        <f>IF(OR(G53&gt;=0.3,G53&lt;=-0.3),"超过30%","")</f>
        <v/>
      </c>
      <c r="I53" s="626">
        <f>IF(I48&lt;I49,I49/I48-1,I48/I49-1)</f>
        <v>4.7873918417799866E-2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9.1391509433962348E-3</v>
      </c>
      <c r="F54" s="627" t="str">
        <f>IF(OR(E54&gt;=0.2,E54&lt;=-0.2),"超过20%","")</f>
        <v/>
      </c>
      <c r="G54" s="626">
        <f>IF(G49&lt;I49,I49/G49-1,G49/I49-1)</f>
        <v>5.7787391841779945E-2</v>
      </c>
      <c r="H54" s="627" t="str">
        <f>IF(OR(G54&gt;=0.2,G54&lt;=-0.2),"超过20%","")</f>
        <v/>
      </c>
      <c r="I54" s="626">
        <f>IF(I49&lt;E49,E49/I49-1,I49/E49-1)</f>
        <v>4.8207663782447563E-2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4.057971014492745E-2</v>
      </c>
      <c r="F55" s="627" t="str">
        <f>IF(OR(E55&gt;=0.3,E55&lt;=-0.3),"超过30%","")</f>
        <v/>
      </c>
      <c r="G55" s="626">
        <f>IF(G48&lt;I48,I48/G48-1,G48/I48-1)</f>
        <v>1.7423000247720255E-2</v>
      </c>
      <c r="H55" s="627" t="str">
        <f>IF(OR(G55&gt;=0.3,G55&lt;=-0.3),"超过30%","")</f>
        <v/>
      </c>
      <c r="I55" s="626">
        <f>IF(I48&lt;E48,E48/I48-1,I48/E48-1)</f>
        <v>5.8709730692555473E-2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2293</v>
      </c>
      <c r="E57" s="631" t="s">
        <v>562</v>
      </c>
      <c r="F57" s="632" t="s">
        <v>563</v>
      </c>
      <c r="G57" s="3372" t="s">
        <v>2281</v>
      </c>
      <c r="H57" s="3373"/>
      <c r="I57" s="1556" t="s">
        <v>1722</v>
      </c>
      <c r="J57" s="1556">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3350</v>
      </c>
      <c r="C58" s="635">
        <v>1</v>
      </c>
      <c r="D58" s="2229">
        <v>1</v>
      </c>
      <c r="E58" s="635">
        <f>'数据-汇总表'!E8+'数据-汇总表'!E9</f>
        <v>33168.99</v>
      </c>
      <c r="F58" s="636">
        <f t="shared" ref="F58:F67" si="15">ROUND(B58*E58/10000,0)</f>
        <v>11112</v>
      </c>
      <c r="G58" s="3374"/>
      <c r="H58" s="3375"/>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76"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76"/>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76"/>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76"/>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33168.99</v>
      </c>
      <c r="F68" s="644">
        <f>IF(B48="楼面地价",SUM(F58:F67),ROUND(C50*E68/10000,0))</f>
        <v>11112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2644</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2770"/>
      <c r="N73" s="277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2643</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2545</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68" t="str">
        <f t="shared" si="25"/>
        <v>35000(含)-40000</v>
      </c>
      <c r="K118" s="3068" t="str">
        <f t="shared" si="25"/>
        <v>40000(含)-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v>25000</v>
      </c>
      <c r="I119" s="730">
        <v>30000</v>
      </c>
      <c r="J119" s="730">
        <v>35000</v>
      </c>
      <c r="K119" s="730">
        <v>40000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20223</v>
      </c>
      <c r="C2" s="2105"/>
      <c r="D2" s="2105"/>
      <c r="E2" s="2105"/>
      <c r="F2" s="2105"/>
      <c r="G2" s="2105"/>
      <c r="H2" s="2105"/>
      <c r="I2" s="2105"/>
      <c r="J2" s="2105"/>
      <c r="K2" s="2105"/>
    </row>
    <row r="3" spans="1:31" s="2042" customFormat="1" ht="18" customHeight="1">
      <c r="A3" s="2107" t="s">
        <v>1684</v>
      </c>
      <c r="B3" s="2108">
        <f ca="1">ROUND(B2*10000/IF(B1="",'数据-汇总表'!E3,INDIRECT("'数据-取费表'!K"&amp;$K$1)),0)</f>
        <v>6079</v>
      </c>
      <c r="C3" s="2105"/>
      <c r="D3" s="2105"/>
      <c r="E3" s="2105"/>
      <c r="F3" s="2105"/>
      <c r="G3" s="2105"/>
      <c r="H3" s="2105"/>
      <c r="I3" s="2105"/>
      <c r="J3" s="2105"/>
      <c r="K3" s="2105"/>
    </row>
    <row r="4" spans="1:31" s="2042" customFormat="1" ht="18" customHeight="1">
      <c r="A4" s="426" t="s">
        <v>468</v>
      </c>
      <c r="B4" s="427">
        <f ca="1">ROUND(B2*10000/IF(B1="",'数据-汇总表'!D3,INDIRECT("'数据-取费表'!R"&amp;$K$1)),0)</f>
        <v>14589</v>
      </c>
      <c r="C4" s="428"/>
      <c r="D4" s="422"/>
      <c r="E4" s="422"/>
      <c r="F4" s="422"/>
      <c r="G4" s="422"/>
      <c r="H4" s="422"/>
      <c r="I4" s="422"/>
      <c r="J4" s="422"/>
      <c r="K4" s="422"/>
    </row>
    <row r="5" spans="1:31" s="2042" customFormat="1" ht="18" customHeight="1" thickBot="1">
      <c r="A5" s="429"/>
      <c r="B5" s="430">
        <f ca="1">ROUND(B2/(IF(B1="",'数据-汇总表'!D3,INDIRECT("'数据-取费表'!R"&amp;$K$1))/666.67),0)</f>
        <v>973</v>
      </c>
      <c r="C5" s="431" t="s">
        <v>469</v>
      </c>
      <c r="D5" s="422"/>
      <c r="E5" s="422"/>
      <c r="F5" s="422"/>
      <c r="G5" s="422"/>
      <c r="H5" s="422"/>
      <c r="I5" s="422"/>
      <c r="J5" s="422"/>
      <c r="K5" s="422"/>
    </row>
    <row r="6" spans="1:31" s="2112" customFormat="1" ht="16.5" customHeight="1">
      <c r="A6" s="2806" t="s">
        <v>1842</v>
      </c>
      <c r="B6" s="2807"/>
      <c r="C6" s="2808">
        <f ca="1">SUM(C10:K10)</f>
        <v>37657</v>
      </c>
      <c r="D6" s="2807"/>
      <c r="E6" s="2807"/>
      <c r="F6" s="2807"/>
      <c r="G6" s="2807"/>
      <c r="H6" s="2807"/>
      <c r="I6" s="2807"/>
      <c r="J6" s="2807"/>
      <c r="K6" s="2809"/>
    </row>
    <row r="7" spans="1:31" s="2114" customFormat="1" ht="15">
      <c r="A7" s="2810" t="s">
        <v>470</v>
      </c>
      <c r="B7" s="2811"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12">
        <f ca="1">不动产收益法!B3</f>
        <v>11353</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33168.99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1847</v>
      </c>
      <c r="B10" s="2800" t="s">
        <v>474</v>
      </c>
      <c r="C10" s="3004">
        <f ca="1">不动产收益法!B2</f>
        <v>37657</v>
      </c>
      <c r="D10" s="3004"/>
      <c r="E10" s="3004"/>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1843</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1848</v>
      </c>
      <c r="B13" s="2821" t="s">
        <v>479</v>
      </c>
      <c r="C13" s="450">
        <f ca="1">IF(B1="",'数据-取费表'!P16,INDIRECT("'数据-取费表'!p"&amp;$K$1)+INDIRECT("'数据-取费表'!t"&amp;$K$1))</f>
        <v>9315</v>
      </c>
      <c r="D13" s="2822"/>
      <c r="E13" s="2823"/>
      <c r="F13" s="2824"/>
      <c r="G13" s="2790"/>
      <c r="H13" s="2791"/>
      <c r="I13" s="2791"/>
      <c r="J13" s="2791"/>
      <c r="K13" s="2792"/>
    </row>
    <row r="14" spans="1:31" s="2117" customFormat="1" ht="13.5" customHeight="1">
      <c r="A14" s="2820" t="s">
        <v>1849</v>
      </c>
      <c r="B14" s="2821" t="s">
        <v>480</v>
      </c>
      <c r="C14" s="53">
        <f ca="1">ROUND(C13*F14,0)</f>
        <v>279</v>
      </c>
      <c r="D14" s="2822"/>
      <c r="E14" s="2823"/>
      <c r="F14" s="2825">
        <f>'数据-取费表'!B33</f>
        <v>0.03</v>
      </c>
      <c r="G14" s="2790" t="s">
        <v>481</v>
      </c>
      <c r="H14" s="2791"/>
      <c r="I14" s="2791"/>
      <c r="J14" s="2791"/>
      <c r="K14" s="2792"/>
    </row>
    <row r="15" spans="1:31" s="2117"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row>
    <row r="16" spans="1:31" s="2118" customFormat="1" ht="13.5" customHeight="1">
      <c r="A16" s="2820" t="s">
        <v>1851</v>
      </c>
      <c r="B16" s="2821" t="s">
        <v>484</v>
      </c>
      <c r="C16" s="53">
        <f ca="1">ROUND(D16*E16/10000,0)</f>
        <v>665</v>
      </c>
      <c r="D16" s="2822">
        <f ca="1">IF(B1="",'数据-汇总表'!E3,INDIRECT("'数据-取费表'!K"&amp;$K$1)+INDIRECT("'数据-取费表'!S"&amp;$K$1))</f>
        <v>33268.799999999996</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1852</v>
      </c>
      <c r="B17" s="2821" t="s">
        <v>485</v>
      </c>
      <c r="C17" s="2826">
        <f ca="1">ROUND(C13*F17,0)</f>
        <v>140</v>
      </c>
      <c r="D17" s="475"/>
      <c r="E17" s="2826"/>
      <c r="F17" s="2827">
        <f>'数据-取费表'!B36</f>
        <v>1.4999999999999999E-2</v>
      </c>
      <c r="G17" s="261" t="s">
        <v>486</v>
      </c>
      <c r="H17" s="2793"/>
      <c r="I17" s="2793"/>
      <c r="J17" s="2793"/>
      <c r="K17" s="279"/>
    </row>
    <row r="18" spans="1:14" s="2117" customFormat="1" ht="13.5" customHeight="1">
      <c r="A18" s="2828" t="s">
        <v>1853</v>
      </c>
      <c r="B18" s="2829" t="s">
        <v>487</v>
      </c>
      <c r="C18" s="2830">
        <f ca="1">SUM(C13:C17)</f>
        <v>10399</v>
      </c>
      <c r="D18" s="2831"/>
      <c r="E18" s="468"/>
      <c r="F18" s="468"/>
      <c r="G18" s="2794" t="s">
        <v>2427</v>
      </c>
      <c r="H18" s="2795"/>
      <c r="I18" s="2795"/>
      <c r="J18" s="2795"/>
      <c r="K18" s="2796"/>
    </row>
    <row r="19" spans="1:14" s="2117" customFormat="1" ht="13.5" customHeight="1">
      <c r="A19" s="2828" t="s">
        <v>1854</v>
      </c>
      <c r="B19" s="2829" t="s">
        <v>488</v>
      </c>
      <c r="C19" s="2786">
        <f ca="1">ROUND(D19*E19/10000,0)</f>
        <v>0</v>
      </c>
      <c r="D19" s="2832">
        <f ca="1">D16</f>
        <v>33268.799999999996</v>
      </c>
      <c r="E19" s="2786">
        <f>'数据-取费表'!B32</f>
        <v>0</v>
      </c>
      <c r="F19" s="468"/>
      <c r="G19" s="2790" t="s">
        <v>489</v>
      </c>
      <c r="H19" s="2791"/>
      <c r="I19" s="2795"/>
      <c r="J19" s="2795"/>
      <c r="K19" s="2796"/>
    </row>
    <row r="20" spans="1:14" s="2117" customFormat="1" ht="13.5" customHeight="1">
      <c r="A20" s="2828" t="s">
        <v>1855</v>
      </c>
      <c r="B20" s="2829" t="s">
        <v>490</v>
      </c>
      <c r="C20" s="2786">
        <f ca="1">C21+C22-IF(B1="",'数据-取费表'!B29,IF(G20="已全部缴纳",C21+C22,H20))</f>
        <v>186</v>
      </c>
      <c r="D20" s="2832"/>
      <c r="E20" s="2786"/>
      <c r="F20" s="2833"/>
      <c r="G20" s="3064"/>
      <c r="H20" s="2788"/>
      <c r="I20" s="2789" t="s">
        <v>2648</v>
      </c>
      <c r="J20" s="2795"/>
      <c r="K20" s="2796"/>
    </row>
    <row r="21" spans="1:14" s="2117" customFormat="1" ht="13.5" customHeight="1">
      <c r="A21" s="2820" t="s">
        <v>1856</v>
      </c>
      <c r="B21" s="2821" t="s">
        <v>491</v>
      </c>
      <c r="C21" s="53">
        <f ca="1">ROUND(D21*E21/10000,0)</f>
        <v>0</v>
      </c>
      <c r="D21" s="2822">
        <f ca="1">IF(B1="",'数据-汇总表'!E5,IF(INDIRECT("'数据-取费表'!c"&amp;$K$1)="住宅",INDIRECT("'数据-取费表'!k"&amp;$K$1),0))</f>
        <v>0</v>
      </c>
      <c r="E21" s="53">
        <f>'数据-取费表'!B27</f>
        <v>30</v>
      </c>
      <c r="F21" s="2825"/>
      <c r="G21" s="26"/>
      <c r="H21" s="51"/>
      <c r="I21" s="51"/>
      <c r="J21" s="51"/>
      <c r="K21" s="2797"/>
    </row>
    <row r="22" spans="1:14" s="2117" customFormat="1" ht="13.5" customHeight="1">
      <c r="A22" s="2820" t="s">
        <v>1857</v>
      </c>
      <c r="B22" s="2821" t="s">
        <v>492</v>
      </c>
      <c r="C22" s="53">
        <f ca="1">ROUND(D22*E22/10000,0)</f>
        <v>186</v>
      </c>
      <c r="D22" s="2822">
        <f ca="1">IF(B1="",'数据-汇总表'!E6,IF(INDIRECT("'数据-取费表'!c"&amp;$K$1)="住宅",INDIRECT("'数据-取费表'!s"&amp;$K$1),INDIRECT("'数据-取费表'!k"&amp;$K$1)+INDIRECT("'数据-取费表'!s"&amp;$K$1)))</f>
        <v>33268.799999999996</v>
      </c>
      <c r="E22" s="53">
        <f>'数据-取费表'!B28</f>
        <v>56</v>
      </c>
      <c r="F22" s="2825"/>
      <c r="G22" s="26"/>
      <c r="H22" s="51"/>
      <c r="I22" s="51"/>
      <c r="J22" s="51"/>
      <c r="K22" s="2797"/>
    </row>
    <row r="23" spans="1:14" s="2117" customFormat="1" ht="13.5" customHeight="1">
      <c r="A23" s="2828" t="s">
        <v>1858</v>
      </c>
      <c r="B23" s="3010" t="s">
        <v>2830</v>
      </c>
      <c r="C23" s="2830">
        <f ca="1">ROUND((C18+C19+C20)*F23,0)</f>
        <v>212</v>
      </c>
      <c r="D23" s="468"/>
      <c r="E23" s="468"/>
      <c r="F23" s="2834">
        <f>'数据-取费表'!B37</f>
        <v>0.02</v>
      </c>
      <c r="G23" s="2790" t="s">
        <v>2428</v>
      </c>
      <c r="H23" s="2791"/>
      <c r="I23" s="2791"/>
      <c r="J23" s="2791"/>
      <c r="K23" s="2792"/>
      <c r="L23" s="2119"/>
      <c r="M23" s="2119"/>
      <c r="N23" s="2119"/>
    </row>
    <row r="24" spans="1:14" s="2117" customFormat="1" ht="13.5" customHeight="1">
      <c r="A24" s="2828" t="s">
        <v>1859</v>
      </c>
      <c r="B24" s="3010" t="s">
        <v>2833</v>
      </c>
      <c r="C24" s="2830">
        <f ca="1">ROUND(C6*F24,0)</f>
        <v>565</v>
      </c>
      <c r="D24" s="475"/>
      <c r="E24" s="473"/>
      <c r="F24" s="2834">
        <f>'数据-取费表'!B38</f>
        <v>1.4999999999999999E-2</v>
      </c>
      <c r="G24" s="2799" t="s">
        <v>499</v>
      </c>
      <c r="H24" s="2793"/>
      <c r="I24" s="2793"/>
      <c r="J24" s="2793"/>
      <c r="K24" s="279"/>
      <c r="L24" s="2119"/>
      <c r="M24" s="2119"/>
      <c r="N24" s="2119"/>
    </row>
    <row r="25" spans="1:14" s="2120" customFormat="1" ht="13.5" customHeight="1">
      <c r="A25" s="2828" t="s">
        <v>1860</v>
      </c>
      <c r="B25" s="3010" t="s">
        <v>2831</v>
      </c>
      <c r="C25" s="467">
        <f>ROUND(F25/(1+'数据-取费表'!C42),4)</f>
        <v>2.9000000000000001E-2</v>
      </c>
      <c r="D25" s="462" t="s">
        <v>2825</v>
      </c>
      <c r="E25" s="469"/>
      <c r="F25" s="2834">
        <f>'数据-取费表'!B48+'数据-取费表'!B49</f>
        <v>3.0499999999999999E-2</v>
      </c>
      <c r="G25" s="2798" t="s">
        <v>2289</v>
      </c>
      <c r="H25" s="2791"/>
      <c r="I25" s="2791"/>
      <c r="J25" s="2791"/>
      <c r="K25" s="2792"/>
    </row>
    <row r="26" spans="1:14" s="2119" customFormat="1" ht="13.5" customHeight="1">
      <c r="A26" s="2828" t="s">
        <v>1861</v>
      </c>
      <c r="B26" s="3011" t="s">
        <v>2832</v>
      </c>
      <c r="C26" s="2835">
        <f ca="1">C28</f>
        <v>402</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1856</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1857</v>
      </c>
      <c r="B28" s="2836" t="s">
        <v>2834</v>
      </c>
      <c r="C28" s="2838">
        <f ca="1">ROUND(IF('数据-取费表'!B22&lt;=1,(C18+C19+C20+C23+C24)*F26*'数据-取费表'!B24/2,(C18+C19+C20+C23+C24)*(POWER((1+F26),'数据-取费表'!B24/2)-1)),0)</f>
        <v>402</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1862</v>
      </c>
      <c r="B29" s="2829" t="s">
        <v>497</v>
      </c>
      <c r="C29" s="2830">
        <f ca="1">ROUND(C6*F29/(1+'数据-取费表'!C42),0)</f>
        <v>1973</v>
      </c>
      <c r="D29" s="468"/>
      <c r="E29" s="468"/>
      <c r="F29" s="3012">
        <f>'数据-取费表'!B41</f>
        <v>5.5000000000000007E-2</v>
      </c>
      <c r="G29" s="2799" t="s">
        <v>498</v>
      </c>
      <c r="H29" s="2791"/>
      <c r="I29" s="2791"/>
      <c r="J29" s="2791"/>
      <c r="K29" s="2792"/>
    </row>
    <row r="30" spans="1:14" s="2122" customFormat="1" ht="13.5" customHeight="1">
      <c r="A30" s="1636" t="s">
        <v>1863</v>
      </c>
      <c r="B30" s="2840" t="s">
        <v>500</v>
      </c>
      <c r="C30" s="2835">
        <f ca="1">C31</f>
        <v>13737</v>
      </c>
      <c r="D30" s="477">
        <f ca="1">C32</f>
        <v>0.1032</v>
      </c>
      <c r="E30" s="469" t="s">
        <v>495</v>
      </c>
      <c r="F30" s="471"/>
      <c r="G30" s="2798" t="s">
        <v>2971</v>
      </c>
      <c r="H30" s="2791"/>
      <c r="I30" s="2791"/>
      <c r="J30" s="2791"/>
      <c r="K30" s="2792"/>
    </row>
    <row r="31" spans="1:14" s="2121" customFormat="1" ht="13.5" customHeight="1">
      <c r="A31" s="803" t="s">
        <v>1856</v>
      </c>
      <c r="B31" s="2836"/>
      <c r="C31" s="450">
        <f ca="1">C18+C19+C20+C23+C24+C26+C29</f>
        <v>13737</v>
      </c>
      <c r="D31" s="472"/>
      <c r="E31" s="473"/>
      <c r="F31" s="474"/>
      <c r="G31" s="261"/>
      <c r="H31" s="2793"/>
      <c r="I31" s="2793"/>
      <c r="J31" s="2793"/>
      <c r="K31" s="279"/>
    </row>
    <row r="32" spans="1:14" s="2121" customFormat="1" ht="13.5" customHeight="1">
      <c r="A32" s="803" t="s">
        <v>1857</v>
      </c>
      <c r="B32" s="2836"/>
      <c r="C32" s="53">
        <f ca="1">ROUND(C25+D26,4)</f>
        <v>0.1032</v>
      </c>
      <c r="D32" s="472"/>
      <c r="E32" s="473"/>
      <c r="F32" s="474"/>
      <c r="G32" s="261"/>
      <c r="H32" s="2793"/>
      <c r="I32" s="2793"/>
      <c r="J32" s="2793"/>
      <c r="K32" s="279"/>
    </row>
    <row r="33" spans="1:11" s="2123" customFormat="1" ht="13.5" customHeight="1">
      <c r="A33" s="3009" t="s">
        <v>2829</v>
      </c>
      <c r="B33" s="3007" t="s">
        <v>2827</v>
      </c>
      <c r="C33" s="478">
        <f ca="1">C35</f>
        <v>568</v>
      </c>
      <c r="D33" s="467">
        <f ca="1">C34</f>
        <v>5.1499999999999997E-2</v>
      </c>
      <c r="E33" s="469" t="s">
        <v>495</v>
      </c>
      <c r="F33" s="479">
        <f ca="1">IF(B1="",'数据-取费表'!Q16,INDIRECT("'数据-取费表'!q"&amp;$K$1))</f>
        <v>0.05</v>
      </c>
      <c r="G33" s="2794"/>
      <c r="H33" s="2795"/>
      <c r="I33" s="2795"/>
      <c r="J33" s="2795"/>
      <c r="K33" s="2796"/>
    </row>
    <row r="34" spans="1:11" s="2124" customFormat="1" ht="13.5" customHeight="1">
      <c r="A34" s="375" t="s">
        <v>1856</v>
      </c>
      <c r="B34" s="2841" t="s">
        <v>501</v>
      </c>
      <c r="C34" s="472">
        <f ca="1">ROUND((1+C25)*F33,4)</f>
        <v>5.1499999999999997E-2</v>
      </c>
      <c r="D34" s="472"/>
      <c r="E34" s="473"/>
      <c r="F34" s="480"/>
      <c r="G34" s="261" t="s">
        <v>2290</v>
      </c>
      <c r="H34" s="2793"/>
      <c r="I34" s="2793"/>
      <c r="J34" s="2793"/>
      <c r="K34" s="279"/>
    </row>
    <row r="35" spans="1:11" s="2124" customFormat="1" ht="13.5" customHeight="1" thickBot="1">
      <c r="A35" s="1637" t="s">
        <v>1857</v>
      </c>
      <c r="B35" s="3008" t="s">
        <v>2835</v>
      </c>
      <c r="C35" s="1629">
        <f ca="1">ROUND((C18+C19+C20+C23+C24)*F33,0)</f>
        <v>568</v>
      </c>
      <c r="D35" s="1630"/>
      <c r="E35" s="2842"/>
      <c r="F35" s="1631"/>
      <c r="G35" s="2800"/>
      <c r="H35" s="2801"/>
      <c r="I35" s="2801"/>
      <c r="J35" s="2801"/>
      <c r="K35" s="2802"/>
    </row>
    <row r="36" spans="1:11" s="2086" customFormat="1" ht="13.5" customHeight="1" thickBot="1">
      <c r="A36" s="284" t="s">
        <v>1844</v>
      </c>
      <c r="B36" s="2804"/>
      <c r="C36" s="2843">
        <f ca="1">ROUND((C6-C30-C33)/(1+D30+D33),0)</f>
        <v>20223</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78" t="str">
        <f>项目基本情况!B1</f>
        <v>出让国有建设用地使用权市场价格预评估</v>
      </c>
      <c r="C37" s="3178"/>
      <c r="D37" s="3178"/>
      <c r="E37" s="3178"/>
      <c r="F37" s="3178"/>
      <c r="G37" s="3178"/>
      <c r="H37" s="3178"/>
      <c r="I37" s="3178"/>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王鹏、郑燚</v>
      </c>
    </row>
    <row r="47" spans="1:9">
      <c r="A47" s="1655"/>
      <c r="B47" s="1655"/>
    </row>
    <row r="48" spans="1:9">
      <c r="A48" s="1655" t="s">
        <v>1901</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2649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9315</v>
      </c>
      <c r="D13" s="451"/>
      <c r="E13" s="365"/>
      <c r="F13" s="452"/>
      <c r="G13" s="444"/>
      <c r="H13" s="447"/>
      <c r="I13" s="447"/>
      <c r="J13" s="447"/>
      <c r="K13" s="448"/>
    </row>
    <row r="14" spans="1:41" s="2117" customFormat="1" ht="13.5" customHeight="1">
      <c r="A14" s="1634" t="s">
        <v>1849</v>
      </c>
      <c r="B14" s="449" t="s">
        <v>480</v>
      </c>
      <c r="C14" s="53">
        <f ca="1">ROUND(C13*F14,0)</f>
        <v>279</v>
      </c>
      <c r="D14" s="451"/>
      <c r="E14" s="365"/>
      <c r="F14" s="453">
        <f>'数据-取费表'!B33</f>
        <v>0.03</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1851</v>
      </c>
      <c r="B16" s="449" t="s">
        <v>484</v>
      </c>
      <c r="C16" s="53">
        <f ca="1">ROUND(D16*E16/10000,0)</f>
        <v>665</v>
      </c>
      <c r="D16" s="451">
        <f ca="1">IF(B1="",'数据-汇总表'!E3,INDIRECT("'数据-取费表'!K"&amp;$K$1)+INDIRECT("'数据-取费表'!S"&amp;$K$1))</f>
        <v>33268.799999999996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140</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10399</v>
      </c>
      <c r="D18" s="461"/>
      <c r="E18" s="462"/>
      <c r="F18" s="462"/>
      <c r="G18" s="1327" t="s">
        <v>2429</v>
      </c>
      <c r="H18" s="447"/>
      <c r="I18" s="447"/>
      <c r="J18" s="447"/>
      <c r="K18" s="448"/>
    </row>
    <row r="19" spans="1:14" s="2120" customFormat="1" ht="13.5" customHeight="1">
      <c r="A19" s="1635" t="s">
        <v>1854</v>
      </c>
      <c r="B19" s="459" t="s">
        <v>493</v>
      </c>
      <c r="C19" s="460">
        <f ca="1">ROUND(C18*F19,0)</f>
        <v>208</v>
      </c>
      <c r="D19" s="462"/>
      <c r="E19" s="462"/>
      <c r="F19" s="466">
        <f>'数据-取费表'!B37</f>
        <v>0.02</v>
      </c>
      <c r="G19" s="444" t="s">
        <v>503</v>
      </c>
      <c r="H19" s="447"/>
      <c r="I19" s="447"/>
      <c r="J19" s="447"/>
      <c r="K19" s="448"/>
      <c r="L19" s="2122"/>
      <c r="M19" s="2122"/>
      <c r="N19" s="2122"/>
    </row>
    <row r="20" spans="1:14" s="2120" customFormat="1" ht="13.5" customHeight="1">
      <c r="A20" s="1635" t="s">
        <v>1855</v>
      </c>
      <c r="B20" s="459" t="s">
        <v>504</v>
      </c>
      <c r="C20" s="3005">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5" t="s">
        <v>1858</v>
      </c>
      <c r="B21" s="461" t="s">
        <v>494</v>
      </c>
      <c r="C21" s="470">
        <f ca="1">C22</f>
        <v>376</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2451</v>
      </c>
    </row>
    <row r="22" spans="1:14" s="2121" customFormat="1" ht="13.5" customHeight="1">
      <c r="A22" s="1634" t="s">
        <v>1848</v>
      </c>
      <c r="B22" s="1328" t="s">
        <v>2432</v>
      </c>
      <c r="C22" s="487">
        <f ca="1">ROUND(IF('数据-取费表'!B22&lt;=1,(C18+C19)*F21*'数据-取费表'!B20/2,(C18+C19)*(POWER((1+F21),'数据-取费表'!B20/2)-1)),0)</f>
        <v>376</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5.0000000000000001E-4</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07" t="s">
        <v>2828</v>
      </c>
      <c r="C24" s="478">
        <f ca="1">C25</f>
        <v>530</v>
      </c>
      <c r="D24" s="489">
        <f ca="1">C26</f>
        <v>8.0000000000000004E-4</v>
      </c>
      <c r="E24" s="469" t="s">
        <v>507</v>
      </c>
      <c r="F24" s="479">
        <f ca="1">IF(B1="",'数据-取费表'!Q16,INDIRECT("'数据-取费表'!q"&amp;$K$1))</f>
        <v>0.05</v>
      </c>
      <c r="G24" s="444"/>
      <c r="H24" s="447"/>
      <c r="I24" s="447"/>
      <c r="J24" s="447"/>
      <c r="K24" s="448"/>
    </row>
    <row r="25" spans="1:14" s="2121" customFormat="1" ht="13.5" customHeight="1">
      <c r="A25" s="1634" t="s">
        <v>1848</v>
      </c>
      <c r="B25" s="1328" t="s">
        <v>2433</v>
      </c>
      <c r="C25" s="490">
        <f ca="1">ROUND((C18+C19)*F24,0)</f>
        <v>530</v>
      </c>
      <c r="D25" s="472"/>
      <c r="E25" s="473"/>
      <c r="F25" s="480"/>
      <c r="G25" s="1326" t="s">
        <v>2430</v>
      </c>
      <c r="H25" s="457"/>
      <c r="I25" s="457"/>
      <c r="J25" s="457"/>
      <c r="K25" s="458"/>
    </row>
    <row r="26" spans="1:14" s="2121" customFormat="1" ht="13.5" customHeight="1">
      <c r="A26" s="1634" t="s">
        <v>1849</v>
      </c>
      <c r="B26" s="1328" t="s">
        <v>509</v>
      </c>
      <c r="C26" s="491">
        <f ca="1">ROUND(F20*F24,4)</f>
        <v>8.0000000000000004E-4</v>
      </c>
      <c r="D26" s="472"/>
      <c r="E26" s="481"/>
      <c r="F26" s="480"/>
      <c r="G26" s="1326" t="s">
        <v>510</v>
      </c>
      <c r="H26" s="457"/>
      <c r="I26" s="457"/>
      <c r="J26" s="457"/>
      <c r="K26" s="458"/>
    </row>
    <row r="27" spans="1:14" s="2121" customFormat="1" ht="13.5" customHeight="1">
      <c r="A27" s="1638" t="s">
        <v>1867</v>
      </c>
      <c r="B27" s="459" t="s">
        <v>511</v>
      </c>
      <c r="C27" s="3006">
        <f>ROUND(F27/(1+'数据-取费表'!C42),4)</f>
        <v>5.2400000000000002E-2</v>
      </c>
      <c r="D27" s="462" t="s">
        <v>2826</v>
      </c>
      <c r="E27" s="462"/>
      <c r="F27" s="466">
        <f>'数据-取费表'!B41</f>
        <v>5.5000000000000007E-2</v>
      </c>
      <c r="G27" s="1961" t="s">
        <v>2291</v>
      </c>
      <c r="H27" s="447"/>
      <c r="I27" s="447"/>
      <c r="J27" s="447"/>
      <c r="K27" s="448"/>
    </row>
    <row r="28" spans="1:14" s="2122" customFormat="1" ht="13.5" customHeight="1">
      <c r="A28" s="1638" t="s">
        <v>1868</v>
      </c>
      <c r="B28" s="476" t="s">
        <v>512</v>
      </c>
      <c r="C28" s="470">
        <f ca="1">ROUND((C18+C19+C21+C24)/(1-C20-D21-D24-C27),0)</f>
        <v>12362</v>
      </c>
      <c r="D28" s="477"/>
      <c r="E28" s="469"/>
      <c r="F28" s="471"/>
      <c r="G28" s="1327" t="s">
        <v>2431</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2" t="s">
        <v>522</v>
      </c>
      <c r="D6" s="3353"/>
      <c r="E6" s="3386" t="s">
        <v>523</v>
      </c>
      <c r="F6" s="3387"/>
      <c r="G6" s="3352" t="s">
        <v>524</v>
      </c>
      <c r="H6" s="3353"/>
      <c r="I6" s="3352" t="s">
        <v>525</v>
      </c>
      <c r="J6" s="3353"/>
      <c r="K6" s="514" t="s">
        <v>526</v>
      </c>
      <c r="L6" s="2134"/>
      <c r="M6" s="2135"/>
      <c r="N6" s="2135"/>
      <c r="O6" s="2135"/>
      <c r="P6" s="3354" t="s">
        <v>527</v>
      </c>
      <c r="Q6" s="3355"/>
      <c r="R6" s="3360" t="s">
        <v>523</v>
      </c>
      <c r="S6" s="3361"/>
      <c r="T6" s="3360" t="s">
        <v>524</v>
      </c>
      <c r="U6" s="3361"/>
      <c r="V6" s="3347" t="s">
        <v>525</v>
      </c>
      <c r="W6" s="3347"/>
      <c r="X6" s="1568"/>
      <c r="Y6" s="3360" t="s">
        <v>527</v>
      </c>
      <c r="Z6" s="3361"/>
      <c r="AA6" s="3349" t="s">
        <v>523</v>
      </c>
      <c r="AB6" s="3350" t="s">
        <v>524</v>
      </c>
      <c r="AC6" s="3349" t="s">
        <v>525</v>
      </c>
    </row>
    <row r="7" spans="1:29" ht="15">
      <c r="A7" s="515"/>
      <c r="B7" s="516"/>
      <c r="C7" s="3368" t="s">
        <v>2926</v>
      </c>
      <c r="D7" s="3369"/>
      <c r="E7" s="3388" t="s">
        <v>2927</v>
      </c>
      <c r="F7" s="3389"/>
      <c r="G7" s="3368" t="s">
        <v>2928</v>
      </c>
      <c r="H7" s="3369"/>
      <c r="I7" s="3368" t="s">
        <v>2929</v>
      </c>
      <c r="J7" s="3369"/>
      <c r="K7" s="514"/>
      <c r="L7" s="2134"/>
      <c r="M7" s="2135"/>
      <c r="N7" s="2135"/>
      <c r="O7" s="2135"/>
      <c r="P7" s="3356"/>
      <c r="Q7" s="3357"/>
      <c r="R7" s="3362"/>
      <c r="S7" s="3363"/>
      <c r="T7" s="3362"/>
      <c r="U7" s="3363"/>
      <c r="V7" s="3347"/>
      <c r="W7" s="3347"/>
      <c r="X7" s="1568"/>
      <c r="Y7" s="3362"/>
      <c r="Z7" s="3363"/>
      <c r="AA7" s="3350"/>
      <c r="AB7" s="3350"/>
      <c r="AC7" s="3350"/>
    </row>
    <row r="8" spans="1:29" ht="15.75" thickBot="1">
      <c r="A8" s="517"/>
      <c r="B8" s="518"/>
      <c r="C8" s="3366" t="s">
        <v>2930</v>
      </c>
      <c r="D8" s="3367"/>
      <c r="E8" s="3384" t="s">
        <v>2930</v>
      </c>
      <c r="F8" s="3385"/>
      <c r="G8" s="3366" t="s">
        <v>2930</v>
      </c>
      <c r="H8" s="3367"/>
      <c r="I8" s="3366" t="s">
        <v>2930</v>
      </c>
      <c r="J8" s="3367"/>
      <c r="K8" s="514" t="s">
        <v>528</v>
      </c>
      <c r="L8" s="2134"/>
      <c r="M8" s="2135"/>
      <c r="N8" s="2135"/>
      <c r="O8" s="2135"/>
      <c r="P8" s="3358"/>
      <c r="Q8" s="3359"/>
      <c r="R8" s="3362"/>
      <c r="S8" s="3363"/>
      <c r="T8" s="3364"/>
      <c r="U8" s="3365"/>
      <c r="V8" s="3347"/>
      <c r="W8" s="3347"/>
      <c r="X8" s="1568"/>
      <c r="Y8" s="3364"/>
      <c r="Z8" s="3365"/>
      <c r="AA8" s="3351"/>
      <c r="AB8" s="3351"/>
      <c r="AC8" s="3351"/>
    </row>
    <row r="9" spans="1:29" s="1220" customFormat="1" ht="15.75" thickBot="1">
      <c r="A9" s="2890"/>
      <c r="B9" s="2897" t="s">
        <v>529</v>
      </c>
      <c r="C9" s="519">
        <f>'数据-取费表'!B2</f>
        <v>43486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7" t="s">
        <v>530</v>
      </c>
      <c r="Q9" s="3379"/>
      <c r="R9" s="1569" t="s">
        <v>8</v>
      </c>
      <c r="S9" s="1570">
        <f t="shared" ref="S9:S17" si="0">F9</f>
        <v>0</v>
      </c>
      <c r="T9" s="1569" t="s">
        <v>8</v>
      </c>
      <c r="U9" s="1570">
        <f t="shared" ref="U9:U17" si="1">H9</f>
        <v>0</v>
      </c>
      <c r="V9" s="1569" t="s">
        <v>8</v>
      </c>
      <c r="W9" s="1570">
        <f t="shared" ref="W9:W17" si="2">J9</f>
        <v>0</v>
      </c>
      <c r="X9" s="1571"/>
      <c r="Y9" s="3377" t="s">
        <v>530</v>
      </c>
      <c r="Z9" s="3378"/>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7" t="s">
        <v>533</v>
      </c>
      <c r="Q10" s="3378"/>
      <c r="R10" s="1569" t="s">
        <v>8</v>
      </c>
      <c r="S10" s="1570">
        <f t="shared" si="0"/>
        <v>0</v>
      </c>
      <c r="T10" s="1569" t="s">
        <v>8</v>
      </c>
      <c r="U10" s="1570">
        <f t="shared" si="1"/>
        <v>0</v>
      </c>
      <c r="V10" s="1569" t="s">
        <v>8</v>
      </c>
      <c r="W10" s="1570">
        <f t="shared" si="2"/>
        <v>0</v>
      </c>
      <c r="X10" s="1571"/>
      <c r="Y10" s="3377" t="s">
        <v>533</v>
      </c>
      <c r="Z10" s="3378"/>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6" t="s">
        <v>535</v>
      </c>
      <c r="Q11" s="1151" t="str">
        <f t="shared" ref="Q11:Q17" si="6">B11</f>
        <v>用途</v>
      </c>
      <c r="R11" s="1569" t="s">
        <v>8</v>
      </c>
      <c r="S11" s="1570">
        <f t="shared" si="0"/>
        <v>100</v>
      </c>
      <c r="T11" s="1569" t="s">
        <v>8</v>
      </c>
      <c r="U11" s="1570">
        <f t="shared" si="1"/>
        <v>100</v>
      </c>
      <c r="V11" s="1569" t="s">
        <v>8</v>
      </c>
      <c r="W11" s="1570">
        <f t="shared" si="2"/>
        <v>100</v>
      </c>
      <c r="X11" s="1571"/>
      <c r="Y11" s="3292"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46"/>
      <c r="Q12" s="1151" t="str">
        <f t="shared" si="6"/>
        <v>土地使用年限（年）</v>
      </c>
      <c r="R12" s="1569" t="s">
        <v>8</v>
      </c>
      <c r="S12" s="1570">
        <f t="shared" si="0"/>
        <v>104</v>
      </c>
      <c r="T12" s="1569" t="s">
        <v>8</v>
      </c>
      <c r="U12" s="1570">
        <f t="shared" si="1"/>
        <v>104</v>
      </c>
      <c r="V12" s="1569" t="s">
        <v>8</v>
      </c>
      <c r="W12" s="1570">
        <f t="shared" si="2"/>
        <v>104</v>
      </c>
      <c r="X12" s="1571"/>
      <c r="Y12" s="3292"/>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6"/>
      <c r="Q13" s="1151" t="str">
        <f t="shared" si="6"/>
        <v>容积率</v>
      </c>
      <c r="R13" s="1569" t="s">
        <v>8</v>
      </c>
      <c r="S13" s="1570" t="e">
        <f t="shared" si="0"/>
        <v>#N/A</v>
      </c>
      <c r="T13" s="1569" t="s">
        <v>8</v>
      </c>
      <c r="U13" s="1570" t="e">
        <f t="shared" si="1"/>
        <v>#N/A</v>
      </c>
      <c r="V13" s="1569" t="s">
        <v>8</v>
      </c>
      <c r="W13" s="1570" t="e">
        <f t="shared" si="2"/>
        <v>#N/A</v>
      </c>
      <c r="X13" s="1571"/>
      <c r="Y13" s="3292"/>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6"/>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6"/>
      <c r="Q15" s="1151">
        <f t="shared" si="6"/>
        <v>111</v>
      </c>
      <c r="R15" s="1569" t="s">
        <v>8</v>
      </c>
      <c r="S15" s="1570">
        <f t="shared" si="0"/>
        <v>100</v>
      </c>
      <c r="T15" s="1569" t="s">
        <v>8</v>
      </c>
      <c r="U15" s="1570">
        <f t="shared" si="1"/>
        <v>100</v>
      </c>
      <c r="V15" s="1569" t="s">
        <v>8</v>
      </c>
      <c r="W15" s="1570">
        <f t="shared" si="2"/>
        <v>100</v>
      </c>
      <c r="X15" s="1571"/>
      <c r="Y15" s="3292"/>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6"/>
      <c r="Q16" s="1151">
        <f t="shared" si="6"/>
        <v>111</v>
      </c>
      <c r="R16" s="1569" t="s">
        <v>8</v>
      </c>
      <c r="S16" s="1570">
        <f t="shared" si="0"/>
        <v>100</v>
      </c>
      <c r="T16" s="1569" t="s">
        <v>8</v>
      </c>
      <c r="U16" s="1570">
        <f t="shared" si="1"/>
        <v>100</v>
      </c>
      <c r="V16" s="1569" t="s">
        <v>8</v>
      </c>
      <c r="W16" s="1570">
        <f t="shared" si="2"/>
        <v>100</v>
      </c>
      <c r="X16" s="1571"/>
      <c r="Y16" s="3292"/>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0" t="s">
        <v>540</v>
      </c>
      <c r="Q17" s="1573" t="str">
        <f t="shared" si="6"/>
        <v>产业集聚程度</v>
      </c>
      <c r="R17" s="1574" t="s">
        <v>8</v>
      </c>
      <c r="S17" s="1575">
        <f t="shared" si="0"/>
        <v>100</v>
      </c>
      <c r="T17" s="1574" t="s">
        <v>8</v>
      </c>
      <c r="U17" s="1575">
        <f t="shared" si="1"/>
        <v>100</v>
      </c>
      <c r="V17" s="1574" t="s">
        <v>8</v>
      </c>
      <c r="W17" s="1575">
        <f t="shared" si="2"/>
        <v>100</v>
      </c>
      <c r="X17" s="1568"/>
      <c r="Y17" s="338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1"/>
      <c r="Q18" s="1573"/>
      <c r="R18" s="1574"/>
      <c r="S18" s="1575"/>
      <c r="T18" s="1574"/>
      <c r="U18" s="1575"/>
      <c r="V18" s="1574"/>
      <c r="W18" s="1575"/>
      <c r="X18" s="1568"/>
      <c r="Y18" s="338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1"/>
      <c r="Q19" s="1573" t="str">
        <f>B19</f>
        <v>交通便捷度</v>
      </c>
      <c r="R19" s="1574" t="s">
        <v>8</v>
      </c>
      <c r="S19" s="1575">
        <f>F19</f>
        <v>100</v>
      </c>
      <c r="T19" s="1574" t="s">
        <v>8</v>
      </c>
      <c r="U19" s="1575">
        <f>H19</f>
        <v>100</v>
      </c>
      <c r="V19" s="1574" t="s">
        <v>8</v>
      </c>
      <c r="W19" s="1575">
        <f>J19</f>
        <v>100</v>
      </c>
      <c r="X19" s="1568"/>
      <c r="Y19" s="338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1"/>
      <c r="Q20" s="1573"/>
      <c r="R20" s="1574"/>
      <c r="S20" s="1575"/>
      <c r="T20" s="1574"/>
      <c r="U20" s="1575"/>
      <c r="V20" s="1574"/>
      <c r="W20" s="1575"/>
      <c r="X20" s="1568"/>
      <c r="Y20" s="338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1"/>
      <c r="Q21" s="1573" t="str">
        <f t="shared" ref="Q21:Q35" si="8">B21</f>
        <v>区域土地利用方向</v>
      </c>
      <c r="R21" s="1574" t="s">
        <v>8</v>
      </c>
      <c r="S21" s="1575">
        <f>F21</f>
        <v>100</v>
      </c>
      <c r="T21" s="1574" t="s">
        <v>8</v>
      </c>
      <c r="U21" s="1575">
        <f>H21</f>
        <v>100</v>
      </c>
      <c r="V21" s="1574" t="s">
        <v>8</v>
      </c>
      <c r="W21" s="1575">
        <f>J21</f>
        <v>100</v>
      </c>
      <c r="X21" s="1568"/>
      <c r="Y21" s="338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1"/>
      <c r="Q22" s="1573"/>
      <c r="R22" s="1574"/>
      <c r="S22" s="1575"/>
      <c r="T22" s="1574"/>
      <c r="U22" s="1575"/>
      <c r="V22" s="1574"/>
      <c r="W22" s="1575"/>
      <c r="X22" s="1568"/>
      <c r="Y22" s="338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1"/>
      <c r="Q23" s="1573" t="str">
        <f t="shared" si="8"/>
        <v>环境状况</v>
      </c>
      <c r="R23" s="1574" t="s">
        <v>8</v>
      </c>
      <c r="S23" s="1575">
        <f>F23</f>
        <v>100</v>
      </c>
      <c r="T23" s="1574" t="s">
        <v>8</v>
      </c>
      <c r="U23" s="1575">
        <f>H23</f>
        <v>100</v>
      </c>
      <c r="V23" s="1574" t="s">
        <v>8</v>
      </c>
      <c r="W23" s="1575">
        <f>J23</f>
        <v>100</v>
      </c>
      <c r="X23" s="1568"/>
      <c r="Y23" s="338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1"/>
      <c r="Q24" s="1573"/>
      <c r="R24" s="1574"/>
      <c r="S24" s="1575"/>
      <c r="T24" s="1574"/>
      <c r="U24" s="1575"/>
      <c r="V24" s="1574"/>
      <c r="W24" s="1575"/>
      <c r="X24" s="1568"/>
      <c r="Y24" s="3381"/>
      <c r="Z24" s="1576"/>
      <c r="AA24" s="1577">
        <v>1</v>
      </c>
      <c r="AB24" s="1577">
        <v>1</v>
      </c>
      <c r="AC24" s="1577">
        <v>1</v>
      </c>
    </row>
    <row r="25" spans="1:29" s="1220" customFormat="1" ht="42.75">
      <c r="A25" s="577"/>
      <c r="B25" s="257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1"/>
      <c r="Q25" s="1151" t="str">
        <f t="shared" si="8"/>
        <v>公共配套设施</v>
      </c>
      <c r="R25" s="1569" t="s">
        <v>8</v>
      </c>
      <c r="S25" s="1570">
        <f>F25</f>
        <v>100</v>
      </c>
      <c r="T25" s="1569" t="s">
        <v>8</v>
      </c>
      <c r="U25" s="1570">
        <f>H25</f>
        <v>100</v>
      </c>
      <c r="V25" s="1569" t="s">
        <v>8</v>
      </c>
      <c r="W25" s="1570">
        <f>J25</f>
        <v>100</v>
      </c>
      <c r="X25" s="1571"/>
      <c r="Y25" s="3381"/>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381"/>
      <c r="Q26" s="1151"/>
      <c r="R26" s="1569"/>
      <c r="S26" s="1570"/>
      <c r="T26" s="1569"/>
      <c r="U26" s="1570"/>
      <c r="V26" s="1569"/>
      <c r="W26" s="1570"/>
      <c r="X26" s="1571"/>
      <c r="Y26" s="3381"/>
      <c r="Z26" s="1150"/>
      <c r="AA26" s="1572">
        <v>1</v>
      </c>
      <c r="AB26" s="1572">
        <v>1</v>
      </c>
      <c r="AC26" s="1572">
        <v>1</v>
      </c>
    </row>
    <row r="27" spans="1:29" s="1220" customFormat="1" ht="28.5">
      <c r="A27" s="577"/>
      <c r="B27" s="257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1"/>
      <c r="Q27" s="2557" t="str">
        <f t="shared" ref="Q27" si="9">B27</f>
        <v>基础设施水平</v>
      </c>
      <c r="R27" s="1569" t="s">
        <v>8</v>
      </c>
      <c r="S27" s="1570">
        <f>F27</f>
        <v>100</v>
      </c>
      <c r="T27" s="1569" t="s">
        <v>8</v>
      </c>
      <c r="U27" s="1570">
        <f>H27</f>
        <v>100</v>
      </c>
      <c r="V27" s="1569" t="s">
        <v>8</v>
      </c>
      <c r="W27" s="1570">
        <f>J27</f>
        <v>100</v>
      </c>
      <c r="X27" s="1571"/>
      <c r="Y27" s="3381"/>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381"/>
      <c r="Q28" s="2557"/>
      <c r="R28" s="1569"/>
      <c r="S28" s="1570"/>
      <c r="T28" s="1569"/>
      <c r="U28" s="1570"/>
      <c r="V28" s="1569"/>
      <c r="W28" s="1570"/>
      <c r="X28" s="1571"/>
      <c r="Y28" s="3381"/>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1"/>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1"/>
      <c r="Q30" s="1573" t="str">
        <f t="shared" si="8"/>
        <v>毗邻道路的类型与等级</v>
      </c>
      <c r="R30" s="1574" t="s">
        <v>8</v>
      </c>
      <c r="S30" s="1575">
        <f t="shared" si="10"/>
        <v>100</v>
      </c>
      <c r="T30" s="1574" t="s">
        <v>8</v>
      </c>
      <c r="U30" s="1575">
        <f t="shared" si="11"/>
        <v>100</v>
      </c>
      <c r="V30" s="1574" t="s">
        <v>8</v>
      </c>
      <c r="W30" s="1575">
        <f t="shared" si="12"/>
        <v>100</v>
      </c>
      <c r="X30" s="1568"/>
      <c r="Y30" s="338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1"/>
      <c r="Q31" s="1573"/>
      <c r="R31" s="1574"/>
      <c r="S31" s="1575"/>
      <c r="T31" s="1574"/>
      <c r="U31" s="1575"/>
      <c r="V31" s="1574"/>
      <c r="W31" s="1575"/>
      <c r="X31" s="1568"/>
      <c r="Y31" s="3381"/>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1"/>
      <c r="Q32" s="1573" t="str">
        <f t="shared" si="8"/>
        <v>土地级别</v>
      </c>
      <c r="R32" s="1574" t="s">
        <v>8</v>
      </c>
      <c r="S32" s="1575">
        <f t="shared" si="10"/>
        <v>100</v>
      </c>
      <c r="T32" s="1574" t="s">
        <v>8</v>
      </c>
      <c r="U32" s="1575">
        <f t="shared" si="11"/>
        <v>100</v>
      </c>
      <c r="V32" s="1574" t="s">
        <v>8</v>
      </c>
      <c r="W32" s="1575">
        <f t="shared" si="12"/>
        <v>100</v>
      </c>
      <c r="X32" s="1568"/>
      <c r="Y32" s="338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1"/>
      <c r="Q33" s="1573">
        <f t="shared" si="8"/>
        <v>111</v>
      </c>
      <c r="R33" s="1574" t="s">
        <v>8</v>
      </c>
      <c r="S33" s="1575">
        <f t="shared" si="10"/>
        <v>100</v>
      </c>
      <c r="T33" s="1574" t="s">
        <v>8</v>
      </c>
      <c r="U33" s="1575">
        <f t="shared" si="11"/>
        <v>100</v>
      </c>
      <c r="V33" s="1574" t="s">
        <v>8</v>
      </c>
      <c r="W33" s="1575">
        <f t="shared" si="12"/>
        <v>100</v>
      </c>
      <c r="X33" s="1568"/>
      <c r="Y33" s="338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2" t="s">
        <v>550</v>
      </c>
      <c r="Q34" s="1573">
        <f t="shared" si="8"/>
        <v>111</v>
      </c>
      <c r="R34" s="1574" t="s">
        <v>8</v>
      </c>
      <c r="S34" s="1575">
        <f t="shared" si="10"/>
        <v>100</v>
      </c>
      <c r="T34" s="1574" t="s">
        <v>8</v>
      </c>
      <c r="U34" s="1575">
        <f t="shared" si="11"/>
        <v>100</v>
      </c>
      <c r="V34" s="1574" t="s">
        <v>8</v>
      </c>
      <c r="W34" s="1575">
        <f t="shared" si="12"/>
        <v>100</v>
      </c>
      <c r="X34" s="1568"/>
      <c r="Y34" s="3383"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3"/>
      <c r="Q35" s="1573">
        <f t="shared" si="8"/>
        <v>111</v>
      </c>
      <c r="R35" s="1578" t="s">
        <v>8</v>
      </c>
      <c r="S35" s="1579">
        <f t="shared" si="10"/>
        <v>100</v>
      </c>
      <c r="T35" s="1578" t="s">
        <v>8</v>
      </c>
      <c r="U35" s="1579">
        <f t="shared" si="11"/>
        <v>100</v>
      </c>
      <c r="V35" s="1578" t="s">
        <v>8</v>
      </c>
      <c r="W35" s="1579">
        <f t="shared" si="12"/>
        <v>100</v>
      </c>
      <c r="X35" s="1580"/>
      <c r="Y35" s="3383"/>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3"/>
      <c r="Q36" s="1573" t="str">
        <f>B36</f>
        <v>宗地面积</v>
      </c>
      <c r="R36" s="1574" t="s">
        <v>8</v>
      </c>
      <c r="S36" s="1575" t="e">
        <f t="shared" si="10"/>
        <v>#N/A</v>
      </c>
      <c r="T36" s="1574" t="s">
        <v>8</v>
      </c>
      <c r="U36" s="1575" t="e">
        <f t="shared" si="11"/>
        <v>#N/A</v>
      </c>
      <c r="V36" s="1574" t="s">
        <v>8</v>
      </c>
      <c r="W36" s="1575" t="e">
        <f t="shared" si="12"/>
        <v>#N/A</v>
      </c>
      <c r="X36" s="1568"/>
      <c r="Y36" s="338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3"/>
      <c r="Q37" s="1573" t="str">
        <f t="shared" ref="Q37:Q42" si="14">B37</f>
        <v>宗地形状</v>
      </c>
      <c r="R37" s="1574" t="s">
        <v>8</v>
      </c>
      <c r="S37" s="1575">
        <f t="shared" si="10"/>
        <v>100</v>
      </c>
      <c r="T37" s="1574" t="s">
        <v>8</v>
      </c>
      <c r="U37" s="1575">
        <f t="shared" si="11"/>
        <v>100</v>
      </c>
      <c r="V37" s="1574" t="s">
        <v>8</v>
      </c>
      <c r="W37" s="1575">
        <f t="shared" si="12"/>
        <v>100</v>
      </c>
      <c r="X37" s="1568"/>
      <c r="Y37" s="3383"/>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3"/>
      <c r="Q38" s="1573" t="str">
        <f t="shared" si="14"/>
        <v>宗地开发程度</v>
      </c>
      <c r="R38" s="1569" t="s">
        <v>8</v>
      </c>
      <c r="S38" s="1570">
        <f t="shared" si="10"/>
        <v>100</v>
      </c>
      <c r="T38" s="1569" t="s">
        <v>8</v>
      </c>
      <c r="U38" s="1570">
        <f t="shared" si="11"/>
        <v>100</v>
      </c>
      <c r="V38" s="1569" t="s">
        <v>8</v>
      </c>
      <c r="W38" s="1570">
        <f t="shared" si="12"/>
        <v>100</v>
      </c>
      <c r="X38" s="1571"/>
      <c r="Y38" s="338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3" t="s">
        <v>601</v>
      </c>
      <c r="Q39" s="1573" t="str">
        <f t="shared" si="14"/>
        <v>工程地质条件</v>
      </c>
      <c r="R39" s="1574" t="s">
        <v>8</v>
      </c>
      <c r="S39" s="1575">
        <f t="shared" si="10"/>
        <v>100</v>
      </c>
      <c r="T39" s="1574" t="s">
        <v>8</v>
      </c>
      <c r="U39" s="1575">
        <f t="shared" si="11"/>
        <v>100</v>
      </c>
      <c r="V39" s="1574" t="s">
        <v>8</v>
      </c>
      <c r="W39" s="1575">
        <f t="shared" si="12"/>
        <v>100</v>
      </c>
      <c r="X39" s="1568"/>
      <c r="Y39" s="338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3"/>
      <c r="Q40" s="1573">
        <f t="shared" si="14"/>
        <v>111</v>
      </c>
      <c r="R40" s="1574" t="s">
        <v>8</v>
      </c>
      <c r="S40" s="1575">
        <f t="shared" si="10"/>
        <v>100</v>
      </c>
      <c r="T40" s="1574" t="s">
        <v>8</v>
      </c>
      <c r="U40" s="1575">
        <f t="shared" si="11"/>
        <v>100</v>
      </c>
      <c r="V40" s="1574" t="s">
        <v>8</v>
      </c>
      <c r="W40" s="1575">
        <f t="shared" si="12"/>
        <v>100</v>
      </c>
      <c r="X40" s="1568"/>
      <c r="Y40" s="338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3"/>
      <c r="Q41" s="1573">
        <f t="shared" si="14"/>
        <v>111</v>
      </c>
      <c r="R41" s="1574" t="s">
        <v>8</v>
      </c>
      <c r="S41" s="1575">
        <f t="shared" si="10"/>
        <v>100</v>
      </c>
      <c r="T41" s="1574" t="s">
        <v>8</v>
      </c>
      <c r="U41" s="1575">
        <f t="shared" si="11"/>
        <v>100</v>
      </c>
      <c r="V41" s="1574" t="s">
        <v>8</v>
      </c>
      <c r="W41" s="1575">
        <f t="shared" si="12"/>
        <v>100</v>
      </c>
      <c r="X41" s="1568"/>
      <c r="Y41" s="338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3"/>
      <c r="Q42" s="1573">
        <f t="shared" si="14"/>
        <v>111</v>
      </c>
      <c r="R42" s="1578" t="s">
        <v>8</v>
      </c>
      <c r="S42" s="1579">
        <f t="shared" si="10"/>
        <v>100</v>
      </c>
      <c r="T42" s="1578" t="s">
        <v>8</v>
      </c>
      <c r="U42" s="1579">
        <f t="shared" si="11"/>
        <v>100</v>
      </c>
      <c r="V42" s="1578" t="s">
        <v>8</v>
      </c>
      <c r="W42" s="1579">
        <f t="shared" si="12"/>
        <v>100</v>
      </c>
      <c r="X42" s="1580"/>
      <c r="Y42" s="3383"/>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5"/>
      <c r="M43" s="2135"/>
      <c r="N43" s="2135"/>
      <c r="O43" s="2146"/>
      <c r="P43" s="3346" t="str">
        <f>A43</f>
        <v>成交单价</v>
      </c>
      <c r="Q43" s="3346"/>
      <c r="R43" s="3347">
        <f>E43</f>
        <v>0</v>
      </c>
      <c r="S43" s="3347"/>
      <c r="T43" s="3347">
        <f>G43</f>
        <v>0</v>
      </c>
      <c r="U43" s="3347"/>
      <c r="V43" s="3347">
        <f>I43</f>
        <v>0</v>
      </c>
      <c r="W43" s="3347"/>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46" t="str">
        <f>A44</f>
        <v>比较价格（元/平方米）</v>
      </c>
      <c r="Q44" s="3346"/>
      <c r="R44" s="3348" t="e">
        <f>ROUND(PRODUCT(R43,AA9:AA42),0)</f>
        <v>#DIV/0!</v>
      </c>
      <c r="S44" s="3348"/>
      <c r="T44" s="3348" t="e">
        <f>ROUND(PRODUCT(T43,AB9:AB42),0)</f>
        <v>#DIV/0!</v>
      </c>
      <c r="U44" s="3348"/>
      <c r="V44" s="3348" t="e">
        <f>ROUND(PRODUCT(V43,AC9:AC42),0)</f>
        <v>#DIV/0!</v>
      </c>
      <c r="W44" s="3348"/>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5"/>
      <c r="M45" s="2135"/>
      <c r="N45" s="2135"/>
      <c r="O45" s="2146"/>
      <c r="P45" s="3343" t="str">
        <f>A45</f>
        <v>估价对象XX用房的比较价格（楼面单价，元/平方米）</v>
      </c>
      <c r="Q45" s="3344"/>
      <c r="R45" s="3345" t="e">
        <f>ROUND(AVERAGE(R44:V44),0)</f>
        <v>#DIV/0!</v>
      </c>
      <c r="S45" s="3345"/>
      <c r="T45" s="3345"/>
      <c r="U45" s="3345"/>
      <c r="V45" s="3345"/>
      <c r="W45" s="334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2293</v>
      </c>
      <c r="E52" s="631" t="s">
        <v>562</v>
      </c>
      <c r="F52" s="1952" t="s">
        <v>563</v>
      </c>
      <c r="G52" s="3390" t="s">
        <v>2284</v>
      </c>
      <c r="H52" s="3391"/>
      <c r="I52" s="1953" t="s">
        <v>1945</v>
      </c>
      <c r="J52" s="1556">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33168.99</v>
      </c>
      <c r="F53" s="1951" t="e">
        <f t="shared" ref="F53:F62" si="15">ROUND(B53*E53/10000,0)</f>
        <v>#DIV/0!</v>
      </c>
      <c r="G53" s="3392"/>
      <c r="H53" s="3393"/>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4"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4"/>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4"/>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4"/>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13862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2545</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2423</v>
      </c>
      <c r="D1" s="1522">
        <f>SUM(D29:D30,D33:D39)</f>
        <v>0</v>
      </c>
      <c r="E1" s="1407" t="s">
        <v>2424</v>
      </c>
      <c r="F1" s="2431"/>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4" t="s">
        <v>2759</v>
      </c>
      <c r="S1" s="2914" t="s">
        <v>2760</v>
      </c>
      <c r="T1" s="2914" t="s">
        <v>2781</v>
      </c>
      <c r="U1" s="2914" t="s">
        <v>2782</v>
      </c>
      <c r="V1" s="2914" t="s">
        <v>2783</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2933</v>
      </c>
      <c r="G3" s="1039">
        <f>IF(F3="宗地容积率",'数据-汇总表'!I4,IF(F3="估价对象容积率",'数据-汇总表'!I6,'数据-汇总表'!I7))</f>
        <v>2.4</v>
      </c>
      <c r="H3" s="1415" t="s">
        <v>928</v>
      </c>
      <c r="I3" s="1040">
        <v>8</v>
      </c>
      <c r="J3" s="1411" t="s">
        <v>929</v>
      </c>
      <c r="K3" s="1402"/>
      <c r="L3" s="1886" t="s">
        <v>2240</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2280</v>
      </c>
      <c r="B4" s="2432"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04" t="str">
        <f>IF(E2="商业",IF(C8="不临58条商业街","",2),"")</f>
        <v/>
      </c>
      <c r="B7" s="1428" t="s">
        <v>931</v>
      </c>
      <c r="C7" s="1043" t="e">
        <f>IF(C8="不临58条商业街",1,ROUND(1+(1.6*E8+1.2*E9+0.8*E10+0.4*E11)*C9,4))</f>
        <v>#DIV/0!</v>
      </c>
      <c r="D7" s="1429" t="s">
        <v>932</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3"/>
      <c r="AB7" s="2193"/>
      <c r="AC7" s="2194"/>
      <c r="AD7" s="2907"/>
      <c r="AE7" s="2907"/>
      <c r="AF7" s="2907"/>
      <c r="AG7" s="2907"/>
      <c r="AH7" s="2907"/>
      <c r="AI7" s="2907"/>
      <c r="AJ7" s="2908"/>
    </row>
    <row r="8" spans="1:39" ht="15">
      <c r="A8" s="3405"/>
      <c r="B8" s="1415" t="s">
        <v>933</v>
      </c>
      <c r="C8" s="1530"/>
      <c r="D8" s="1045" t="s">
        <v>934</v>
      </c>
      <c r="E8" s="1046" t="e">
        <f>ROUND(C11/E7,4)</f>
        <v>#DIV/0!</v>
      </c>
      <c r="F8" s="1433" t="s">
        <v>935</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396" t="s">
        <v>2780</v>
      </c>
      <c r="X8" s="3397"/>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05"/>
      <c r="B9" s="1415" t="s">
        <v>936</v>
      </c>
      <c r="C9" s="1047">
        <f>SUMIF(修正!C59:C119,C8,修正!E59:E119)</f>
        <v>0</v>
      </c>
      <c r="D9" s="1048" t="s">
        <v>937</v>
      </c>
      <c r="E9" s="1048" t="e">
        <f>ROUND(C11/E7,4)</f>
        <v>#DIV/0!</v>
      </c>
      <c r="F9" s="1433" t="s">
        <v>938</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395" t="s">
        <v>2776</v>
      </c>
      <c r="X9" s="2909" t="s">
        <v>2777</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5"/>
      <c r="B10" s="1415" t="s">
        <v>939</v>
      </c>
      <c r="C10" s="1048">
        <f>SUMIF(修正!C59:C119,C8,修正!F59:F119)</f>
        <v>0</v>
      </c>
      <c r="D10" s="1048" t="s">
        <v>940</v>
      </c>
      <c r="E10" s="1048" t="e">
        <f>ROUND(C11/E7,4)</f>
        <v>#DIV/0!</v>
      </c>
      <c r="F10" s="1433" t="s">
        <v>941</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395"/>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5"/>
      <c r="B11" s="1436" t="s">
        <v>942</v>
      </c>
      <c r="C11" s="1049">
        <f>C10/4</f>
        <v>0</v>
      </c>
      <c r="D11" s="1049" t="s">
        <v>943</v>
      </c>
      <c r="E11" s="1049" t="e">
        <f>ROUND(C11/E7,4)</f>
        <v>#DIV/0!</v>
      </c>
      <c r="F11" s="1437" t="s">
        <v>944</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395"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404" t="s">
        <v>1871</v>
      </c>
      <c r="B12" s="1440" t="s">
        <v>945</v>
      </c>
      <c r="C12" s="1043">
        <f>ROUND(C15*D15*E15*F15*G15*H15*I15*J15,4)</f>
        <v>1</v>
      </c>
      <c r="D12" s="1441" t="s">
        <v>946</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395"/>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06"/>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15">
        <v>12</v>
      </c>
      <c r="S13" s="2904"/>
      <c r="T13" s="2915" t="e">
        <f t="shared" si="0"/>
        <v>#DIV/0!</v>
      </c>
      <c r="U13" s="2904"/>
      <c r="V13" s="2915" t="e">
        <f t="shared" si="1"/>
        <v>#DIV/0!</v>
      </c>
      <c r="W13" s="3395"/>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06"/>
      <c r="B14" s="1452"/>
      <c r="C14" s="1453"/>
      <c r="D14" s="1454"/>
      <c r="E14" s="1454"/>
      <c r="F14" s="1455"/>
      <c r="G14" s="1456" t="s">
        <v>948</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0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15">
        <v>14</v>
      </c>
      <c r="S15" s="2904"/>
      <c r="T15" s="2915" t="e">
        <f t="shared" si="0"/>
        <v>#DIV/0!</v>
      </c>
      <c r="U15" s="2904"/>
      <c r="V15" s="2915" t="e">
        <f t="shared" si="1"/>
        <v>#DIV/0!</v>
      </c>
      <c r="W15" s="2190"/>
      <c r="X15" s="2190"/>
      <c r="Y15" s="2190"/>
      <c r="Z15" s="2190"/>
      <c r="AA15" s="2190"/>
      <c r="AB15" s="2190"/>
      <c r="AC15" s="2191"/>
    </row>
    <row r="16" spans="1:39" ht="24">
      <c r="A16" s="3404"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05"/>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50" t="s">
        <v>955</v>
      </c>
      <c r="C18" s="2751">
        <f>SUMIF(修正!C18:C39,E3,修正!E18:E39)</f>
        <v>0</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ROUND(IF(H19="按公示增长率计算",SUMPRODUCT((地价!A3:A25=YEAR(G19)&amp;"-"&amp;ROUNDUP(MONTH(G19)/3,0))*(地价!X2:AB2=E2)*(地价!X3:AB25)),IF(H19="地价指数",M20/M19,(1+I19)^O19)),4)</f>
        <v>#DIV/0!</v>
      </c>
      <c r="D19" s="1475" t="s">
        <v>957</v>
      </c>
      <c r="E19" s="1058">
        <v>41640</v>
      </c>
      <c r="F19" s="1475" t="s">
        <v>958</v>
      </c>
      <c r="G19" s="1059">
        <f>'数据-取费表'!B2</f>
        <v>43486</v>
      </c>
      <c r="H19" s="1476" t="s">
        <v>2934</v>
      </c>
      <c r="I19" s="2762" t="str">
        <f>IF(H19="季度增幅（自定义）",SUMIF(N21:N24,E2,O21:O24),"")</f>
        <v/>
      </c>
      <c r="J19" s="1472"/>
      <c r="K19" s="1482"/>
      <c r="L19" s="3015" t="s">
        <v>2837</v>
      </c>
      <c r="M19" s="3016">
        <f>ROUND(SUMIF(地价!B2:F2,E2,地价!B25:F25),0)</f>
        <v>0</v>
      </c>
      <c r="N19" s="2764" t="s">
        <v>1676</v>
      </c>
      <c r="O19" s="2763">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1836</v>
      </c>
      <c r="B20" s="2757" t="s">
        <v>971</v>
      </c>
      <c r="C20" s="2758" t="e">
        <f>ROUND(POWER(1+G20,J20-I20)*(POWER(1+G20,I20)-1)/(POWER(1+G20,J20)-1),4)</f>
        <v>#DIV/0!</v>
      </c>
      <c r="D20" s="2759" t="s">
        <v>972</v>
      </c>
      <c r="E20" s="3071">
        <f ca="1">存贷款利率!I4/100</f>
        <v>4.3499999999999997E-2</v>
      </c>
      <c r="F20" s="2759" t="s">
        <v>973</v>
      </c>
      <c r="G20" s="2760">
        <f>SUMIF(M15:P15,E2,M17:P17)</f>
        <v>0</v>
      </c>
      <c r="H20" s="2759" t="s">
        <v>974</v>
      </c>
      <c r="I20" s="2749" t="e">
        <f>SUMIF('数据-取费表'!C6:C15,E2,'数据-取费表'!F6:F15)/COUNTIF('数据-取费表'!C6:C15,E2)</f>
        <v>#DIV/0!</v>
      </c>
      <c r="J20" s="2761">
        <f>IF(E2="住宅",70,IF(E2="商业",40,50))</f>
        <v>50</v>
      </c>
      <c r="K20" s="1482"/>
      <c r="L20" s="3017" t="s">
        <v>2838</v>
      </c>
      <c r="M20" s="3018">
        <f>ROUND(SUMPRODUCT((地价!A4:A25=YEAR(G19)&amp;"-"&amp;ROUNDUP(MONTH(G19)/3,0))*(地价!B2:F2=E2)*(地价!B4:F25)),0)</f>
        <v>0</v>
      </c>
      <c r="N20" s="2767" t="s">
        <v>2642</v>
      </c>
      <c r="O20" s="2765" t="s">
        <v>2641</v>
      </c>
      <c r="P20" s="2766" t="s">
        <v>2647</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1837</v>
      </c>
      <c r="B21" s="1481" t="s">
        <v>2758</v>
      </c>
      <c r="C21" s="1158">
        <f>IF(B21="容积率修正",IF(G3&lt;=10,D22,J22),C23)</f>
        <v>0</v>
      </c>
      <c r="D21" s="1482"/>
      <c r="E21" s="1482"/>
      <c r="F21" s="1482"/>
      <c r="G21" s="1482"/>
      <c r="H21" s="1482"/>
      <c r="I21" s="1482"/>
      <c r="J21" s="1483"/>
      <c r="K21" s="1482"/>
      <c r="L21" s="1482"/>
      <c r="M21" s="1482"/>
      <c r="N21" s="1479" t="s">
        <v>975</v>
      </c>
      <c r="O21" s="1543"/>
      <c r="P21" s="2747">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47">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47">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75" t="s">
        <v>2645</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0" t="s">
        <v>2960</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1"/>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1"/>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2"/>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2987</v>
      </c>
      <c r="C41" s="839" t="e">
        <f>ROUND(POWER(1+E41,H41-G41)*(POWER(1+E41,G41)-1)/(POWER(1+E41,H41)-1),4)</f>
        <v>#DIV/0!</v>
      </c>
      <c r="D41" s="378" t="s">
        <v>2985</v>
      </c>
      <c r="E41" s="3173">
        <f>G20</f>
        <v>0</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1006</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1007</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387" t="s">
        <v>1009</v>
      </c>
      <c r="C46" s="2409" t="s">
        <v>1010</v>
      </c>
      <c r="D46" s="2410" t="s">
        <v>1011</v>
      </c>
      <c r="E46" s="2411" t="s">
        <v>1013</v>
      </c>
      <c r="F46" s="2412" t="s">
        <v>2250</v>
      </c>
      <c r="G46" s="2410" t="s">
        <v>1014</v>
      </c>
      <c r="H46" s="2393" t="s">
        <v>2415</v>
      </c>
      <c r="I46" s="2410" t="s">
        <v>1012</v>
      </c>
      <c r="J46" s="2413" t="s">
        <v>1015</v>
      </c>
      <c r="K46" s="2413" t="s">
        <v>1016</v>
      </c>
      <c r="L46" s="2413" t="s">
        <v>1017</v>
      </c>
      <c r="M46" s="2413" t="s">
        <v>1018</v>
      </c>
      <c r="N46" s="241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73"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72"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1026</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1027</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1028</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1029</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387"/>
      <c r="C57" s="2409" t="s">
        <v>1010</v>
      </c>
      <c r="D57" s="2410" t="s">
        <v>1011</v>
      </c>
      <c r="E57" s="2411" t="s">
        <v>1013</v>
      </c>
      <c r="F57" s="2412" t="s">
        <v>2251</v>
      </c>
      <c r="G57" s="2410" t="s">
        <v>1014</v>
      </c>
      <c r="H57" s="2393" t="s">
        <v>2415</v>
      </c>
      <c r="I57" s="2410" t="s">
        <v>1012</v>
      </c>
      <c r="J57" s="2413" t="s">
        <v>1015</v>
      </c>
      <c r="K57" s="2413" t="s">
        <v>1016</v>
      </c>
      <c r="L57" s="2413" t="s">
        <v>1017</v>
      </c>
      <c r="M57" s="2413" t="s">
        <v>1018</v>
      </c>
      <c r="N57" s="241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73"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72"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1028</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1031</v>
      </c>
      <c r="B67" s="2404">
        <f>1+E69</f>
        <v>1</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387"/>
      <c r="C68" s="2409" t="s">
        <v>1010</v>
      </c>
      <c r="D68" s="2410" t="s">
        <v>1011</v>
      </c>
      <c r="E68" s="2411" t="s">
        <v>1013</v>
      </c>
      <c r="F68" s="2412" t="s">
        <v>2252</v>
      </c>
      <c r="G68" s="2410" t="s">
        <v>1014</v>
      </c>
      <c r="H68" s="2393" t="s">
        <v>2415</v>
      </c>
      <c r="I68" s="2410" t="s">
        <v>1012</v>
      </c>
      <c r="J68" s="2413" t="s">
        <v>1015</v>
      </c>
      <c r="K68" s="2413" t="s">
        <v>1016</v>
      </c>
      <c r="L68" s="2413" t="s">
        <v>1017</v>
      </c>
      <c r="M68" s="2413" t="s">
        <v>1018</v>
      </c>
      <c r="N68" s="241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72" t="s">
        <v>2935</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1035</v>
      </c>
      <c r="B77" s="1851"/>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1036</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1008</v>
      </c>
      <c r="B79" s="2387"/>
      <c r="C79" s="2409" t="s">
        <v>1010</v>
      </c>
      <c r="D79" s="2410" t="s">
        <v>1011</v>
      </c>
      <c r="E79" s="2411" t="s">
        <v>1013</v>
      </c>
      <c r="F79" s="2412" t="s">
        <v>2253</v>
      </c>
      <c r="G79" s="2410" t="s">
        <v>1014</v>
      </c>
      <c r="H79" s="2393" t="s">
        <v>2415</v>
      </c>
      <c r="I79" s="2410" t="s">
        <v>1012</v>
      </c>
      <c r="J79" s="2413" t="s">
        <v>1015</v>
      </c>
      <c r="K79" s="2413" t="s">
        <v>1016</v>
      </c>
      <c r="L79" s="2413" t="s">
        <v>1017</v>
      </c>
      <c r="M79" s="2413" t="s">
        <v>1018</v>
      </c>
      <c r="N79" s="2413" t="s">
        <v>1019</v>
      </c>
      <c r="AC79" s="1406"/>
      <c r="AD79" s="1405"/>
      <c r="AJ79" s="1404"/>
      <c r="AN79" s="1405"/>
    </row>
    <row r="80" spans="1:40" ht="36">
      <c r="A80" s="1067" t="s">
        <v>1037</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1033</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1022</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1034</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1026</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1027</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1025</v>
      </c>
      <c r="B86" s="3072" t="s">
        <v>2935</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1038</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08" t="s">
        <v>1633</v>
      </c>
      <c r="B90" s="3408"/>
      <c r="C90" s="3408"/>
      <c r="D90" s="3408"/>
      <c r="E90" s="3408"/>
      <c r="F90" s="3408"/>
      <c r="G90" s="3408"/>
      <c r="H90" s="3408"/>
      <c r="I90" s="3408"/>
      <c r="J90" s="3408"/>
      <c r="K90" s="2429"/>
      <c r="L90" s="2429"/>
      <c r="M90" s="2429"/>
      <c r="N90" s="2429"/>
    </row>
    <row r="91" spans="1:40">
      <c r="A91" s="3409" t="s">
        <v>1443</v>
      </c>
      <c r="B91" s="3409" t="s">
        <v>1634</v>
      </c>
      <c r="C91" s="1140" t="s">
        <v>1635</v>
      </c>
      <c r="D91" s="1141"/>
      <c r="E91" s="1141"/>
      <c r="F91" s="1141"/>
      <c r="G91" s="1141"/>
      <c r="H91" s="1141"/>
      <c r="I91" s="1141"/>
      <c r="J91" s="1142"/>
      <c r="K91" s="1134"/>
      <c r="L91" s="1134"/>
      <c r="M91" s="1134"/>
      <c r="N91" s="1134"/>
    </row>
    <row r="92" spans="1:40">
      <c r="A92" s="3409"/>
      <c r="B92" s="3409"/>
      <c r="C92" s="2428" t="s">
        <v>906</v>
      </c>
      <c r="D92" s="2428" t="s">
        <v>884</v>
      </c>
      <c r="E92" s="2428" t="s">
        <v>885</v>
      </c>
      <c r="F92" s="2428" t="s">
        <v>909</v>
      </c>
      <c r="G92" s="2428" t="s">
        <v>887</v>
      </c>
      <c r="H92" s="2428" t="s">
        <v>888</v>
      </c>
      <c r="I92" s="2428" t="s">
        <v>889</v>
      </c>
      <c r="J92" s="2428" t="s">
        <v>890</v>
      </c>
      <c r="K92" s="2428" t="s">
        <v>914</v>
      </c>
      <c r="L92" s="2428" t="s">
        <v>892</v>
      </c>
      <c r="M92" s="2428" t="s">
        <v>893</v>
      </c>
      <c r="N92" s="2428" t="s">
        <v>917</v>
      </c>
    </row>
    <row r="93" spans="1:40">
      <c r="A93" s="339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8" t="s">
        <v>1637</v>
      </c>
      <c r="B101" s="1147" t="s">
        <v>905</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399"/>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399"/>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399"/>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399"/>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399"/>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399"/>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399"/>
      <c r="B108" s="340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0"/>
      <c r="B109" s="3402"/>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403" t="s">
        <v>1639</v>
      </c>
      <c r="B110" s="3403"/>
      <c r="C110" s="3403"/>
      <c r="D110" s="3403"/>
      <c r="E110" s="3403"/>
      <c r="F110" s="3403"/>
      <c r="G110" s="3403"/>
      <c r="H110" s="3403"/>
      <c r="I110" s="3403"/>
      <c r="J110" s="3403"/>
      <c r="K110" s="2427"/>
      <c r="L110" s="2427"/>
      <c r="M110" s="2427"/>
      <c r="N110" s="2427"/>
    </row>
    <row r="112" spans="1:14" ht="12.75" thickBot="1"/>
    <row r="113" spans="1:13" ht="25.5" thickBot="1">
      <c r="A113" s="1016" t="s">
        <v>895</v>
      </c>
      <c r="B113" s="2430">
        <f>G3</f>
        <v>2.4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900</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901</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902</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09" t="s">
        <v>1007</v>
      </c>
      <c r="B18" s="1154" t="s">
        <v>1446</v>
      </c>
      <c r="C18" s="1131" t="s">
        <v>1447</v>
      </c>
      <c r="D18" s="1132"/>
      <c r="E18" s="1154">
        <v>1</v>
      </c>
      <c r="F18" s="1133" t="s">
        <v>1448</v>
      </c>
      <c r="G18" s="1134"/>
      <c r="H18" s="1105"/>
      <c r="I18" s="1105"/>
    </row>
    <row r="19" spans="1:9" s="1600" customFormat="1" ht="19.5" customHeight="1">
      <c r="A19" s="3409"/>
      <c r="B19" s="3409" t="s">
        <v>1449</v>
      </c>
      <c r="C19" s="1131" t="s">
        <v>1450</v>
      </c>
      <c r="D19" s="1132"/>
      <c r="E19" s="1154">
        <v>0.9</v>
      </c>
      <c r="F19" s="1133" t="s">
        <v>1451</v>
      </c>
      <c r="G19" s="1134"/>
      <c r="H19" s="1105"/>
      <c r="I19" s="1105"/>
    </row>
    <row r="20" spans="1:9" s="1600" customFormat="1" ht="19.5" customHeight="1">
      <c r="A20" s="3409"/>
      <c r="B20" s="3409"/>
      <c r="C20" s="1131" t="s">
        <v>1452</v>
      </c>
      <c r="D20" s="1132"/>
      <c r="E20" s="1154">
        <v>1.1000000000000001</v>
      </c>
      <c r="F20" s="1133" t="s">
        <v>1453</v>
      </c>
      <c r="G20" s="1134"/>
      <c r="H20" s="1105"/>
      <c r="I20" s="1105"/>
    </row>
    <row r="21" spans="1:9" s="1600" customFormat="1" ht="19.5" customHeight="1">
      <c r="A21" s="3409"/>
      <c r="B21" s="3409"/>
      <c r="C21" s="1131" t="s">
        <v>1454</v>
      </c>
      <c r="D21" s="1132"/>
      <c r="E21" s="1154">
        <v>0.8</v>
      </c>
      <c r="F21" s="1133" t="s">
        <v>1455</v>
      </c>
      <c r="G21" s="1134"/>
      <c r="H21" s="1105"/>
      <c r="I21" s="1105"/>
    </row>
    <row r="22" spans="1:9" s="1600" customFormat="1" ht="19.5" customHeight="1">
      <c r="A22" s="3409"/>
      <c r="B22" s="3409"/>
      <c r="C22" s="1131" t="s">
        <v>1456</v>
      </c>
      <c r="D22" s="1132"/>
      <c r="E22" s="1154">
        <v>0.5</v>
      </c>
      <c r="F22" s="1133"/>
      <c r="G22" s="1134"/>
      <c r="H22" s="1105"/>
      <c r="I22" s="1105"/>
    </row>
    <row r="23" spans="1:9" s="1600" customFormat="1" ht="19.5" customHeight="1">
      <c r="A23" s="3409" t="s">
        <v>1029</v>
      </c>
      <c r="B23" s="1154" t="s">
        <v>1446</v>
      </c>
      <c r="C23" s="1131" t="s">
        <v>1457</v>
      </c>
      <c r="D23" s="1132"/>
      <c r="E23" s="1154">
        <v>1</v>
      </c>
      <c r="F23" s="1133" t="s">
        <v>1458</v>
      </c>
      <c r="G23" s="1134"/>
      <c r="H23" s="1105"/>
      <c r="I23" s="1105"/>
    </row>
    <row r="24" spans="1:9" s="1600" customFormat="1" ht="19.5" customHeight="1">
      <c r="A24" s="3409"/>
      <c r="B24" s="3409" t="s">
        <v>1449</v>
      </c>
      <c r="C24" s="1131" t="s">
        <v>1459</v>
      </c>
      <c r="D24" s="1132"/>
      <c r="E24" s="1154">
        <v>0.5</v>
      </c>
      <c r="F24" s="1133"/>
      <c r="G24" s="1134"/>
      <c r="H24" s="1105"/>
      <c r="I24" s="1105"/>
    </row>
    <row r="25" spans="1:9" s="1600" customFormat="1" ht="19.5" customHeight="1">
      <c r="A25" s="3409"/>
      <c r="B25" s="3409"/>
      <c r="C25" s="1131" t="s">
        <v>1460</v>
      </c>
      <c r="D25" s="1132"/>
      <c r="E25" s="1154">
        <v>1.1000000000000001</v>
      </c>
      <c r="F25" s="1133"/>
      <c r="G25" s="1134"/>
      <c r="H25" s="1105"/>
      <c r="I25" s="1105"/>
    </row>
    <row r="26" spans="1:9" s="1600" customFormat="1" ht="19.5" customHeight="1">
      <c r="A26" s="3409"/>
      <c r="B26" s="3409"/>
      <c r="C26" s="1131" t="s">
        <v>1461</v>
      </c>
      <c r="D26" s="1132"/>
      <c r="E26" s="1154">
        <v>1.1000000000000001</v>
      </c>
      <c r="F26" s="1133"/>
      <c r="G26" s="1134"/>
      <c r="H26" s="1105"/>
      <c r="I26" s="1105"/>
    </row>
    <row r="27" spans="1:9" s="1600" customFormat="1" ht="19.5" customHeight="1">
      <c r="A27" s="3409"/>
      <c r="B27" s="3409"/>
      <c r="C27" s="1131" t="s">
        <v>1462</v>
      </c>
      <c r="D27" s="1132"/>
      <c r="E27" s="1154">
        <v>0.9</v>
      </c>
      <c r="F27" s="1133" t="s">
        <v>1463</v>
      </c>
      <c r="G27" s="1134"/>
      <c r="H27" s="1105"/>
      <c r="I27" s="1105"/>
    </row>
    <row r="28" spans="1:9" s="1600" customFormat="1" ht="19.5" customHeight="1">
      <c r="A28" s="3409"/>
      <c r="B28" s="3409"/>
      <c r="C28" s="1131" t="s">
        <v>1464</v>
      </c>
      <c r="D28" s="1132"/>
      <c r="E28" s="1154">
        <v>0.9</v>
      </c>
      <c r="F28" s="1133" t="s">
        <v>1465</v>
      </c>
      <c r="G28" s="1134"/>
      <c r="H28" s="1105"/>
      <c r="I28" s="1105"/>
    </row>
    <row r="29" spans="1:9" s="1600" customFormat="1" ht="19.5" customHeight="1">
      <c r="A29" s="3409"/>
      <c r="B29" s="3409"/>
      <c r="C29" s="1131" t="s">
        <v>1466</v>
      </c>
      <c r="D29" s="1132"/>
      <c r="E29" s="1154">
        <v>0.9</v>
      </c>
      <c r="F29" s="1133" t="s">
        <v>1467</v>
      </c>
      <c r="G29" s="1134"/>
      <c r="H29" s="1105"/>
      <c r="I29" s="1105"/>
    </row>
    <row r="30" spans="1:9" s="1600" customFormat="1" ht="19.5" customHeight="1">
      <c r="A30" s="3409"/>
      <c r="B30" s="3409"/>
      <c r="C30" s="1131" t="s">
        <v>1468</v>
      </c>
      <c r="D30" s="1132"/>
      <c r="E30" s="1154">
        <v>0.9</v>
      </c>
      <c r="F30" s="1133" t="s">
        <v>1469</v>
      </c>
      <c r="G30" s="1134"/>
      <c r="H30" s="1105"/>
      <c r="I30" s="1105"/>
    </row>
    <row r="31" spans="1:9" s="1600" customFormat="1" ht="19.5" customHeight="1">
      <c r="A31" s="3409"/>
      <c r="B31" s="3409"/>
      <c r="C31" s="1131" t="s">
        <v>1470</v>
      </c>
      <c r="D31" s="1132"/>
      <c r="E31" s="1154">
        <v>0.8</v>
      </c>
      <c r="F31" s="1133" t="s">
        <v>1471</v>
      </c>
      <c r="G31" s="1134"/>
      <c r="H31" s="1105"/>
      <c r="I31" s="1105"/>
    </row>
    <row r="32" spans="1:9" s="1600" customFormat="1" ht="19.5" customHeight="1">
      <c r="A32" s="3409"/>
      <c r="B32" s="3409"/>
      <c r="C32" s="1131" t="s">
        <v>1472</v>
      </c>
      <c r="D32" s="1132"/>
      <c r="E32" s="1154">
        <v>0.8</v>
      </c>
      <c r="F32" s="1133" t="s">
        <v>1473</v>
      </c>
      <c r="G32" s="1134"/>
      <c r="H32" s="1105"/>
      <c r="I32" s="1105"/>
    </row>
    <row r="33" spans="1:9" s="1600" customFormat="1" ht="19.5" customHeight="1">
      <c r="A33" s="3409" t="s">
        <v>1474</v>
      </c>
      <c r="B33" s="1154" t="s">
        <v>1446</v>
      </c>
      <c r="C33" s="1131" t="s">
        <v>1475</v>
      </c>
      <c r="D33" s="1132"/>
      <c r="E33" s="1154">
        <v>1</v>
      </c>
      <c r="F33" s="1133" t="s">
        <v>1476</v>
      </c>
      <c r="G33" s="1134"/>
      <c r="H33" s="1105"/>
      <c r="I33" s="1105"/>
    </row>
    <row r="34" spans="1:9" s="1600" customFormat="1" ht="19.5" customHeight="1">
      <c r="A34" s="3409"/>
      <c r="B34" s="1154" t="s">
        <v>1449</v>
      </c>
      <c r="C34" s="1131" t="s">
        <v>1477</v>
      </c>
      <c r="D34" s="1132"/>
      <c r="E34" s="1154">
        <v>1.5</v>
      </c>
      <c r="F34" s="1133" t="s">
        <v>1478</v>
      </c>
      <c r="G34" s="1134"/>
      <c r="H34" s="1105"/>
      <c r="I34" s="1105"/>
    </row>
    <row r="35" spans="1:9" s="1600" customFormat="1" ht="19.5" customHeight="1">
      <c r="A35" s="3409" t="s">
        <v>1432</v>
      </c>
      <c r="B35" s="1154" t="s">
        <v>1446</v>
      </c>
      <c r="C35" s="1131" t="s">
        <v>1479</v>
      </c>
      <c r="D35" s="1132"/>
      <c r="E35" s="1154">
        <v>1</v>
      </c>
      <c r="F35" s="1133" t="s">
        <v>1480</v>
      </c>
      <c r="G35" s="1134"/>
      <c r="H35" s="1105"/>
      <c r="I35" s="1105"/>
    </row>
    <row r="36" spans="1:9" s="1600" customFormat="1" ht="19.5" customHeight="1">
      <c r="A36" s="3409"/>
      <c r="B36" s="3409" t="s">
        <v>1449</v>
      </c>
      <c r="C36" s="1131" t="s">
        <v>1481</v>
      </c>
      <c r="D36" s="1132"/>
      <c r="E36" s="1154">
        <v>1</v>
      </c>
      <c r="F36" s="1133" t="s">
        <v>1482</v>
      </c>
      <c r="G36" s="1134"/>
      <c r="H36" s="1105"/>
      <c r="I36" s="1105"/>
    </row>
    <row r="37" spans="1:9" s="1600" customFormat="1" ht="19.5" customHeight="1">
      <c r="A37" s="3409"/>
      <c r="B37" s="3409"/>
      <c r="C37" s="1131" t="s">
        <v>1483</v>
      </c>
      <c r="D37" s="1132"/>
      <c r="E37" s="1154">
        <v>1.5</v>
      </c>
      <c r="F37" s="1133" t="s">
        <v>1484</v>
      </c>
      <c r="G37" s="1134"/>
      <c r="H37" s="1105"/>
      <c r="I37" s="1105"/>
    </row>
    <row r="38" spans="1:9" s="1600" customFormat="1" ht="19.5" customHeight="1">
      <c r="A38" s="3409"/>
      <c r="B38" s="3409"/>
      <c r="C38" s="1131" t="s">
        <v>1485</v>
      </c>
      <c r="D38" s="1132"/>
      <c r="E38" s="1154">
        <v>1</v>
      </c>
      <c r="F38" s="1133" t="s">
        <v>1486</v>
      </c>
      <c r="G38" s="1134"/>
      <c r="H38" s="1105"/>
      <c r="I38" s="1105"/>
    </row>
    <row r="39" spans="1:9" s="1600" customFormat="1" ht="19.5" customHeight="1">
      <c r="A39" s="3409"/>
      <c r="B39" s="3409"/>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09" t="s">
        <v>1501</v>
      </c>
      <c r="C61" s="1068" t="s">
        <v>1502</v>
      </c>
      <c r="D61" s="1068" t="s">
        <v>1503</v>
      </c>
      <c r="E61" s="1139">
        <v>0.5</v>
      </c>
      <c r="F61" s="1154">
        <v>80</v>
      </c>
      <c r="H61" s="1105">
        <f>SUMIF(C59:C119,基准地价!C8,E59:E119)</f>
        <v>0</v>
      </c>
    </row>
    <row r="62" spans="1:8" s="1105" customFormat="1" ht="24">
      <c r="A62" s="1154">
        <v>2</v>
      </c>
      <c r="B62" s="3409"/>
      <c r="C62" s="1068" t="s">
        <v>1504</v>
      </c>
      <c r="D62" s="1068" t="s">
        <v>1505</v>
      </c>
      <c r="E62" s="1139">
        <v>0.5</v>
      </c>
      <c r="F62" s="1154">
        <v>80</v>
      </c>
    </row>
    <row r="63" spans="1:8" s="1105" customFormat="1" ht="36">
      <c r="A63" s="1154">
        <v>3</v>
      </c>
      <c r="B63" s="3409"/>
      <c r="C63" s="1068" t="s">
        <v>1506</v>
      </c>
      <c r="D63" s="1068" t="s">
        <v>1507</v>
      </c>
      <c r="E63" s="1139">
        <v>0.5</v>
      </c>
      <c r="F63" s="1154">
        <v>80</v>
      </c>
    </row>
    <row r="64" spans="1:8" s="1105" customFormat="1" ht="36">
      <c r="A64" s="1154">
        <v>4</v>
      </c>
      <c r="B64" s="3409"/>
      <c r="C64" s="1068" t="s">
        <v>1508</v>
      </c>
      <c r="D64" s="1068" t="s">
        <v>1509</v>
      </c>
      <c r="E64" s="1139">
        <v>0.4</v>
      </c>
      <c r="F64" s="1154">
        <v>60</v>
      </c>
    </row>
    <row r="65" spans="1:6" s="1105" customFormat="1" ht="36">
      <c r="A65" s="1154">
        <v>5</v>
      </c>
      <c r="B65" s="3409"/>
      <c r="C65" s="1068" t="s">
        <v>1510</v>
      </c>
      <c r="D65" s="1068" t="s">
        <v>1511</v>
      </c>
      <c r="E65" s="1139">
        <v>0.2</v>
      </c>
      <c r="F65" s="1154">
        <v>30</v>
      </c>
    </row>
    <row r="66" spans="1:6" s="1105" customFormat="1" ht="36">
      <c r="A66" s="1154">
        <v>6</v>
      </c>
      <c r="B66" s="3409"/>
      <c r="C66" s="1068" t="s">
        <v>1512</v>
      </c>
      <c r="D66" s="1068" t="s">
        <v>1513</v>
      </c>
      <c r="E66" s="1139">
        <v>0.3</v>
      </c>
      <c r="F66" s="1154">
        <v>50</v>
      </c>
    </row>
    <row r="67" spans="1:6" s="1105" customFormat="1" ht="36">
      <c r="A67" s="1154">
        <v>7</v>
      </c>
      <c r="B67" s="3409"/>
      <c r="C67" s="1068" t="s">
        <v>1514</v>
      </c>
      <c r="D67" s="1068" t="s">
        <v>1515</v>
      </c>
      <c r="E67" s="1139">
        <v>0.2</v>
      </c>
      <c r="F67" s="1154">
        <v>30</v>
      </c>
    </row>
    <row r="68" spans="1:6" s="1105" customFormat="1" ht="36">
      <c r="A68" s="1154">
        <v>8</v>
      </c>
      <c r="B68" s="3409"/>
      <c r="C68" s="1068" t="s">
        <v>1516</v>
      </c>
      <c r="D68" s="1068" t="s">
        <v>1517</v>
      </c>
      <c r="E68" s="1139">
        <v>0.2</v>
      </c>
      <c r="F68" s="1154">
        <v>30</v>
      </c>
    </row>
    <row r="69" spans="1:6" s="1105" customFormat="1" ht="36">
      <c r="A69" s="1154">
        <v>9</v>
      </c>
      <c r="B69" s="3409"/>
      <c r="C69" s="1068" t="s">
        <v>1518</v>
      </c>
      <c r="D69" s="1068" t="s">
        <v>1519</v>
      </c>
      <c r="E69" s="1139">
        <v>0.2</v>
      </c>
      <c r="F69" s="1154">
        <v>30</v>
      </c>
    </row>
    <row r="70" spans="1:6" s="1105" customFormat="1" ht="48">
      <c r="A70" s="1154">
        <v>10</v>
      </c>
      <c r="B70" s="3409"/>
      <c r="C70" s="1068" t="s">
        <v>1520</v>
      </c>
      <c r="D70" s="1068" t="s">
        <v>1521</v>
      </c>
      <c r="E70" s="1139">
        <v>0.2</v>
      </c>
      <c r="F70" s="1154">
        <v>30</v>
      </c>
    </row>
    <row r="71" spans="1:6" s="1105" customFormat="1" ht="48">
      <c r="A71" s="1154">
        <v>11</v>
      </c>
      <c r="B71" s="3409"/>
      <c r="C71" s="1068" t="s">
        <v>1522</v>
      </c>
      <c r="D71" s="1068" t="s">
        <v>1523</v>
      </c>
      <c r="E71" s="1139">
        <v>0.2</v>
      </c>
      <c r="F71" s="1154">
        <v>30</v>
      </c>
    </row>
    <row r="72" spans="1:6" s="1105" customFormat="1" ht="36">
      <c r="A72" s="1154">
        <v>12</v>
      </c>
      <c r="B72" s="3409"/>
      <c r="C72" s="1068" t="s">
        <v>1524</v>
      </c>
      <c r="D72" s="1068" t="s">
        <v>1525</v>
      </c>
      <c r="E72" s="1139">
        <v>0.5</v>
      </c>
      <c r="F72" s="1154">
        <v>80</v>
      </c>
    </row>
    <row r="73" spans="1:6" s="1105" customFormat="1" ht="24">
      <c r="A73" s="1154">
        <v>13</v>
      </c>
      <c r="B73" s="3409"/>
      <c r="C73" s="1068" t="s">
        <v>1526</v>
      </c>
      <c r="D73" s="1068" t="s">
        <v>1527</v>
      </c>
      <c r="E73" s="1139">
        <v>0.4</v>
      </c>
      <c r="F73" s="1154">
        <v>60</v>
      </c>
    </row>
    <row r="74" spans="1:6" s="1105" customFormat="1" ht="24">
      <c r="A74" s="1154">
        <v>14</v>
      </c>
      <c r="B74" s="3409"/>
      <c r="C74" s="1068" t="s">
        <v>1528</v>
      </c>
      <c r="D74" s="1068" t="s">
        <v>1529</v>
      </c>
      <c r="E74" s="1139">
        <v>0.2</v>
      </c>
      <c r="F74" s="1154">
        <v>30</v>
      </c>
    </row>
    <row r="75" spans="1:6" s="1105" customFormat="1" ht="24">
      <c r="A75" s="1154">
        <v>15</v>
      </c>
      <c r="B75" s="3409"/>
      <c r="C75" s="1068" t="s">
        <v>1530</v>
      </c>
      <c r="D75" s="1068" t="s">
        <v>1531</v>
      </c>
      <c r="E75" s="1139">
        <v>0.2</v>
      </c>
      <c r="F75" s="1154">
        <v>30</v>
      </c>
    </row>
    <row r="76" spans="1:6" s="1105" customFormat="1" ht="24">
      <c r="A76" s="1154">
        <v>16</v>
      </c>
      <c r="B76" s="3409" t="s">
        <v>1532</v>
      </c>
      <c r="C76" s="1068" t="s">
        <v>1533</v>
      </c>
      <c r="D76" s="1068" t="s">
        <v>1534</v>
      </c>
      <c r="E76" s="1139">
        <v>0.5</v>
      </c>
      <c r="F76" s="1154">
        <v>80</v>
      </c>
    </row>
    <row r="77" spans="1:6" s="1105" customFormat="1" ht="24">
      <c r="A77" s="1154">
        <v>17</v>
      </c>
      <c r="B77" s="3409"/>
      <c r="C77" s="1068" t="s">
        <v>1535</v>
      </c>
      <c r="D77" s="1068" t="s">
        <v>1536</v>
      </c>
      <c r="E77" s="1139">
        <v>0.5</v>
      </c>
      <c r="F77" s="1154">
        <v>80</v>
      </c>
    </row>
    <row r="78" spans="1:6" s="1105" customFormat="1" ht="24">
      <c r="A78" s="1154">
        <v>18</v>
      </c>
      <c r="B78" s="3409"/>
      <c r="C78" s="1068" t="s">
        <v>1537</v>
      </c>
      <c r="D78" s="1068" t="s">
        <v>1538</v>
      </c>
      <c r="E78" s="1139">
        <v>0.2</v>
      </c>
      <c r="F78" s="1154">
        <v>30</v>
      </c>
    </row>
    <row r="79" spans="1:6" s="1105" customFormat="1" ht="24">
      <c r="A79" s="1154">
        <v>19</v>
      </c>
      <c r="B79" s="3409"/>
      <c r="C79" s="1068" t="s">
        <v>1539</v>
      </c>
      <c r="D79" s="1068" t="s">
        <v>1540</v>
      </c>
      <c r="E79" s="1139">
        <v>0.5</v>
      </c>
      <c r="F79" s="1154">
        <v>80</v>
      </c>
    </row>
    <row r="80" spans="1:6" s="1105" customFormat="1" ht="36">
      <c r="A80" s="1154">
        <v>20</v>
      </c>
      <c r="B80" s="3409"/>
      <c r="C80" s="1068" t="s">
        <v>1541</v>
      </c>
      <c r="D80" s="1068" t="s">
        <v>1542</v>
      </c>
      <c r="E80" s="1139">
        <v>0.2</v>
      </c>
      <c r="F80" s="1154">
        <v>30</v>
      </c>
    </row>
    <row r="81" spans="1:6" s="1105" customFormat="1" ht="36">
      <c r="A81" s="1154">
        <v>21</v>
      </c>
      <c r="B81" s="3409"/>
      <c r="C81" s="1068" t="s">
        <v>1543</v>
      </c>
      <c r="D81" s="1068" t="s">
        <v>1544</v>
      </c>
      <c r="E81" s="1139">
        <v>0.2</v>
      </c>
      <c r="F81" s="1154">
        <v>30</v>
      </c>
    </row>
    <row r="82" spans="1:6" s="1105" customFormat="1" ht="48">
      <c r="A82" s="1154">
        <v>22</v>
      </c>
      <c r="B82" s="3409"/>
      <c r="C82" s="1068" t="s">
        <v>1545</v>
      </c>
      <c r="D82" s="1068" t="s">
        <v>1546</v>
      </c>
      <c r="E82" s="1139">
        <v>0.2</v>
      </c>
      <c r="F82" s="1154">
        <v>30</v>
      </c>
    </row>
    <row r="83" spans="1:6" s="1105" customFormat="1" ht="48">
      <c r="A83" s="1154">
        <v>23</v>
      </c>
      <c r="B83" s="3409"/>
      <c r="C83" s="1068" t="s">
        <v>1547</v>
      </c>
      <c r="D83" s="1068" t="s">
        <v>1548</v>
      </c>
      <c r="E83" s="1139">
        <v>0.2</v>
      </c>
      <c r="F83" s="1154">
        <v>30</v>
      </c>
    </row>
    <row r="84" spans="1:6" s="1105" customFormat="1" ht="36">
      <c r="A84" s="1154">
        <v>24</v>
      </c>
      <c r="B84" s="3409"/>
      <c r="C84" s="1068" t="s">
        <v>1549</v>
      </c>
      <c r="D84" s="1068" t="s">
        <v>1550</v>
      </c>
      <c r="E84" s="1139">
        <v>0.2</v>
      </c>
      <c r="F84" s="1154">
        <v>30</v>
      </c>
    </row>
    <row r="85" spans="1:6" s="1105" customFormat="1" ht="36">
      <c r="A85" s="1154">
        <v>25</v>
      </c>
      <c r="B85" s="3409"/>
      <c r="C85" s="1068" t="s">
        <v>1551</v>
      </c>
      <c r="D85" s="1068" t="s">
        <v>1552</v>
      </c>
      <c r="E85" s="1139">
        <v>0.5</v>
      </c>
      <c r="F85" s="1154">
        <v>80</v>
      </c>
    </row>
    <row r="86" spans="1:6" s="1105" customFormat="1" ht="36">
      <c r="A86" s="1154">
        <v>26</v>
      </c>
      <c r="B86" s="3409"/>
      <c r="C86" s="1068" t="s">
        <v>1553</v>
      </c>
      <c r="D86" s="1068" t="s">
        <v>1554</v>
      </c>
      <c r="E86" s="1139">
        <v>0.2</v>
      </c>
      <c r="F86" s="1154">
        <v>30</v>
      </c>
    </row>
    <row r="87" spans="1:6" s="1105" customFormat="1" ht="36">
      <c r="A87" s="1154">
        <v>27</v>
      </c>
      <c r="B87" s="3409"/>
      <c r="C87" s="1068" t="s">
        <v>1555</v>
      </c>
      <c r="D87" s="1068" t="s">
        <v>1556</v>
      </c>
      <c r="E87" s="1139">
        <v>0.2</v>
      </c>
      <c r="F87" s="1154">
        <v>30</v>
      </c>
    </row>
    <row r="88" spans="1:6" s="1105" customFormat="1" ht="36">
      <c r="A88" s="1154">
        <v>28</v>
      </c>
      <c r="B88" s="3409"/>
      <c r="C88" s="1068" t="s">
        <v>1557</v>
      </c>
      <c r="D88" s="1068" t="s">
        <v>1558</v>
      </c>
      <c r="E88" s="1139">
        <v>0.2</v>
      </c>
      <c r="F88" s="1154">
        <v>30</v>
      </c>
    </row>
    <row r="89" spans="1:6" s="1105" customFormat="1" ht="24">
      <c r="A89" s="1154">
        <v>29</v>
      </c>
      <c r="B89" s="3409"/>
      <c r="C89" s="1068" t="s">
        <v>1559</v>
      </c>
      <c r="D89" s="1068" t="s">
        <v>1560</v>
      </c>
      <c r="E89" s="1139">
        <v>0.2</v>
      </c>
      <c r="F89" s="1154">
        <v>30</v>
      </c>
    </row>
    <row r="90" spans="1:6" s="1105" customFormat="1" ht="24">
      <c r="A90" s="1154">
        <v>30</v>
      </c>
      <c r="B90" s="3409"/>
      <c r="C90" s="1068" t="s">
        <v>1561</v>
      </c>
      <c r="D90" s="1068" t="s">
        <v>1562</v>
      </c>
      <c r="E90" s="1139">
        <v>0.2</v>
      </c>
      <c r="F90" s="1154">
        <v>30</v>
      </c>
    </row>
    <row r="91" spans="1:6" s="1105" customFormat="1" ht="36">
      <c r="A91" s="1154">
        <v>31</v>
      </c>
      <c r="B91" s="3409"/>
      <c r="C91" s="1068" t="s">
        <v>1563</v>
      </c>
      <c r="D91" s="1068" t="s">
        <v>1564</v>
      </c>
      <c r="E91" s="1139">
        <v>0.2</v>
      </c>
      <c r="F91" s="1154">
        <v>30</v>
      </c>
    </row>
    <row r="92" spans="1:6" s="1105" customFormat="1" ht="24">
      <c r="A92" s="1154">
        <v>32</v>
      </c>
      <c r="B92" s="3409" t="s">
        <v>1565</v>
      </c>
      <c r="C92" s="1154" t="s">
        <v>1566</v>
      </c>
      <c r="D92" s="1068" t="s">
        <v>1567</v>
      </c>
      <c r="E92" s="1139">
        <v>0.2</v>
      </c>
      <c r="F92" s="1154">
        <v>30</v>
      </c>
    </row>
    <row r="93" spans="1:6" s="1105" customFormat="1" ht="36">
      <c r="A93" s="1154">
        <v>33</v>
      </c>
      <c r="B93" s="3409"/>
      <c r="C93" s="1154" t="s">
        <v>1568</v>
      </c>
      <c r="D93" s="1068" t="s">
        <v>1569</v>
      </c>
      <c r="E93" s="1139">
        <v>0.2</v>
      </c>
      <c r="F93" s="1154">
        <v>30</v>
      </c>
    </row>
    <row r="94" spans="1:6" s="1105" customFormat="1" ht="48">
      <c r="A94" s="1154">
        <v>34</v>
      </c>
      <c r="B94" s="3409"/>
      <c r="C94" s="1154" t="s">
        <v>1570</v>
      </c>
      <c r="D94" s="1068" t="s">
        <v>1571</v>
      </c>
      <c r="E94" s="1139">
        <v>0.2</v>
      </c>
      <c r="F94" s="1154">
        <v>30</v>
      </c>
    </row>
    <row r="95" spans="1:6" s="1105" customFormat="1" ht="36">
      <c r="A95" s="1154">
        <v>35</v>
      </c>
      <c r="B95" s="3409"/>
      <c r="C95" s="1154" t="s">
        <v>1572</v>
      </c>
      <c r="D95" s="1068" t="s">
        <v>1573</v>
      </c>
      <c r="E95" s="1139">
        <v>0.2</v>
      </c>
      <c r="F95" s="1154">
        <v>30</v>
      </c>
    </row>
    <row r="96" spans="1:6" s="1105" customFormat="1" ht="48">
      <c r="A96" s="1154">
        <v>36</v>
      </c>
      <c r="B96" s="3409"/>
      <c r="C96" s="1068" t="s">
        <v>1574</v>
      </c>
      <c r="D96" s="1068" t="s">
        <v>1575</v>
      </c>
      <c r="E96" s="1139">
        <v>0.2</v>
      </c>
      <c r="F96" s="1154">
        <v>30</v>
      </c>
    </row>
    <row r="97" spans="1:6" s="1105" customFormat="1" ht="36">
      <c r="A97" s="1154">
        <v>37</v>
      </c>
      <c r="B97" s="3409"/>
      <c r="C97" s="1154" t="s">
        <v>1576</v>
      </c>
      <c r="D97" s="1068" t="s">
        <v>1577</v>
      </c>
      <c r="E97" s="1139">
        <v>0.2</v>
      </c>
      <c r="F97" s="1154">
        <v>30</v>
      </c>
    </row>
    <row r="98" spans="1:6" s="1105" customFormat="1" ht="36">
      <c r="A98" s="1154">
        <v>38</v>
      </c>
      <c r="B98" s="3409"/>
      <c r="C98" s="1154" t="s">
        <v>1578</v>
      </c>
      <c r="D98" s="1068" t="s">
        <v>1579</v>
      </c>
      <c r="E98" s="1139">
        <v>0.2</v>
      </c>
      <c r="F98" s="1154">
        <v>30</v>
      </c>
    </row>
    <row r="99" spans="1:6" s="1105" customFormat="1" ht="36">
      <c r="A99" s="1154">
        <v>39</v>
      </c>
      <c r="B99" s="3409" t="s">
        <v>1580</v>
      </c>
      <c r="C99" s="1154" t="s">
        <v>1581</v>
      </c>
      <c r="D99" s="1068" t="s">
        <v>1582</v>
      </c>
      <c r="E99" s="1139">
        <v>0.3</v>
      </c>
      <c r="F99" s="1154">
        <v>50</v>
      </c>
    </row>
    <row r="100" spans="1:6" s="1105" customFormat="1" ht="24">
      <c r="A100" s="1154">
        <v>40</v>
      </c>
      <c r="B100" s="3409"/>
      <c r="C100" s="1154" t="s">
        <v>1583</v>
      </c>
      <c r="D100" s="1068" t="s">
        <v>1584</v>
      </c>
      <c r="E100" s="1139">
        <v>0.2</v>
      </c>
      <c r="F100" s="1154">
        <v>30</v>
      </c>
    </row>
    <row r="101" spans="1:6" s="1105" customFormat="1" ht="36">
      <c r="A101" s="1154">
        <v>41</v>
      </c>
      <c r="B101" s="340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09" t="s">
        <v>1595</v>
      </c>
      <c r="C105" s="1154" t="s">
        <v>1596</v>
      </c>
      <c r="D105" s="1068" t="s">
        <v>1597</v>
      </c>
      <c r="E105" s="1139">
        <v>0.2</v>
      </c>
      <c r="F105" s="1154">
        <v>30</v>
      </c>
    </row>
    <row r="106" spans="1:6" s="1105" customFormat="1" ht="36">
      <c r="A106" s="1154">
        <v>46</v>
      </c>
      <c r="B106" s="3409"/>
      <c r="C106" s="1154" t="s">
        <v>1598</v>
      </c>
      <c r="D106" s="1068" t="s">
        <v>1599</v>
      </c>
      <c r="E106" s="1139">
        <v>0.2</v>
      </c>
      <c r="F106" s="1154">
        <v>30</v>
      </c>
    </row>
    <row r="107" spans="1:6" s="1105" customFormat="1" ht="36">
      <c r="A107" s="1154">
        <v>47</v>
      </c>
      <c r="B107" s="3409" t="s">
        <v>1600</v>
      </c>
      <c r="C107" s="1154" t="s">
        <v>1601</v>
      </c>
      <c r="D107" s="1068" t="s">
        <v>1602</v>
      </c>
      <c r="E107" s="1139">
        <v>0.3</v>
      </c>
      <c r="F107" s="1154">
        <v>50</v>
      </c>
    </row>
    <row r="108" spans="1:6" s="1105" customFormat="1" ht="36">
      <c r="A108" s="1154">
        <v>48</v>
      </c>
      <c r="B108" s="340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09" t="s">
        <v>1611</v>
      </c>
      <c r="C111" s="1154" t="s">
        <v>1612</v>
      </c>
      <c r="D111" s="1068" t="s">
        <v>1613</v>
      </c>
      <c r="E111" s="1139">
        <v>0.2</v>
      </c>
      <c r="F111" s="1154">
        <v>30</v>
      </c>
    </row>
    <row r="112" spans="1:6" s="1105" customFormat="1" ht="24">
      <c r="A112" s="1154">
        <v>52</v>
      </c>
      <c r="B112" s="3409"/>
      <c r="C112" s="1154" t="s">
        <v>1614</v>
      </c>
      <c r="D112" s="1068" t="s">
        <v>1615</v>
      </c>
      <c r="E112" s="1139">
        <v>0.2</v>
      </c>
      <c r="F112" s="1154">
        <v>30</v>
      </c>
    </row>
    <row r="113" spans="1:14" s="1105" customFormat="1" ht="24">
      <c r="A113" s="1154">
        <v>53</v>
      </c>
      <c r="B113" s="340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09" t="s">
        <v>1624</v>
      </c>
      <c r="C116" s="1154" t="s">
        <v>1625</v>
      </c>
      <c r="D116" s="1068" t="s">
        <v>1626</v>
      </c>
      <c r="E116" s="1139">
        <v>0.2</v>
      </c>
      <c r="F116" s="1154">
        <v>30</v>
      </c>
    </row>
    <row r="117" spans="1:14" ht="36">
      <c r="A117" s="1154">
        <v>57</v>
      </c>
      <c r="B117" s="340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08" t="s">
        <v>1633</v>
      </c>
      <c r="B121" s="3408"/>
      <c r="C121" s="3408"/>
      <c r="D121" s="3408"/>
      <c r="E121" s="3408"/>
      <c r="F121" s="3408"/>
      <c r="G121" s="3408"/>
      <c r="H121" s="3408"/>
      <c r="I121" s="3408"/>
      <c r="J121" s="340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3" t="s">
        <v>1039</v>
      </c>
      <c r="B1" s="3413"/>
      <c r="C1" s="3413"/>
      <c r="D1" s="3413"/>
      <c r="E1" s="3413"/>
      <c r="F1" s="341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14" t="s">
        <v>1052</v>
      </c>
      <c r="B2" s="3414"/>
      <c r="C2" s="3414"/>
      <c r="D2" s="3414"/>
      <c r="E2" s="3414"/>
      <c r="F2" s="341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1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1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7" t="s">
        <v>2079</v>
      </c>
      <c r="B1" s="3417"/>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2948</v>
      </c>
      <c r="B1" s="3081"/>
      <c r="C1" s="3081"/>
      <c r="D1" s="3081"/>
      <c r="E1" s="3081"/>
      <c r="F1" s="3081"/>
    </row>
    <row r="2" spans="1:6" ht="14.25">
      <c r="A2" s="3082" t="s">
        <v>2943</v>
      </c>
      <c r="B2" s="3083" t="e">
        <f ca="1">SUMIF(B7:B14,"&lt;&gt;#ref!",B7:B14)</f>
        <v>#DIV/0!</v>
      </c>
      <c r="C2" s="3082" t="s">
        <v>2944</v>
      </c>
      <c r="D2" s="3081"/>
      <c r="E2" s="3081"/>
      <c r="F2" s="3081"/>
    </row>
    <row r="3" spans="1:6" ht="14.25">
      <c r="A3" s="3082" t="s">
        <v>2976</v>
      </c>
      <c r="B3" s="3083" t="e">
        <f ca="1">ROUND(B2*10000/E3,0)</f>
        <v>#DIV/0!</v>
      </c>
      <c r="C3" s="3082" t="s">
        <v>2078</v>
      </c>
      <c r="D3" s="3082" t="s">
        <v>2945</v>
      </c>
      <c r="E3" s="3083">
        <f ca="1">SUMIF(E7:E14,"&lt;&gt;#ref!",E7:E14)</f>
        <v>0</v>
      </c>
      <c r="F3" s="3081"/>
    </row>
    <row r="4" spans="1:6" ht="14.25">
      <c r="A4" s="3082" t="s">
        <v>2952</v>
      </c>
      <c r="B4" s="3083" t="e">
        <f ca="1">ROUND(B2*10000/E4,0)</f>
        <v>#DIV/0!</v>
      </c>
      <c r="C4" s="3082" t="s">
        <v>2078</v>
      </c>
      <c r="D4" s="3082" t="s">
        <v>2953</v>
      </c>
      <c r="E4" s="3083">
        <f ca="1">SUMIF(F7:F14,"&lt;&gt;#ref!",F7:F14)</f>
        <v>0</v>
      </c>
      <c r="F4" s="3081"/>
    </row>
    <row r="5" spans="1:6" ht="14.25">
      <c r="A5" s="3084"/>
      <c r="B5" s="1882"/>
      <c r="C5" s="1882"/>
      <c r="D5" s="1882"/>
      <c r="E5" s="1882"/>
      <c r="F5" s="3081"/>
    </row>
    <row r="6" spans="1:6" ht="28.5">
      <c r="A6" s="3085" t="s">
        <v>2949</v>
      </c>
      <c r="B6" s="3082" t="s">
        <v>2946</v>
      </c>
      <c r="C6" s="3083"/>
      <c r="D6" s="1882"/>
      <c r="E6" s="3082" t="s">
        <v>2947</v>
      </c>
      <c r="F6" s="3082" t="s">
        <v>2951</v>
      </c>
    </row>
    <row r="7" spans="1:6" ht="14.25">
      <c r="A7" s="260" t="s">
        <v>2950</v>
      </c>
      <c r="B7" s="3086" t="e">
        <f ca="1">SUMIF(INDIRECT("'"&amp;A7&amp;"'"&amp;"!A:A"),"总价",INDIRECT("'"&amp;A7&amp;"'"&amp;"!B:B"))</f>
        <v>#DIV/0!</v>
      </c>
      <c r="C7" s="3082" t="s">
        <v>2944</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2944</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2944</v>
      </c>
      <c r="D9" s="1882"/>
      <c r="E9" s="3087" t="e">
        <f t="shared" ca="1" si="1"/>
        <v>#REF!</v>
      </c>
      <c r="F9" s="3087" t="e">
        <f t="shared" ca="1" si="2"/>
        <v>#REF!</v>
      </c>
    </row>
    <row r="10" spans="1:6" ht="14.25">
      <c r="A10" s="260"/>
      <c r="B10" s="3086" t="e">
        <f t="shared" ca="1" si="0"/>
        <v>#REF!</v>
      </c>
      <c r="C10" s="3082" t="s">
        <v>2944</v>
      </c>
      <c r="D10" s="1882"/>
      <c r="E10" s="3087" t="e">
        <f t="shared" ca="1" si="1"/>
        <v>#REF!</v>
      </c>
      <c r="F10" s="3087" t="e">
        <f t="shared" ca="1" si="2"/>
        <v>#REF!</v>
      </c>
    </row>
    <row r="11" spans="1:6" ht="14.25">
      <c r="A11" s="260"/>
      <c r="B11" s="3086" t="e">
        <f t="shared" ca="1" si="0"/>
        <v>#REF!</v>
      </c>
      <c r="C11" s="3082" t="s">
        <v>2944</v>
      </c>
      <c r="D11" s="1882"/>
      <c r="E11" s="3087" t="e">
        <f t="shared" ca="1" si="1"/>
        <v>#REF!</v>
      </c>
      <c r="F11" s="3087" t="e">
        <f t="shared" ca="1" si="2"/>
        <v>#REF!</v>
      </c>
    </row>
    <row r="12" spans="1:6" ht="14.25">
      <c r="A12" s="260"/>
      <c r="B12" s="3086" t="e">
        <f t="shared" ca="1" si="0"/>
        <v>#REF!</v>
      </c>
      <c r="C12" s="3082" t="s">
        <v>2944</v>
      </c>
      <c r="D12" s="1882"/>
      <c r="E12" s="3087" t="e">
        <f t="shared" ca="1" si="1"/>
        <v>#REF!</v>
      </c>
      <c r="F12" s="3087" t="e">
        <f t="shared" ca="1" si="2"/>
        <v>#REF!</v>
      </c>
    </row>
    <row r="13" spans="1:6" ht="14.25">
      <c r="A13" s="260"/>
      <c r="B13" s="3086" t="e">
        <f t="shared" ca="1" si="0"/>
        <v>#REF!</v>
      </c>
      <c r="C13" s="3082" t="s">
        <v>2944</v>
      </c>
      <c r="D13" s="1882"/>
      <c r="E13" s="3087" t="e">
        <f t="shared" ca="1" si="1"/>
        <v>#REF!</v>
      </c>
      <c r="F13" s="3087" t="e">
        <f t="shared" ca="1" si="2"/>
        <v>#REF!</v>
      </c>
    </row>
    <row r="14" spans="1:6" ht="14.25">
      <c r="A14" s="3080"/>
      <c r="B14" s="3086" t="e">
        <f t="shared" ca="1" si="0"/>
        <v>#REF!</v>
      </c>
      <c r="C14" s="3082" t="s">
        <v>2944</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2371</v>
      </c>
      <c r="F1" s="2367">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1" t="s">
        <v>1824</v>
      </c>
      <c r="B8" s="3419" t="s">
        <v>2460</v>
      </c>
      <c r="C8" s="1826">
        <f ca="1">ROUND(F8*F10*F9*(1-F11)/10000,0)</f>
        <v>0</v>
      </c>
      <c r="D8" s="1823" t="s">
        <v>2531</v>
      </c>
      <c r="E8" s="61" t="s">
        <v>637</v>
      </c>
      <c r="F8" s="785">
        <f ca="1">INDIRECT("'数据-取费表'!u"&amp;$G$1)</f>
        <v>0</v>
      </c>
      <c r="G8" s="1593"/>
      <c r="H8" s="2483" t="s">
        <v>1824</v>
      </c>
      <c r="I8" s="3419" t="s">
        <v>2460</v>
      </c>
      <c r="J8" s="783">
        <f ca="1">ROUND(M8*M10*M9*(1-M11)/10000,0)</f>
        <v>0</v>
      </c>
      <c r="K8" s="341" t="s">
        <v>2531</v>
      </c>
      <c r="L8" s="784" t="s">
        <v>1738</v>
      </c>
      <c r="M8" s="785">
        <f ca="1">INDIRECT("'数据-取费表'!z"&amp;$G$1)</f>
        <v>0</v>
      </c>
    </row>
    <row r="9" spans="1:25" ht="18" customHeight="1">
      <c r="A9" s="2479"/>
      <c r="B9" s="3420"/>
      <c r="C9" s="1827"/>
      <c r="D9" s="1824"/>
      <c r="E9" s="61" t="s">
        <v>638</v>
      </c>
      <c r="F9" s="785">
        <f ca="1">IF(INDIRECT("'数据-取费表'!ah"&amp;$G$1)="",INDIRECT("'数据-取费表'!k"&amp;$G$1),INDIRECT("'数据-取费表'!ah"&amp;$G$1))</f>
        <v>0</v>
      </c>
      <c r="G9" s="1593"/>
      <c r="H9" s="2468"/>
      <c r="I9" s="3420"/>
      <c r="J9" s="788"/>
      <c r="K9" s="789"/>
      <c r="L9" s="784" t="s">
        <v>1739</v>
      </c>
      <c r="M9" s="785">
        <f ca="1">F9</f>
        <v>0</v>
      </c>
    </row>
    <row r="10" spans="1:25" ht="18" customHeight="1">
      <c r="A10" s="2472"/>
      <c r="B10" s="3421"/>
      <c r="C10" s="1827"/>
      <c r="D10" s="1824"/>
      <c r="E10" s="61" t="s">
        <v>639</v>
      </c>
      <c r="F10" s="785">
        <f ca="1">INDIRECT("'数据-取费表'!ai"&amp;$G$1)</f>
        <v>0</v>
      </c>
      <c r="G10" s="1593"/>
      <c r="H10" s="2468"/>
      <c r="I10" s="3421"/>
      <c r="J10" s="788"/>
      <c r="K10" s="789"/>
      <c r="L10" s="784" t="s">
        <v>1740</v>
      </c>
      <c r="M10" s="785">
        <f ca="1">INDIRECT("'数据-取费表'!ai"&amp;$G$1)</f>
        <v>0</v>
      </c>
    </row>
    <row r="11" spans="1:25" ht="18" customHeight="1">
      <c r="A11" s="786"/>
      <c r="B11" s="3422"/>
      <c r="C11" s="1827"/>
      <c r="D11" s="1824"/>
      <c r="E11" s="61" t="s">
        <v>640</v>
      </c>
      <c r="F11" s="794">
        <f ca="1">INDIRECT("'数据-取费表'!w"&amp;$G$1)</f>
        <v>0</v>
      </c>
      <c r="G11" s="1593"/>
      <c r="H11" s="2484"/>
      <c r="I11" s="3421"/>
      <c r="J11" s="788"/>
      <c r="K11" s="789"/>
      <c r="L11" s="795" t="s">
        <v>1741</v>
      </c>
      <c r="M11" s="796">
        <f ca="1">INDIRECT("'数据-取费表'!ab"&amp;$G$1)</f>
        <v>0</v>
      </c>
    </row>
    <row r="12" spans="1:25" ht="18" customHeight="1">
      <c r="A12" s="1831" t="s">
        <v>1825</v>
      </c>
      <c r="B12" s="2473" t="s">
        <v>2456</v>
      </c>
      <c r="C12" s="799">
        <f ca="1">ROUND(IF(F12="押一",C8/12*F13,IF(F12="押二",C8/12*2*F13,IF(F12="押三",C8/12*3*F13,C13*F13))),0)</f>
        <v>0</v>
      </c>
      <c r="D12" s="2480" t="s">
        <v>2973</v>
      </c>
      <c r="E12" s="2477" t="s">
        <v>2461</v>
      </c>
      <c r="F12" s="2600"/>
      <c r="G12" s="1593"/>
      <c r="H12" s="2540" t="s">
        <v>1825</v>
      </c>
      <c r="I12" s="2545" t="s">
        <v>2456</v>
      </c>
      <c r="J12" s="783">
        <f ca="1">ROUND(IF(M12="押一",J8/12*M13,IF(M12="押二",J8/12*2*M13,IF(M12="押三",J8/12*3*M13,J13*M13))),0)</f>
        <v>0</v>
      </c>
      <c r="K12" s="2480" t="s">
        <v>2973</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2069</v>
      </c>
      <c r="I16" s="2232" t="s">
        <v>2822</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4"/>
      <c r="H22" s="1833" t="s">
        <v>1850</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1.4999999999999999E-2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1875</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5.0000000000000001E-4</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2986" t="s">
        <v>2819</v>
      </c>
      <c r="J27" s="799">
        <f ca="1">J7-J18</f>
        <v>0</v>
      </c>
      <c r="K27" s="1980" t="s">
        <v>700</v>
      </c>
      <c r="L27" s="1982"/>
      <c r="M27" s="820"/>
    </row>
    <row r="28" spans="1:25" ht="18" customHeight="1">
      <c r="A28" s="803" t="s">
        <v>1875</v>
      </c>
      <c r="B28" s="784" t="s">
        <v>2435</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1883</v>
      </c>
      <c r="B31" s="2520" t="s">
        <v>2820</v>
      </c>
      <c r="C31" s="2523">
        <f ca="1">ROUND((C21+C22+C25+C28)/(1-F23-C26-C29-C30),0)</f>
        <v>0</v>
      </c>
      <c r="D31" s="2524"/>
      <c r="E31" s="2525"/>
      <c r="F31" s="2526"/>
      <c r="G31" s="1594"/>
      <c r="H31" s="823" t="s">
        <v>1872</v>
      </c>
      <c r="I31" s="2987" t="s">
        <v>2821</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0</v>
      </c>
      <c r="G36" s="2063"/>
      <c r="H36" s="2066"/>
      <c r="I36" s="3418"/>
      <c r="J36" s="2080"/>
      <c r="K36" s="2081"/>
      <c r="L36" s="2080"/>
      <c r="M36" s="2080"/>
    </row>
    <row r="37" spans="1:18" ht="18" customHeight="1">
      <c r="A37" s="815"/>
      <c r="B37" s="793"/>
      <c r="C37" s="69"/>
      <c r="D37" s="816"/>
      <c r="E37" s="784" t="s">
        <v>674</v>
      </c>
      <c r="F37" s="785">
        <f ca="1">INDIRECT("'数据-取费表'!r"&amp;$G$1)</f>
        <v>0</v>
      </c>
      <c r="G37" s="2063"/>
      <c r="H37" s="2066"/>
      <c r="I37" s="3418"/>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1879</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098" t="s">
        <v>2961</v>
      </c>
      <c r="F43" s="3099">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2340</v>
      </c>
      <c r="J47" s="2358"/>
      <c r="K47" s="2359"/>
      <c r="L47" s="3133" t="str">
        <f ca="1">IF(M48="住宅",0,IF(L49&gt;J52,L61,J61))</f>
        <v>0</v>
      </c>
      <c r="O47" s="2373" t="s">
        <v>2407</v>
      </c>
      <c r="P47" s="1593"/>
      <c r="Q47" s="1605"/>
      <c r="R47" s="1593"/>
    </row>
    <row r="48" spans="1:18" s="2060" customFormat="1" ht="18" customHeight="1" thickBot="1">
      <c r="A48" s="2085"/>
      <c r="C48" s="2088"/>
      <c r="D48" s="2089"/>
      <c r="E48" s="2089"/>
      <c r="F48" s="2090"/>
      <c r="G48" s="2091"/>
      <c r="I48" s="3123" t="s">
        <v>2341</v>
      </c>
      <c r="J48" s="2360"/>
      <c r="K48" s="3130" t="s">
        <v>2346</v>
      </c>
      <c r="L48" s="3134">
        <f ca="1">INDIRECT("'数据-取费表'!d"&amp;$G$1)</f>
        <v>0</v>
      </c>
      <c r="M48" s="3097" t="str">
        <f>IF(ISNUMBER(FIND("住宅",C1)),"住宅","非住宅")</f>
        <v>非住宅</v>
      </c>
      <c r="O48" s="2374" t="s">
        <v>2372</v>
      </c>
      <c r="P48" s="2375" t="s">
        <v>2373</v>
      </c>
      <c r="Q48" s="2376" t="s">
        <v>2374</v>
      </c>
      <c r="R48" s="2375" t="s">
        <v>2375</v>
      </c>
    </row>
    <row r="49" spans="1:18" s="2060" customFormat="1" ht="18" customHeight="1" thickBot="1">
      <c r="A49" s="2085"/>
      <c r="D49" s="2092"/>
      <c r="E49" s="2093"/>
      <c r="F49" s="2090"/>
      <c r="G49" s="2091"/>
      <c r="H49" s="2094"/>
      <c r="I49" s="3102" t="s">
        <v>2342</v>
      </c>
      <c r="J49" s="2361"/>
      <c r="K49" s="3131" t="s">
        <v>2348</v>
      </c>
      <c r="L49" s="1909">
        <f ca="1">INDIRECT("'数据-取费表'!f"&amp;$G$1)</f>
        <v>0</v>
      </c>
      <c r="O49" s="2377" t="s">
        <v>2376</v>
      </c>
      <c r="P49" s="2378" t="s">
        <v>2402</v>
      </c>
      <c r="Q49" s="2379">
        <f ca="1">C41+J31</f>
        <v>0</v>
      </c>
      <c r="R49" s="2378" t="s">
        <v>2377</v>
      </c>
    </row>
    <row r="50" spans="1:18" s="2060" customFormat="1" ht="18" customHeight="1" thickBot="1">
      <c r="A50" s="2085"/>
      <c r="D50" s="2095"/>
      <c r="E50" s="2095"/>
      <c r="F50" s="2089"/>
      <c r="G50" s="2096"/>
      <c r="H50" s="2094"/>
      <c r="I50" s="3102" t="s">
        <v>2343</v>
      </c>
      <c r="J50" s="2362"/>
      <c r="K50" s="3132" t="s">
        <v>2349</v>
      </c>
      <c r="L50" s="2363"/>
      <c r="O50" s="2377" t="s">
        <v>2378</v>
      </c>
      <c r="P50" s="2378" t="s">
        <v>2403</v>
      </c>
      <c r="Q50" s="2379" t="str">
        <f ca="1">J61</f>
        <v>0</v>
      </c>
      <c r="R50" s="2378" t="s">
        <v>2379</v>
      </c>
    </row>
    <row r="51" spans="1:18" s="2060" customFormat="1" ht="18" customHeight="1" thickBot="1">
      <c r="A51" s="2097"/>
      <c r="D51" s="2095"/>
      <c r="E51" s="2095"/>
      <c r="F51" s="2086"/>
      <c r="H51" s="2094"/>
      <c r="I51" s="3102" t="s">
        <v>2344</v>
      </c>
      <c r="J51" s="3127">
        <f>SUMPRODUCT((I64:I66=J48)*(J63:L63=J49)*(J64:L66))</f>
        <v>0</v>
      </c>
      <c r="K51" s="3132" t="s">
        <v>2350</v>
      </c>
      <c r="L51" s="2363"/>
      <c r="O51" s="2380" t="s">
        <v>2380</v>
      </c>
      <c r="P51" s="2378" t="s">
        <v>2404</v>
      </c>
      <c r="Q51" s="2379">
        <f ca="1">C31</f>
        <v>0</v>
      </c>
      <c r="R51" s="2378" t="s">
        <v>2377</v>
      </c>
    </row>
    <row r="52" spans="1:18" s="2060" customFormat="1" ht="18" customHeight="1" thickBot="1">
      <c r="A52" s="2097"/>
      <c r="F52" s="2086"/>
      <c r="I52" s="3124" t="s">
        <v>2345</v>
      </c>
      <c r="J52" s="3128">
        <f>IF(J50="",J51,J50+J51-YEAR('数据-取费表'!B3))</f>
        <v>0</v>
      </c>
      <c r="K52" s="3102" t="s">
        <v>2351</v>
      </c>
      <c r="L52" s="3135">
        <f ca="1">ROUND(-PV(INDIRECT("'数据-取费表'!h"&amp;$G$1),L49,(C40-C14*J36),0),0)</f>
        <v>0</v>
      </c>
      <c r="O52" s="2380" t="s">
        <v>2381</v>
      </c>
      <c r="P52" s="2378" t="s">
        <v>2382</v>
      </c>
      <c r="Q52" s="2381" t="e">
        <f ca="1">J59</f>
        <v>#VALUE!</v>
      </c>
      <c r="R52" s="2382"/>
    </row>
    <row r="53" spans="1:18" s="2060" customFormat="1" ht="18" customHeight="1" thickBot="1">
      <c r="A53" s="2097"/>
      <c r="F53" s="2086"/>
      <c r="I53" s="3125" t="s">
        <v>2418</v>
      </c>
      <c r="J53" s="2364"/>
      <c r="K53" s="3125" t="s">
        <v>2417</v>
      </c>
      <c r="L53" s="2364"/>
      <c r="O53" s="2380" t="s">
        <v>2383</v>
      </c>
      <c r="P53" s="2378" t="s">
        <v>2384</v>
      </c>
      <c r="Q53" s="2381">
        <f>J53</f>
        <v>0</v>
      </c>
      <c r="R53" s="2382"/>
    </row>
    <row r="54" spans="1:18" s="2060" customFormat="1" ht="29.25" thickBot="1">
      <c r="A54" s="2097"/>
      <c r="I54" s="3126" t="s">
        <v>2977</v>
      </c>
      <c r="J54" s="3129">
        <f ca="1">IF(M48="住宅",MAX(J52,L49-'数据-取费表'!B20),MIN(J52,L49-'数据-取费表'!B20))</f>
        <v>-1.5</v>
      </c>
      <c r="K54" s="3423"/>
      <c r="L54" s="3424"/>
      <c r="O54" s="2380" t="s">
        <v>2385</v>
      </c>
      <c r="P54" s="2378" t="s">
        <v>2386</v>
      </c>
      <c r="Q54" s="2379">
        <f ca="1">J54</f>
        <v>-1.5</v>
      </c>
      <c r="R54" s="2378" t="s">
        <v>2387</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2388</v>
      </c>
      <c r="P55" s="2378" t="s">
        <v>2405</v>
      </c>
      <c r="Q55" s="2379">
        <f ca="1">Q49+Q50</f>
        <v>0</v>
      </c>
      <c r="R55" s="2382" t="s">
        <v>2389</v>
      </c>
    </row>
    <row r="56" spans="1:18" s="2060" customFormat="1" ht="16.5" thickBot="1">
      <c r="A56" s="2097"/>
      <c r="B56" s="2098"/>
      <c r="C56" s="2098"/>
      <c r="I56" s="3138" t="s">
        <v>2352</v>
      </c>
      <c r="J56" s="3077" t="e">
        <f ca="1">ROUND(IF(J48="钢混",J58/J51,1-(1-2%)*(J51-J58)/J51),3)</f>
        <v>#VALUE!</v>
      </c>
      <c r="K56" s="3139" t="s">
        <v>2353</v>
      </c>
      <c r="L56" s="2365"/>
      <c r="O56" s="2383" t="s">
        <v>2408</v>
      </c>
      <c r="P56" s="1593"/>
      <c r="Q56" s="1605"/>
      <c r="R56" s="1593"/>
    </row>
    <row r="57" spans="1:18" s="2060" customFormat="1" ht="43.5" thickBot="1">
      <c r="A57" s="2097"/>
      <c r="B57" s="2098"/>
      <c r="C57" s="2098"/>
      <c r="I57" s="3140" t="s">
        <v>2354</v>
      </c>
      <c r="J57" s="3150" t="s">
        <v>1678</v>
      </c>
      <c r="K57" s="3102" t="s">
        <v>2359</v>
      </c>
      <c r="L57" s="1909">
        <f ca="1">IF(L49&lt;J52,"——",L49-J52)</f>
        <v>0</v>
      </c>
      <c r="O57" s="2374" t="s">
        <v>2372</v>
      </c>
      <c r="P57" s="2375" t="s">
        <v>2373</v>
      </c>
      <c r="Q57" s="2376" t="s">
        <v>2374</v>
      </c>
      <c r="R57" s="2375" t="s">
        <v>2375</v>
      </c>
    </row>
    <row r="58" spans="1:18" s="2060" customFormat="1" ht="29.25" thickBot="1">
      <c r="A58" s="2097"/>
      <c r="B58" s="2098"/>
      <c r="C58" s="2098"/>
      <c r="I58" s="3141" t="s">
        <v>2355</v>
      </c>
      <c r="J58" s="3142" t="str">
        <f ca="1">IF(OR(M48="住宅",J52&lt;L49,J57="是"),"——",J52-L49)</f>
        <v>——</v>
      </c>
      <c r="K58" s="3102" t="s">
        <v>2360</v>
      </c>
      <c r="L58" s="1909">
        <f ca="1">IF(L49&lt;J52,"——",IF(L56="比较法",L50,IF(L56="基准地价",L51,L52)))</f>
        <v>0</v>
      </c>
      <c r="O58" s="2377" t="s">
        <v>2376</v>
      </c>
      <c r="P58" s="2378" t="s">
        <v>2402</v>
      </c>
      <c r="Q58" s="2379">
        <f ca="1">C41+J31</f>
        <v>0</v>
      </c>
      <c r="R58" s="2378" t="s">
        <v>2377</v>
      </c>
    </row>
    <row r="59" spans="1:18" s="2060" customFormat="1" ht="29.25" thickBot="1">
      <c r="A59" s="2097"/>
      <c r="B59" s="2098"/>
      <c r="C59" s="2098"/>
      <c r="I59" s="3141" t="s">
        <v>2356</v>
      </c>
      <c r="J59" s="3078" t="e">
        <f ca="1">IF(J56&lt;0.4,0.4,J56)</f>
        <v>#VALUE!</v>
      </c>
      <c r="K59" s="3102" t="s">
        <v>2361</v>
      </c>
      <c r="L59" s="1909">
        <f ca="1">IF(ISERROR(POWER(1+L53,L48-L49)*(POWER(1+L53,L49)-1)/(POWER(1+L53,L48)-1)),0,POWER(1+L53,L48-L49)*(POWER(1+L53,L49)-1)/(POWER(1+L53,L48)-1))</f>
        <v>0</v>
      </c>
      <c r="O59" s="2377" t="s">
        <v>2378</v>
      </c>
      <c r="P59" s="2378" t="s">
        <v>2409</v>
      </c>
      <c r="Q59" s="2379" t="e">
        <f ca="1">L61</f>
        <v>#DIV/0!</v>
      </c>
      <c r="R59" s="2382" t="s">
        <v>2411</v>
      </c>
    </row>
    <row r="60" spans="1:18" s="2060" customFormat="1" ht="29.25" thickBot="1">
      <c r="A60" s="2097"/>
      <c r="B60" s="2098"/>
      <c r="C60" s="2098"/>
      <c r="I60" s="3141" t="s">
        <v>2357</v>
      </c>
      <c r="J60" s="3142" t="str">
        <f ca="1">IF(OR(M48="住宅",J52&lt;L49,J57="是"),"——",ROUND(C30*J59,0))</f>
        <v>——</v>
      </c>
      <c r="K60" s="3102" t="s">
        <v>2362</v>
      </c>
      <c r="L60" s="1909">
        <f ca="1">IF(ISERROR(POWER(1+L53,L48-J52)*(POWER(1+L53,J52)-1)/(POWER(1+L53,L48)-1)),0,POWER(1+L53,L48-J52)*(POWER(1+L53,J52)-1)/(POWER(1+L53,L48)-1))</f>
        <v>0</v>
      </c>
      <c r="O60" s="2380" t="s">
        <v>2380</v>
      </c>
      <c r="P60" s="2378" t="s">
        <v>2410</v>
      </c>
      <c r="Q60" s="2379">
        <f>IF(L56="比较法",L50,IF(L56="基准地价",L51,0))</f>
        <v>0</v>
      </c>
      <c r="R60" s="2378" t="s">
        <v>2377</v>
      </c>
    </row>
    <row r="61" spans="1:18" s="2060" customFormat="1" ht="15.75" thickBot="1">
      <c r="A61" s="2097"/>
      <c r="B61" s="2098"/>
      <c r="C61" s="2098"/>
      <c r="I61" s="3143" t="s">
        <v>2358</v>
      </c>
      <c r="J61" s="3144" t="str">
        <f ca="1">IF(OR(M48="住宅",J52&lt;L49,J57="是"),"0",ROUND(J60/(1+J53)^J54,0))</f>
        <v>0</v>
      </c>
      <c r="K61" s="3145" t="s">
        <v>2363</v>
      </c>
      <c r="L61" s="3144" t="e">
        <f ca="1">IF(OR(M48="住宅",L49&lt;J52),0,ROUND(L58*(L59/L60-1),0))</f>
        <v>#DIV/0!</v>
      </c>
      <c r="O61" s="2380" t="s">
        <v>2381</v>
      </c>
      <c r="P61" s="2378" t="s">
        <v>2390</v>
      </c>
      <c r="Q61" s="2381">
        <f>L53</f>
        <v>0</v>
      </c>
      <c r="R61" s="2382"/>
    </row>
    <row r="62" spans="1:18" s="2060" customFormat="1" ht="20.25" thickBot="1">
      <c r="A62" s="2097"/>
      <c r="B62" s="2098"/>
      <c r="C62" s="2098"/>
      <c r="K62" s="2087"/>
      <c r="O62" s="2380" t="s">
        <v>2383</v>
      </c>
      <c r="P62" s="2378" t="s">
        <v>2391</v>
      </c>
      <c r="Q62" s="2379">
        <f ca="1">L59</f>
        <v>0</v>
      </c>
      <c r="R62" s="2382" t="s">
        <v>2392</v>
      </c>
    </row>
    <row r="63" spans="1:18" s="2060" customFormat="1" ht="20.25" thickBot="1">
      <c r="A63" s="2097"/>
      <c r="B63" s="2098"/>
      <c r="C63" s="2098"/>
      <c r="I63" s="3146" t="s">
        <v>2364</v>
      </c>
      <c r="J63" s="3147" t="s">
        <v>2365</v>
      </c>
      <c r="K63" s="3147" t="s">
        <v>2366</v>
      </c>
      <c r="L63" s="3147" t="s">
        <v>2347</v>
      </c>
      <c r="M63" s="3148" t="s">
        <v>2941</v>
      </c>
      <c r="O63" s="2380" t="s">
        <v>2385</v>
      </c>
      <c r="P63" s="2378" t="s">
        <v>2393</v>
      </c>
      <c r="Q63" s="2379">
        <f ca="1">L60</f>
        <v>0</v>
      </c>
      <c r="R63" s="2382" t="s">
        <v>2394</v>
      </c>
    </row>
    <row r="64" spans="1:18" s="2060" customFormat="1" ht="15.75" thickBot="1">
      <c r="A64" s="2097"/>
      <c r="B64" s="2098"/>
      <c r="C64" s="2098"/>
      <c r="I64" s="3146" t="s">
        <v>2367</v>
      </c>
      <c r="J64" s="3147">
        <v>70</v>
      </c>
      <c r="K64" s="3147">
        <v>50</v>
      </c>
      <c r="L64" s="3147">
        <v>80</v>
      </c>
      <c r="M64" s="3149">
        <v>0.02</v>
      </c>
      <c r="O64" s="2377" t="s">
        <v>2388</v>
      </c>
      <c r="P64" s="2378" t="s">
        <v>2405</v>
      </c>
      <c r="Q64" s="2379" t="e">
        <f ca="1">Q58+Q59</f>
        <v>#DIV/0!</v>
      </c>
      <c r="R64" s="2382" t="s">
        <v>2389</v>
      </c>
    </row>
    <row r="65" spans="1:18" s="2060" customFormat="1" ht="16.5" thickBot="1">
      <c r="A65" s="2097"/>
      <c r="B65" s="2098"/>
      <c r="C65" s="2098"/>
      <c r="I65" s="3146" t="s">
        <v>2368</v>
      </c>
      <c r="J65" s="3147">
        <v>50</v>
      </c>
      <c r="K65" s="3147">
        <v>35</v>
      </c>
      <c r="L65" s="3147">
        <v>60</v>
      </c>
      <c r="M65" s="846">
        <v>0</v>
      </c>
      <c r="O65" s="2383" t="s">
        <v>2412</v>
      </c>
      <c r="P65" s="1593"/>
      <c r="Q65" s="1605"/>
      <c r="R65" s="1593"/>
    </row>
    <row r="66" spans="1:18" s="2060" customFormat="1" ht="15.75" thickBot="1">
      <c r="A66" s="2097"/>
      <c r="B66" s="2098"/>
      <c r="C66" s="2098"/>
      <c r="I66" s="3146" t="s">
        <v>2369</v>
      </c>
      <c r="J66" s="3147">
        <v>40</v>
      </c>
      <c r="K66" s="3147">
        <v>30</v>
      </c>
      <c r="L66" s="3147">
        <v>50</v>
      </c>
      <c r="M66" s="3149">
        <v>0.02</v>
      </c>
      <c r="O66" s="2374" t="s">
        <v>2372</v>
      </c>
      <c r="P66" s="2375" t="s">
        <v>2373</v>
      </c>
      <c r="Q66" s="2376" t="s">
        <v>2374</v>
      </c>
      <c r="R66" s="2375" t="s">
        <v>2375</v>
      </c>
    </row>
    <row r="67" spans="1:18" s="2060" customFormat="1" ht="15.75" thickBot="1">
      <c r="A67" s="2097"/>
      <c r="B67" s="2098"/>
      <c r="C67" s="2098"/>
      <c r="K67" s="2087"/>
      <c r="O67" s="2377" t="s">
        <v>2376</v>
      </c>
      <c r="P67" s="2378" t="s">
        <v>2402</v>
      </c>
      <c r="Q67" s="2379">
        <f ca="1">C41+J31</f>
        <v>0</v>
      </c>
      <c r="R67" s="2378" t="s">
        <v>2377</v>
      </c>
    </row>
    <row r="68" spans="1:18" s="2060" customFormat="1" ht="20.25" thickBot="1">
      <c r="A68" s="2097"/>
      <c r="B68" s="2098"/>
      <c r="C68" s="2098"/>
      <c r="K68" s="2087"/>
      <c r="O68" s="2377" t="s">
        <v>2378</v>
      </c>
      <c r="P68" s="2378" t="s">
        <v>2409</v>
      </c>
      <c r="Q68" s="2379" t="e">
        <f ca="1">L61</f>
        <v>#DIV/0!</v>
      </c>
      <c r="R68" s="2382" t="s">
        <v>2411</v>
      </c>
    </row>
    <row r="69" spans="1:18" s="2060" customFormat="1" ht="21.75" thickBot="1">
      <c r="A69" s="2097"/>
      <c r="B69" s="2098"/>
      <c r="C69" s="2098"/>
      <c r="K69" s="2087"/>
      <c r="O69" s="2380" t="s">
        <v>2380</v>
      </c>
      <c r="P69" s="2378" t="s">
        <v>2410</v>
      </c>
      <c r="Q69" s="2384">
        <f ca="1">L52</f>
        <v>0</v>
      </c>
      <c r="R69" s="2385" t="s">
        <v>2413</v>
      </c>
    </row>
    <row r="70" spans="1:18" s="2060" customFormat="1" ht="20.25" thickBot="1">
      <c r="A70" s="2097"/>
      <c r="B70" s="2098"/>
      <c r="C70" s="2098"/>
      <c r="K70" s="2087"/>
      <c r="O70" s="2380" t="s">
        <v>2381</v>
      </c>
      <c r="P70" s="2386" t="s">
        <v>2395</v>
      </c>
      <c r="Q70" s="2379">
        <f ca="1">ROUND(Q71-Q72*Q73,0)</f>
        <v>0</v>
      </c>
      <c r="R70" s="2382"/>
    </row>
    <row r="71" spans="1:18" s="2060" customFormat="1" ht="15.75" thickBot="1">
      <c r="A71" s="2097"/>
      <c r="B71" s="2098"/>
      <c r="C71" s="2098"/>
      <c r="K71" s="2087"/>
      <c r="O71" s="2380" t="s">
        <v>2396</v>
      </c>
      <c r="P71" s="2386" t="s">
        <v>2397</v>
      </c>
      <c r="Q71" s="2379">
        <f ca="1">C42</f>
        <v>0</v>
      </c>
      <c r="R71" s="2378" t="s">
        <v>2377</v>
      </c>
    </row>
    <row r="72" spans="1:18" s="2060" customFormat="1" ht="15.75" thickBot="1">
      <c r="A72" s="2097"/>
      <c r="B72" s="2098"/>
      <c r="C72" s="2098"/>
      <c r="K72" s="2087"/>
      <c r="O72" s="2380" t="s">
        <v>2398</v>
      </c>
      <c r="P72" s="2386" t="s">
        <v>2399</v>
      </c>
      <c r="Q72" s="2379">
        <f ca="1">C15</f>
        <v>0</v>
      </c>
      <c r="R72" s="2378" t="s">
        <v>2377</v>
      </c>
    </row>
    <row r="73" spans="1:18" s="2060" customFormat="1" ht="15.75" thickBot="1">
      <c r="A73" s="2097"/>
      <c r="B73" s="2098"/>
      <c r="C73" s="2098"/>
      <c r="K73" s="2087"/>
      <c r="O73" s="2380" t="s">
        <v>2400</v>
      </c>
      <c r="P73" s="2386" t="s">
        <v>2401</v>
      </c>
      <c r="Q73" s="2381">
        <f ca="1">F43</f>
        <v>0</v>
      </c>
      <c r="R73" s="2382"/>
    </row>
    <row r="74" spans="1:18" s="2060" customFormat="1" ht="15.75" thickBot="1">
      <c r="A74" s="2097"/>
      <c r="B74" s="2098"/>
      <c r="C74" s="2098"/>
      <c r="K74" s="2087"/>
      <c r="O74" s="2380" t="s">
        <v>2383</v>
      </c>
      <c r="P74" s="2378" t="s">
        <v>2390</v>
      </c>
      <c r="Q74" s="2381">
        <f>L53</f>
        <v>0</v>
      </c>
      <c r="R74" s="2382"/>
    </row>
    <row r="75" spans="1:18" s="2060" customFormat="1" ht="20.25" thickBot="1">
      <c r="A75" s="2097"/>
      <c r="B75" s="2098"/>
      <c r="C75" s="2098"/>
      <c r="K75" s="2087"/>
      <c r="O75" s="2380" t="s">
        <v>2385</v>
      </c>
      <c r="P75" s="2378" t="s">
        <v>2391</v>
      </c>
      <c r="Q75" s="2379">
        <f ca="1">L59</f>
        <v>0</v>
      </c>
      <c r="R75" s="2382" t="s">
        <v>2392</v>
      </c>
    </row>
    <row r="76" spans="1:18" s="2060" customFormat="1" ht="20.25" thickBot="1">
      <c r="A76" s="2097"/>
      <c r="B76" s="2098"/>
      <c r="C76" s="2098"/>
      <c r="K76" s="2087"/>
      <c r="O76" s="2380" t="s">
        <v>2414</v>
      </c>
      <c r="P76" s="2378" t="s">
        <v>2393</v>
      </c>
      <c r="Q76" s="2379">
        <f ca="1">L60</f>
        <v>0</v>
      </c>
      <c r="R76" s="2382" t="s">
        <v>2394</v>
      </c>
    </row>
    <row r="77" spans="1:18" s="2060" customFormat="1" ht="15.75" thickBot="1">
      <c r="A77" s="2097"/>
      <c r="B77" s="2098"/>
      <c r="C77" s="2098"/>
      <c r="K77" s="2087"/>
      <c r="O77" s="2377" t="s">
        <v>2388</v>
      </c>
      <c r="P77" s="2378" t="s">
        <v>2405</v>
      </c>
      <c r="Q77" s="2379" t="e">
        <f ca="1">Q67+Q68</f>
        <v>#DIV/0!</v>
      </c>
      <c r="R77" s="2382"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2" t="s">
        <v>2573</v>
      </c>
      <c r="C1" s="3432"/>
      <c r="D1" s="3432"/>
      <c r="E1" s="3432"/>
      <c r="F1" s="3432"/>
      <c r="G1" s="3431" t="s">
        <v>2574</v>
      </c>
      <c r="H1" s="3431"/>
      <c r="I1" s="3431"/>
      <c r="J1" s="3431"/>
      <c r="K1" s="3431"/>
      <c r="L1" s="3431"/>
      <c r="N1" s="3431" t="s">
        <v>2575</v>
      </c>
      <c r="O1" s="3431"/>
      <c r="P1" s="3431"/>
      <c r="Q1" s="3431"/>
      <c r="R1" s="2633"/>
      <c r="S1" s="3431" t="s">
        <v>2576</v>
      </c>
      <c r="T1" s="3431"/>
      <c r="U1" s="3431"/>
      <c r="V1" s="3431"/>
      <c r="X1" s="3430" t="s">
        <v>2636</v>
      </c>
      <c r="Y1" s="3431"/>
      <c r="Z1" s="3431"/>
      <c r="AA1" s="3431"/>
      <c r="AB1" s="3431"/>
      <c r="AD1" s="3430" t="s">
        <v>2640</v>
      </c>
      <c r="AE1" s="3431"/>
      <c r="AF1" s="3431"/>
      <c r="AG1" s="3431"/>
      <c r="AH1" s="3431"/>
    </row>
    <row r="2" spans="1:34" s="2734" customFormat="1" ht="14.25" thickBot="1">
      <c r="B2" s="2742" t="s">
        <v>2577</v>
      </c>
      <c r="C2" s="2742" t="s">
        <v>2638</v>
      </c>
      <c r="D2" s="2735" t="s">
        <v>1644</v>
      </c>
      <c r="E2" s="2735" t="s">
        <v>1949</v>
      </c>
      <c r="F2" s="2742" t="s">
        <v>2639</v>
      </c>
      <c r="G2" s="2738"/>
      <c r="H2" s="2737"/>
      <c r="I2" s="2742" t="s">
        <v>2955</v>
      </c>
      <c r="J2" s="2735" t="s">
        <v>2957</v>
      </c>
      <c r="K2" s="2735" t="s">
        <v>2958</v>
      </c>
      <c r="L2" s="2742" t="s">
        <v>2959</v>
      </c>
      <c r="N2" s="2742" t="s">
        <v>2577</v>
      </c>
      <c r="O2" s="2735" t="s">
        <v>2956</v>
      </c>
      <c r="P2" s="2735" t="s">
        <v>1949</v>
      </c>
      <c r="Q2" s="2742" t="s">
        <v>2639</v>
      </c>
      <c r="R2" s="2736"/>
      <c r="S2" s="2742" t="s">
        <v>2577</v>
      </c>
      <c r="T2" s="2735" t="s">
        <v>2956</v>
      </c>
      <c r="U2" s="2735" t="s">
        <v>1949</v>
      </c>
      <c r="V2" s="2742" t="s">
        <v>2639</v>
      </c>
      <c r="X2" s="2742" t="s">
        <v>2577</v>
      </c>
      <c r="Y2" s="2742" t="s">
        <v>2638</v>
      </c>
      <c r="Z2" s="2735" t="s">
        <v>1644</v>
      </c>
      <c r="AA2" s="2735" t="s">
        <v>1949</v>
      </c>
      <c r="AB2" s="2742" t="s">
        <v>2639</v>
      </c>
      <c r="AD2" s="2742" t="s">
        <v>2577</v>
      </c>
      <c r="AE2" s="2742" t="s">
        <v>2638</v>
      </c>
      <c r="AF2" s="2735" t="s">
        <v>1644</v>
      </c>
      <c r="AG2" s="2735" t="s">
        <v>1949</v>
      </c>
      <c r="AH2" s="2742" t="s">
        <v>2639</v>
      </c>
    </row>
    <row r="3" spans="1:34" s="3107" customFormat="1" ht="14.25">
      <c r="A3" s="3119" t="s">
        <v>2968</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c r="A5" s="3089"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2969</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26">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26"/>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26"/>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27"/>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1">
        <v>439</v>
      </c>
      <c r="C10" s="3121">
        <v>327</v>
      </c>
      <c r="D10" s="3121">
        <f t="shared" si="43"/>
        <v>327</v>
      </c>
      <c r="E10" s="3121">
        <v>627</v>
      </c>
      <c r="F10" s="3122">
        <v>283</v>
      </c>
      <c r="G10" s="3425">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26"/>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426"/>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427"/>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970</v>
      </c>
      <c r="B14" s="2639">
        <v>392</v>
      </c>
      <c r="C14" s="2639">
        <v>302</v>
      </c>
      <c r="D14" s="2639">
        <f t="shared" si="43"/>
        <v>302</v>
      </c>
      <c r="E14" s="2639">
        <v>553</v>
      </c>
      <c r="F14" s="2640">
        <v>266</v>
      </c>
      <c r="G14" s="3425">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969</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26"/>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959</v>
      </c>
      <c r="B16" s="2647">
        <f t="shared" si="64"/>
        <v>360.06949782209392</v>
      </c>
      <c r="C16" s="2647">
        <f t="shared" si="64"/>
        <v>289.84672674747821</v>
      </c>
      <c r="D16" s="2647">
        <f t="shared" si="65"/>
        <v>289.84672674747821</v>
      </c>
      <c r="E16" s="2647">
        <f t="shared" si="66"/>
        <v>501.06543001181495</v>
      </c>
      <c r="F16" s="2647">
        <f t="shared" si="66"/>
        <v>256.82882500744967</v>
      </c>
      <c r="G16" s="3426"/>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968</v>
      </c>
      <c r="B17" s="2647">
        <f t="shared" si="64"/>
        <v>346.720748986128</v>
      </c>
      <c r="C17" s="2647">
        <f t="shared" si="64"/>
        <v>284.30282172386285</v>
      </c>
      <c r="D17" s="2647">
        <f t="shared" si="65"/>
        <v>284.30282172386285</v>
      </c>
      <c r="E17" s="2647">
        <f t="shared" si="66"/>
        <v>479.58023546306947</v>
      </c>
      <c r="F17" s="2647">
        <f t="shared" si="66"/>
        <v>253.25788877571213</v>
      </c>
      <c r="G17" s="3429"/>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967</v>
      </c>
      <c r="B18" s="2639">
        <v>333</v>
      </c>
      <c r="C18" s="2639">
        <v>277</v>
      </c>
      <c r="D18" s="2639">
        <f t="shared" si="65"/>
        <v>277</v>
      </c>
      <c r="E18" s="2639">
        <v>459</v>
      </c>
      <c r="F18" s="2640">
        <v>249</v>
      </c>
      <c r="G18" s="3428">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966</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26"/>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965</v>
      </c>
      <c r="B20" s="2647">
        <f t="shared" si="68"/>
        <v>322.34053690220776</v>
      </c>
      <c r="C20" s="2647">
        <f t="shared" si="68"/>
        <v>271.46160770422546</v>
      </c>
      <c r="D20" s="2647">
        <f t="shared" si="65"/>
        <v>271.46160770422546</v>
      </c>
      <c r="E20" s="2647">
        <f t="shared" si="69"/>
        <v>442.69434542172456</v>
      </c>
      <c r="F20" s="2647">
        <f t="shared" si="69"/>
        <v>241.34030753190925</v>
      </c>
      <c r="G20" s="3426"/>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964</v>
      </c>
      <c r="B21" s="2647">
        <f t="shared" si="68"/>
        <v>319.87748030386797</v>
      </c>
      <c r="C21" s="2647">
        <f t="shared" si="68"/>
        <v>269.60135833173649</v>
      </c>
      <c r="D21" s="2647">
        <f t="shared" si="65"/>
        <v>269.60135833173649</v>
      </c>
      <c r="E21" s="2647">
        <f t="shared" si="69"/>
        <v>439.18089823583784</v>
      </c>
      <c r="F21" s="2647">
        <f t="shared" si="69"/>
        <v>239.23503918706311</v>
      </c>
      <c r="G21" s="3429"/>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963</v>
      </c>
      <c r="B22" s="2661">
        <v>318</v>
      </c>
      <c r="C22" s="2661">
        <v>268</v>
      </c>
      <c r="D22" s="2661">
        <f t="shared" si="65"/>
        <v>268</v>
      </c>
      <c r="E22" s="2661">
        <v>437</v>
      </c>
      <c r="F22" s="2662">
        <v>237</v>
      </c>
      <c r="G22" s="3428">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962</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26"/>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961</v>
      </c>
      <c r="B24" s="2647">
        <f t="shared" si="70"/>
        <v>314.72141172386546</v>
      </c>
      <c r="C24" s="2647">
        <f t="shared" si="70"/>
        <v>263.03901319069001</v>
      </c>
      <c r="D24" s="2647">
        <f t="shared" si="65"/>
        <v>263.03901319069001</v>
      </c>
      <c r="E24" s="2647">
        <f t="shared" si="71"/>
        <v>433.65745506782821</v>
      </c>
      <c r="F24" s="2647">
        <f t="shared" si="71"/>
        <v>233.23005080045735</v>
      </c>
      <c r="G24" s="3426"/>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960</v>
      </c>
      <c r="B25" s="2666">
        <f t="shared" si="70"/>
        <v>307.34512863658733</v>
      </c>
      <c r="C25" s="2666">
        <f t="shared" si="70"/>
        <v>257.80556031626975</v>
      </c>
      <c r="D25" s="2666">
        <f t="shared" si="65"/>
        <v>257.80556031626975</v>
      </c>
      <c r="E25" s="2666">
        <f t="shared" si="71"/>
        <v>422.70928459677179</v>
      </c>
      <c r="F25" s="2666">
        <f t="shared" si="71"/>
        <v>229.73803270336617</v>
      </c>
      <c r="G25" s="3429"/>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433">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4"/>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434"/>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435"/>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428">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426"/>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426"/>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429"/>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428">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26">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426">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429">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428">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26">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426">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429">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428">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26">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426">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429">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428">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26">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426">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429">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428">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26">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426">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429">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428">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26">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426">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429">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428">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26">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426">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429">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428">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26">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426">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429">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428">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426">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426">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429">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428">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426">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426">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429">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6.25">
      <c r="A7" s="1796" t="s">
        <v>2744</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2940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01" t="s">
        <v>3202</v>
      </c>
      <c r="E1" s="2366" t="s">
        <v>2371</v>
      </c>
      <c r="F1" s="2367">
        <f ca="1">J53</f>
        <v>34.619999999999997</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37657</v>
      </c>
      <c r="C2" s="2058"/>
      <c r="D2" s="2056"/>
      <c r="E2" s="2057"/>
      <c r="F2" s="2057"/>
      <c r="G2" s="1591"/>
      <c r="H2" s="2058"/>
      <c r="I2" s="2058"/>
      <c r="J2" s="2058"/>
      <c r="K2" s="2059"/>
      <c r="L2" s="2058"/>
      <c r="M2" s="2058"/>
    </row>
    <row r="3" spans="1:33" ht="18" customHeight="1" thickBot="1">
      <c r="A3" s="833" t="s">
        <v>1727</v>
      </c>
      <c r="B3" s="834">
        <f ca="1">IF(ISERROR(B2*10000/F43),0,ROUND(B2*10000/F43,0))</f>
        <v>11353</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2455</v>
      </c>
      <c r="C5" s="55">
        <f ca="1">C6+C10+C12</f>
        <v>2291</v>
      </c>
      <c r="D5" s="2475" t="s">
        <v>2458</v>
      </c>
      <c r="E5" s="2469"/>
      <c r="F5" s="2470"/>
      <c r="G5" s="1593"/>
      <c r="H5" s="781">
        <v>1</v>
      </c>
      <c r="I5" s="782" t="s">
        <v>2455</v>
      </c>
      <c r="J5" s="55">
        <f ca="1">J6+J10+J12</f>
        <v>0</v>
      </c>
      <c r="K5" s="2475" t="s">
        <v>2458</v>
      </c>
      <c r="L5" s="2469"/>
      <c r="M5" s="2470"/>
    </row>
    <row r="6" spans="1:33" ht="18" customHeight="1">
      <c r="A6" s="1831" t="s">
        <v>1824</v>
      </c>
      <c r="B6" s="3419" t="s">
        <v>2460</v>
      </c>
      <c r="C6" s="783">
        <f ca="1">ROUND(F6*F8*F7*(1-F9)/10000,0)</f>
        <v>2288</v>
      </c>
      <c r="D6" s="2476" t="s">
        <v>2459</v>
      </c>
      <c r="E6" s="784" t="s">
        <v>1738</v>
      </c>
      <c r="F6" s="785">
        <f ca="1">INDIRECT("'数据-取费表'!u"&amp;$G$1)</f>
        <v>2.1</v>
      </c>
      <c r="G6" s="1593"/>
      <c r="H6" s="2483" t="s">
        <v>2465</v>
      </c>
      <c r="I6" s="3419" t="s">
        <v>2460</v>
      </c>
      <c r="J6" s="783">
        <f ca="1">ROUND(M6*M8*M7*(1-M9)/10000,0)</f>
        <v>0</v>
      </c>
      <c r="K6" s="341" t="s">
        <v>1737</v>
      </c>
      <c r="L6" s="784" t="s">
        <v>1738</v>
      </c>
      <c r="M6" s="785">
        <f ca="1">INDIRECT("'数据-取费表'!z"&amp;$G$1)</f>
        <v>0</v>
      </c>
    </row>
    <row r="7" spans="1:33" ht="18" customHeight="1">
      <c r="A7" s="2479"/>
      <c r="B7" s="3420"/>
      <c r="C7" s="788"/>
      <c r="D7" s="789"/>
      <c r="E7" s="784" t="s">
        <v>1739</v>
      </c>
      <c r="F7" s="785">
        <f ca="1">IF(INDIRECT("'数据-取费表'!ah"&amp;$G$1)="",INDIRECT("'数据-取费表'!k"&amp;$G$1),INDIRECT("'数据-取费表'!ah"&amp;$G$1))</f>
        <v>33168.99</v>
      </c>
      <c r="G7" s="1593"/>
      <c r="H7" s="2468"/>
      <c r="I7" s="3420"/>
      <c r="J7" s="788"/>
      <c r="K7" s="789"/>
      <c r="L7" s="784" t="s">
        <v>1739</v>
      </c>
      <c r="M7" s="785">
        <f ca="1">F7</f>
        <v>33168.99</v>
      </c>
    </row>
    <row r="8" spans="1:33" ht="18" customHeight="1">
      <c r="A8" s="2472"/>
      <c r="B8" s="3421"/>
      <c r="C8" s="788"/>
      <c r="D8" s="789"/>
      <c r="E8" s="784" t="s">
        <v>1740</v>
      </c>
      <c r="F8" s="785">
        <f ca="1">INDIRECT("'数据-取费表'!ai"&amp;$G$1)</f>
        <v>365</v>
      </c>
      <c r="G8" s="1593"/>
      <c r="H8" s="2468"/>
      <c r="I8" s="3421"/>
      <c r="J8" s="788"/>
      <c r="K8" s="789"/>
      <c r="L8" s="784" t="s">
        <v>1740</v>
      </c>
      <c r="M8" s="785">
        <f ca="1">INDIRECT("'数据-取费表'!ai"&amp;$G$1)</f>
        <v>365</v>
      </c>
    </row>
    <row r="9" spans="1:33" ht="18" customHeight="1">
      <c r="A9" s="786"/>
      <c r="B9" s="3422"/>
      <c r="C9" s="788"/>
      <c r="D9" s="789"/>
      <c r="E9" s="784" t="s">
        <v>1741</v>
      </c>
      <c r="F9" s="794">
        <f ca="1">INDIRECT("'数据-取费表'!w"&amp;$G$1)</f>
        <v>0.1</v>
      </c>
      <c r="G9" s="1593"/>
      <c r="H9" s="2484"/>
      <c r="I9" s="3421"/>
      <c r="J9" s="788"/>
      <c r="K9" s="789"/>
      <c r="L9" s="795" t="s">
        <v>1741</v>
      </c>
      <c r="M9" s="796">
        <f ca="1">INDIRECT("'数据-取费表'!ab"&amp;$G$1)</f>
        <v>0</v>
      </c>
    </row>
    <row r="10" spans="1:33" ht="18" customHeight="1">
      <c r="A10" s="1831" t="s">
        <v>2463</v>
      </c>
      <c r="B10" s="2473" t="s">
        <v>2456</v>
      </c>
      <c r="C10" s="799">
        <f ca="1">ROUND(IF(F10="押一",C6/12*F11,IF(F10="押二",C6/12*2*F11,IF(F10="押三",C6/12*3*F11,C11*F11))),0)</f>
        <v>3</v>
      </c>
      <c r="D10" s="2480" t="s">
        <v>2973</v>
      </c>
      <c r="E10" s="2477" t="s">
        <v>2461</v>
      </c>
      <c r="F10" s="2600" t="s">
        <v>3203</v>
      </c>
      <c r="G10" s="1593"/>
      <c r="H10" s="2540" t="s">
        <v>2466</v>
      </c>
      <c r="I10" s="2545" t="s">
        <v>2456</v>
      </c>
      <c r="J10" s="783">
        <f ca="1">ROUND(IF(M10="押一",J6/12*M11,IF(M10="押二",J6/12*2*M11,IF(M10="押三",J6/12*3*M11,J11*M11))),0)</f>
        <v>0</v>
      </c>
      <c r="K10" s="2480" t="s">
        <v>2973</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30">
        <v>2</v>
      </c>
      <c r="B13" s="1828" t="s">
        <v>1742</v>
      </c>
      <c r="C13" s="792">
        <f ca="1">ROUND(C29*F13,0)</f>
        <v>12362</v>
      </c>
      <c r="D13" s="1835" t="s">
        <v>2297</v>
      </c>
      <c r="E13" s="1835" t="s">
        <v>1744</v>
      </c>
      <c r="F13" s="2515">
        <f ca="1">INDIRECT("'数据-取费表'!y"&amp;$G$1)</f>
        <v>1</v>
      </c>
      <c r="G13" s="1593"/>
      <c r="H13" s="1830">
        <v>2</v>
      </c>
      <c r="I13" s="1828" t="s">
        <v>1742</v>
      </c>
      <c r="J13" s="1820">
        <f ca="1">ROUND(J14*J15,0)</f>
        <v>0</v>
      </c>
      <c r="K13" s="1822" t="s">
        <v>1743</v>
      </c>
      <c r="L13" s="2531"/>
      <c r="M13" s="2532"/>
    </row>
    <row r="14" spans="1:33" ht="18" customHeight="1">
      <c r="A14" s="1649" t="s">
        <v>1884</v>
      </c>
      <c r="B14" s="784" t="s">
        <v>645</v>
      </c>
      <c r="C14" s="804">
        <f ca="1">INDIRECT("'数据-取费表'!m"&amp;$G$1)+INDIRECT("'数据-取费表'!t"&amp;$G$1)</f>
        <v>9315</v>
      </c>
      <c r="D14" s="1980" t="s">
        <v>1745</v>
      </c>
      <c r="E14" s="1981"/>
      <c r="F14" s="805"/>
      <c r="G14" s="1593"/>
      <c r="H14" s="1650" t="s">
        <v>1830</v>
      </c>
      <c r="I14" s="2232" t="s">
        <v>2823</v>
      </c>
      <c r="J14" s="53">
        <f ca="1">C29</f>
        <v>12362</v>
      </c>
      <c r="K14" s="26"/>
      <c r="L14" s="801"/>
      <c r="M14" s="802"/>
    </row>
    <row r="15" spans="1:33" s="2065" customFormat="1" ht="18" customHeight="1" thickBot="1">
      <c r="A15" s="1649" t="s">
        <v>1885</v>
      </c>
      <c r="B15" s="784" t="s">
        <v>647</v>
      </c>
      <c r="C15" s="53">
        <f ca="1">ROUND(C14*F15,0)</f>
        <v>279</v>
      </c>
      <c r="D15" s="806" t="s">
        <v>1746</v>
      </c>
      <c r="E15" s="806" t="s">
        <v>1747</v>
      </c>
      <c r="F15" s="807">
        <f>'数据-取费表'!B33</f>
        <v>0.03</v>
      </c>
      <c r="G15" s="1594"/>
      <c r="H15" s="2530" t="s">
        <v>1889</v>
      </c>
      <c r="I15" s="2525" t="s">
        <v>1744</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1223</v>
      </c>
      <c r="K16" s="1822" t="s">
        <v>1750</v>
      </c>
      <c r="L16" s="2465"/>
      <c r="M16" s="2470"/>
    </row>
    <row r="17" spans="1:33" s="2065" customFormat="1" ht="18" customHeight="1">
      <c r="A17" s="1649" t="s">
        <v>1887</v>
      </c>
      <c r="B17" s="784" t="s">
        <v>653</v>
      </c>
      <c r="C17" s="53">
        <f ca="1">ROUND(F17*(F43+INDIRECT("'数据-取费表'!S"&amp;$G$1))/10000,0)</f>
        <v>665</v>
      </c>
      <c r="D17" s="784" t="s">
        <v>1751</v>
      </c>
      <c r="E17" s="784" t="s">
        <v>1752</v>
      </c>
      <c r="F17" s="56">
        <f>'数据-取费表'!B35</f>
        <v>200</v>
      </c>
      <c r="G17" s="1594"/>
      <c r="H17" s="1650" t="s">
        <v>1830</v>
      </c>
      <c r="I17" s="784" t="s">
        <v>656</v>
      </c>
      <c r="J17" s="53">
        <f ca="1">ROUND(IF(项目基本情况!B11="自然人",J5*M17,J18+J19+J20),0)</f>
        <v>1038</v>
      </c>
      <c r="K17" s="2464" t="s">
        <v>1753</v>
      </c>
      <c r="L17" s="2463" t="s">
        <v>1754</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140</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10399</v>
      </c>
      <c r="D19" s="261" t="s">
        <v>1757</v>
      </c>
      <c r="E19" s="1983"/>
      <c r="F19" s="56"/>
      <c r="G19" s="1593"/>
      <c r="H19" s="1649" t="s">
        <v>1885</v>
      </c>
      <c r="I19" s="784" t="s">
        <v>1758</v>
      </c>
      <c r="J19" s="53">
        <f ca="1">IF(K19="按租金收入计税",ROUND(J5*M19,1),ROUND(C29*F33*0.7,1))</f>
        <v>1038.4000000000001</v>
      </c>
      <c r="K19" s="811" t="s">
        <v>665</v>
      </c>
      <c r="L19" s="784" t="s">
        <v>1747</v>
      </c>
      <c r="M19" s="809">
        <f>IF(K19="按租金收入计税",'数据-取费表'!B51,'数据-取费表'!B50)</f>
        <v>1.2E-2</v>
      </c>
    </row>
    <row r="20" spans="1:33" s="2065" customFormat="1" ht="18" customHeight="1">
      <c r="A20" s="1650" t="s">
        <v>1889</v>
      </c>
      <c r="B20" s="784" t="s">
        <v>666</v>
      </c>
      <c r="C20" s="53">
        <f ca="1">ROUND(C19*F20,0)</f>
        <v>208</v>
      </c>
      <c r="D20" s="812" t="s">
        <v>1759</v>
      </c>
      <c r="E20" s="784" t="s">
        <v>1747</v>
      </c>
      <c r="F20" s="809">
        <f>'数据-取费表'!B37</f>
        <v>0.02</v>
      </c>
      <c r="G20" s="1594"/>
      <c r="H20" s="1652" t="s">
        <v>1880</v>
      </c>
      <c r="I20" s="341" t="s">
        <v>1760</v>
      </c>
      <c r="J20" s="54">
        <f ca="1">ROUND(M20*M21/10000,0)</f>
        <v>0</v>
      </c>
      <c r="K20" s="814" t="s">
        <v>1761</v>
      </c>
      <c r="L20" s="784" t="s">
        <v>1762</v>
      </c>
      <c r="M20" s="640">
        <f>'数据-取费表'!B52</f>
        <v>0</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2298</v>
      </c>
      <c r="E21" s="784" t="s">
        <v>1765</v>
      </c>
      <c r="F21" s="809">
        <f>'数据-取费表'!B38</f>
        <v>1.4999999999999999E-2</v>
      </c>
      <c r="G21" s="1594"/>
      <c r="H21" s="2485"/>
      <c r="I21" s="793"/>
      <c r="J21" s="69"/>
      <c r="K21" s="816"/>
      <c r="L21" s="784" t="s">
        <v>1766</v>
      </c>
      <c r="M21" s="785">
        <f ca="1">INDIRECT("'数据-取费表'!r"&amp;$G$1)</f>
        <v>13862</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185</v>
      </c>
      <c r="K22" s="2463" t="s">
        <v>1769</v>
      </c>
      <c r="L22" s="784" t="s">
        <v>1747</v>
      </c>
      <c r="M22" s="817">
        <f ca="1">INDIRECT("'数据-取费表'!Ak"&amp;$G$1)</f>
        <v>1.4999999999999999E-2</v>
      </c>
    </row>
    <row r="23" spans="1:33" s="2065" customFormat="1" ht="18" customHeight="1">
      <c r="A23" s="1649" t="s">
        <v>1831</v>
      </c>
      <c r="B23" s="784" t="s">
        <v>2532</v>
      </c>
      <c r="C23" s="53">
        <f ca="1">ROUND(IF('数据-取费表'!B22&lt;=1,(C19+C20)*F24*F23/2,(C19+C20)*(POWER((1+F24),F23/2)-1)),0)</f>
        <v>376</v>
      </c>
      <c r="D23" s="255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63" t="s">
        <v>1771</v>
      </c>
      <c r="L23" s="784" t="s">
        <v>1747</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5.0000000000000001E-4</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0.01</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2985" t="s">
        <v>2819</v>
      </c>
      <c r="J25" s="792">
        <f ca="1">J5-J16</f>
        <v>-1223</v>
      </c>
      <c r="K25" s="2527" t="s">
        <v>1777</v>
      </c>
      <c r="L25" s="2528"/>
      <c r="M25" s="2529"/>
    </row>
    <row r="26" spans="1:33" ht="18" customHeight="1">
      <c r="A26" s="1649" t="s">
        <v>1831</v>
      </c>
      <c r="B26" s="784" t="s">
        <v>2435</v>
      </c>
      <c r="C26" s="53">
        <f ca="1">ROUND((C19+C20)*F26,0)</f>
        <v>530</v>
      </c>
      <c r="D26" s="812" t="s">
        <v>1778</v>
      </c>
      <c r="E26" s="795" t="s">
        <v>1779</v>
      </c>
      <c r="F26" s="794">
        <f ca="1">INDIRECT("'数据-取费表'!q"&amp;$G$1)</f>
        <v>0.05</v>
      </c>
      <c r="G26" s="1593"/>
      <c r="H26" s="2481" t="s">
        <v>1780</v>
      </c>
      <c r="I26" s="2233" t="s">
        <v>2824</v>
      </c>
      <c r="J26" s="783">
        <f ca="1">IF(J5&lt;&gt;0,ROUND(J25*(1-((1+M28)/(1+M26))^M27)/(M26-M28),0),0)</f>
        <v>0</v>
      </c>
      <c r="K26" s="814" t="s">
        <v>1781</v>
      </c>
      <c r="L26" s="784" t="s">
        <v>2416</v>
      </c>
      <c r="M26" s="794">
        <f ca="1">INDIRECT("'数据-取费表'!I"&amp;$G$1)</f>
        <v>5.5E-2</v>
      </c>
    </row>
    <row r="27" spans="1:33" ht="18" customHeight="1">
      <c r="A27" s="1649" t="s">
        <v>1832</v>
      </c>
      <c r="B27" s="784" t="s">
        <v>686</v>
      </c>
      <c r="C27" s="53">
        <f ca="1">ROUND(F21*F26,4)</f>
        <v>8.0000000000000004E-4</v>
      </c>
      <c r="D27" s="812" t="s">
        <v>1782</v>
      </c>
      <c r="E27" s="806"/>
      <c r="F27" s="807"/>
      <c r="G27" s="1593"/>
      <c r="H27" s="2482"/>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5.2400000000000002E-2</v>
      </c>
      <c r="D28" s="812" t="s">
        <v>2299</v>
      </c>
      <c r="E28" s="784" t="s">
        <v>1785</v>
      </c>
      <c r="F28" s="809">
        <f>'数据-取费表'!B41</f>
        <v>5.5000000000000007E-2</v>
      </c>
      <c r="G28" s="1594"/>
      <c r="H28" s="1830"/>
      <c r="I28" s="791"/>
      <c r="J28" s="792"/>
      <c r="K28" s="816"/>
      <c r="L28" s="784" t="s">
        <v>1786</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1892</v>
      </c>
      <c r="B29" s="2520" t="s">
        <v>2300</v>
      </c>
      <c r="C29" s="2523">
        <f ca="1">ROUND((C19+C20+C23+C26)/(1-F21-C24-C27-C28),0)</f>
        <v>12362</v>
      </c>
      <c r="D29" s="2524"/>
      <c r="E29" s="2525"/>
      <c r="F29" s="2526"/>
      <c r="G29" s="1594"/>
      <c r="H29" s="823" t="s">
        <v>1787</v>
      </c>
      <c r="I29" s="824" t="s">
        <v>1788</v>
      </c>
      <c r="J29" s="825">
        <f ca="1">ROUND(J26/(1+F40)^F41,0)</f>
        <v>0</v>
      </c>
      <c r="K29" s="826" t="s">
        <v>1789</v>
      </c>
      <c r="L29" s="827"/>
      <c r="M29" s="828">
        <f ca="1">INDIRECT("'数据-取费表'!k"&amp;$G$1)</f>
        <v>33168.99</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622</v>
      </c>
      <c r="D30" s="1822" t="s">
        <v>1791</v>
      </c>
      <c r="E30" s="2465"/>
      <c r="F30" s="2470"/>
      <c r="G30" s="2063"/>
      <c r="H30" s="2066"/>
      <c r="I30" s="2067"/>
      <c r="J30" s="2068"/>
      <c r="K30" s="2069"/>
      <c r="L30" s="2070"/>
      <c r="M30" s="2071"/>
    </row>
    <row r="31" spans="1:33" ht="18" customHeight="1">
      <c r="A31" s="1650" t="s">
        <v>1830</v>
      </c>
      <c r="B31" s="784" t="s">
        <v>656</v>
      </c>
      <c r="C31" s="53">
        <f ca="1">ROUND(IF(项目基本情况!B11="自然人",C5*F31,C32+C33+C34),1)</f>
        <v>394.9</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120</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274.89999999999998</v>
      </c>
      <c r="D33" s="811" t="s">
        <v>2995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0</v>
      </c>
      <c r="D34" s="814" t="s">
        <v>1799</v>
      </c>
      <c r="E34" s="784" t="s">
        <v>1800</v>
      </c>
      <c r="F34" s="640">
        <f>'数据-取费表'!B52</f>
        <v>0</v>
      </c>
      <c r="G34" s="2063"/>
      <c r="H34" s="2066"/>
      <c r="I34" s="835" t="s">
        <v>1813</v>
      </c>
      <c r="J34" s="836"/>
      <c r="K34" s="2081"/>
      <c r="L34" s="2080"/>
      <c r="M34" s="2080"/>
    </row>
    <row r="35" spans="1:18" ht="18" customHeight="1">
      <c r="A35" s="815"/>
      <c r="B35" s="793"/>
      <c r="C35" s="69"/>
      <c r="D35" s="816"/>
      <c r="E35" s="784" t="s">
        <v>1801</v>
      </c>
      <c r="F35" s="785">
        <f ca="1">INDIRECT("'数据-取费表'!r"&amp;$G$1)</f>
        <v>13862</v>
      </c>
      <c r="G35" s="2063"/>
      <c r="H35" s="2066"/>
      <c r="I35" s="837" t="s">
        <v>1814</v>
      </c>
      <c r="J35" s="838">
        <f ca="1">ROUND(C13*J36,0)</f>
        <v>1051</v>
      </c>
      <c r="K35" s="2079"/>
      <c r="L35" s="2078"/>
      <c r="M35" s="2078"/>
    </row>
    <row r="36" spans="1:18" ht="18" customHeight="1">
      <c r="A36" s="1650" t="s">
        <v>1889</v>
      </c>
      <c r="B36" s="784" t="s">
        <v>1802</v>
      </c>
      <c r="C36" s="53">
        <f ca="1">ROUND(C29*F36,1)</f>
        <v>185.4</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18.5</v>
      </c>
      <c r="D37" s="1978" t="s">
        <v>1804</v>
      </c>
      <c r="E37" s="784" t="s">
        <v>1796</v>
      </c>
      <c r="F37" s="818">
        <f ca="1">INDIRECT("'数据-取费表'!Al"&amp;$G$1)</f>
        <v>1.5E-3</v>
      </c>
      <c r="G37" s="2063"/>
      <c r="H37" s="2078"/>
      <c r="I37" s="841" t="s">
        <v>1816</v>
      </c>
      <c r="J37" s="842"/>
      <c r="K37" s="2083"/>
      <c r="L37" s="2078"/>
      <c r="M37" s="2078"/>
    </row>
    <row r="38" spans="1:18" ht="18" customHeight="1" thickBot="1">
      <c r="A38" s="2530" t="s">
        <v>1891</v>
      </c>
      <c r="B38" s="2525" t="s">
        <v>666</v>
      </c>
      <c r="C38" s="2523">
        <f ca="1">ROUND(C5*F38,1)</f>
        <v>22.9</v>
      </c>
      <c r="D38" s="2524" t="s">
        <v>1805</v>
      </c>
      <c r="E38" s="2525" t="s">
        <v>1796</v>
      </c>
      <c r="F38" s="2521">
        <f ca="1">INDIRECT("'数据-取费表'!Am"&amp;$G$1)</f>
        <v>0.01</v>
      </c>
      <c r="G38" s="2063"/>
      <c r="H38" s="2078"/>
      <c r="I38" s="843" t="s">
        <v>1817</v>
      </c>
      <c r="J38" s="844"/>
      <c r="K38" s="2084"/>
      <c r="L38" s="2078"/>
      <c r="M38" s="2078"/>
    </row>
    <row r="39" spans="1:18" ht="24.6" customHeight="1" thickTop="1">
      <c r="A39" s="1830" t="s">
        <v>1894</v>
      </c>
      <c r="B39" s="2985" t="s">
        <v>2819</v>
      </c>
      <c r="C39" s="792">
        <f ca="1">C5-C30</f>
        <v>1669</v>
      </c>
      <c r="D39" s="2527" t="s">
        <v>1806</v>
      </c>
      <c r="E39" s="2528"/>
      <c r="F39" s="2529"/>
      <c r="G39" s="2063"/>
      <c r="H39" s="2078"/>
      <c r="I39" s="837" t="s">
        <v>1818</v>
      </c>
      <c r="J39" s="845">
        <f ca="1">ROUND(J35/C39,3)</f>
        <v>0.63</v>
      </c>
      <c r="K39" s="2084"/>
      <c r="L39" s="2078"/>
      <c r="M39" s="2078"/>
    </row>
    <row r="40" spans="1:18" ht="18" customHeight="1">
      <c r="A40" s="781" t="s">
        <v>1895</v>
      </c>
      <c r="B40" s="2233" t="s">
        <v>2301</v>
      </c>
      <c r="C40" s="783">
        <f ca="1">ROUND(C39*(1-((1+F42)/(1+F40))^F41)/(F40-F42),0)</f>
        <v>37657</v>
      </c>
      <c r="D40" s="814" t="s">
        <v>1807</v>
      </c>
      <c r="E40" s="784" t="s">
        <v>2416</v>
      </c>
      <c r="F40" s="794">
        <f ca="1">INDIRECT("'数据-取费表'!I"&amp;$G$1)</f>
        <v>5.5E-2</v>
      </c>
      <c r="G40" s="2063"/>
      <c r="H40" s="2063"/>
      <c r="I40" s="837" t="s">
        <v>1819</v>
      </c>
      <c r="J40" s="845">
        <f ca="1">1-J39</f>
        <v>0.37</v>
      </c>
      <c r="K40" s="2084"/>
      <c r="L40" s="2063"/>
      <c r="M40" s="2063"/>
    </row>
    <row r="41" spans="1:18" ht="18" customHeight="1">
      <c r="A41" s="786"/>
      <c r="B41" s="787"/>
      <c r="C41" s="788"/>
      <c r="D41" s="821" t="s">
        <v>1808</v>
      </c>
      <c r="E41" s="784" t="s">
        <v>2963</v>
      </c>
      <c r="F41" s="822">
        <f ca="1">IF(INDIRECT("'数据-取费表'!af"&amp;$G$1)=0,INDIRECT("'数据-取费表'!ae"&amp;$G$1),INDIRECT("'数据-取费表'!af"&amp;$G$1))</f>
        <v>34.619999999999997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0.32800000000000001</v>
      </c>
      <c r="K42" s="2083"/>
      <c r="L42" s="1989"/>
      <c r="M42" s="1989"/>
    </row>
    <row r="43" spans="1:18" ht="18" customHeight="1" thickBot="1">
      <c r="A43" s="823" t="s">
        <v>1787</v>
      </c>
      <c r="B43" s="824" t="s">
        <v>1810</v>
      </c>
      <c r="C43" s="825">
        <f ca="1">ROUND(C40*10000/F43,0)</f>
        <v>11353</v>
      </c>
      <c r="D43" s="826" t="s">
        <v>1811</v>
      </c>
      <c r="E43" s="827" t="s">
        <v>1812</v>
      </c>
      <c r="F43" s="828">
        <f ca="1">INDIRECT("'数据-取费表'!k"&amp;$G$1)</f>
        <v>33168.99</v>
      </c>
      <c r="G43" s="2063"/>
      <c r="H43" s="1989"/>
      <c r="I43" s="847" t="s">
        <v>1822</v>
      </c>
      <c r="J43" s="848">
        <f ca="1">1-J42</f>
        <v>0.67199999999999993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-40785</v>
      </c>
      <c r="D46" s="2086"/>
      <c r="E46" s="2086"/>
      <c r="F46" s="2086"/>
      <c r="I46" s="2357" t="s">
        <v>2340</v>
      </c>
      <c r="J46" s="2358"/>
      <c r="K46" s="2359"/>
      <c r="L46" s="3133">
        <f>IF(OR(M47="住宅",D1="土地（套用方法）"),0,IF(L48&gt;J51,L60,J60))</f>
        <v>0</v>
      </c>
      <c r="O46" s="2373" t="s">
        <v>2407</v>
      </c>
      <c r="P46" s="1593"/>
      <c r="Q46" s="1605"/>
      <c r="R46" s="1593"/>
    </row>
    <row r="47" spans="1:18" s="2060" customFormat="1" ht="18" customHeight="1" thickBot="1">
      <c r="A47" s="2351">
        <v>1</v>
      </c>
      <c r="B47" s="2352" t="s">
        <v>635</v>
      </c>
      <c r="C47" s="2553">
        <f ca="1">C48+C52+C54</f>
        <v>0</v>
      </c>
      <c r="D47" s="2086"/>
      <c r="E47" s="2086"/>
      <c r="F47" s="2086"/>
      <c r="I47" s="3123" t="s">
        <v>2341</v>
      </c>
      <c r="J47" s="2360" t="s">
        <v>3204</v>
      </c>
      <c r="K47" s="3130" t="s">
        <v>2346</v>
      </c>
      <c r="L47" s="3134">
        <f ca="1">INDIRECT("'数据-取费表'!d"&amp;$G$1)</f>
        <v>40</v>
      </c>
      <c r="M47" s="1605" t="str">
        <f>IF(ISNUMBER(FIND("住宅",C1)),"住宅","非住宅")</f>
        <v>非住宅</v>
      </c>
      <c r="O47" s="2374" t="s">
        <v>2372</v>
      </c>
      <c r="P47" s="2375" t="s">
        <v>2373</v>
      </c>
      <c r="Q47" s="2376" t="s">
        <v>2374</v>
      </c>
      <c r="R47" s="2375" t="s">
        <v>2375</v>
      </c>
    </row>
    <row r="48" spans="1:18" s="2060" customFormat="1" ht="18" customHeight="1" thickBot="1">
      <c r="A48" s="2621" t="s">
        <v>2534</v>
      </c>
      <c r="B48" s="2622" t="s">
        <v>2535</v>
      </c>
      <c r="C48" s="2353">
        <f ca="1">ROUND(F48*F50*F49*(1-F51)/10000,0)</f>
        <v>0</v>
      </c>
      <c r="D48" s="2354" t="s">
        <v>636</v>
      </c>
      <c r="E48" s="2355" t="s">
        <v>2296</v>
      </c>
      <c r="F48" s="2356"/>
      <c r="G48" s="2091"/>
      <c r="I48" s="3102" t="s">
        <v>2342</v>
      </c>
      <c r="J48" s="2361" t="s">
        <v>2347</v>
      </c>
      <c r="K48" s="3131" t="s">
        <v>2348</v>
      </c>
      <c r="L48" s="1909">
        <f ca="1">INDIRECT("'数据-取费表'!f"&amp;$G$1)</f>
        <v>36.119999999999997</v>
      </c>
      <c r="O48" s="2377" t="s">
        <v>2376</v>
      </c>
      <c r="P48" s="2378" t="s">
        <v>2402</v>
      </c>
      <c r="Q48" s="2379">
        <f ca="1">C40+J29</f>
        <v>37657</v>
      </c>
      <c r="R48" s="2378" t="s">
        <v>2377</v>
      </c>
    </row>
    <row r="49" spans="1:18" s="2060" customFormat="1" ht="18" customHeight="1" thickBot="1">
      <c r="A49" s="786"/>
      <c r="B49" s="787"/>
      <c r="C49" s="788"/>
      <c r="D49" s="789"/>
      <c r="E49" s="784" t="s">
        <v>1739</v>
      </c>
      <c r="F49" s="785">
        <f ca="1">F7</f>
        <v>33168.99</v>
      </c>
      <c r="G49" s="2091"/>
      <c r="H49" s="2094"/>
      <c r="I49" s="3102" t="s">
        <v>2343</v>
      </c>
      <c r="J49" s="2362">
        <v>2021</v>
      </c>
      <c r="K49" s="3132" t="s">
        <v>2349</v>
      </c>
      <c r="L49" s="2363"/>
      <c r="O49" s="2377" t="s">
        <v>2378</v>
      </c>
      <c r="P49" s="2378" t="s">
        <v>2403</v>
      </c>
      <c r="Q49" s="2379">
        <f ca="1">J60</f>
        <v>270</v>
      </c>
      <c r="R49" s="2378" t="s">
        <v>2379</v>
      </c>
    </row>
    <row r="50" spans="1:18" s="2060" customFormat="1" ht="18" customHeight="1" thickBot="1">
      <c r="A50" s="786"/>
      <c r="B50" s="787"/>
      <c r="C50" s="788"/>
      <c r="D50" s="789"/>
      <c r="E50" s="784" t="s">
        <v>1740</v>
      </c>
      <c r="F50" s="785">
        <f ca="1">F8</f>
        <v>365</v>
      </c>
      <c r="G50" s="2096"/>
      <c r="H50" s="2094"/>
      <c r="I50" s="3102" t="s">
        <v>2344</v>
      </c>
      <c r="J50" s="3127">
        <f>SUMPRODUCT((I63:I65=J47)*(J62:L62=J48)*(J63:L65))</f>
        <v>60</v>
      </c>
      <c r="K50" s="3132" t="s">
        <v>2350</v>
      </c>
      <c r="L50" s="2363"/>
      <c r="O50" s="2380" t="s">
        <v>2380</v>
      </c>
      <c r="P50" s="2378" t="s">
        <v>2404</v>
      </c>
      <c r="Q50" s="2379">
        <f ca="1">C29</f>
        <v>12362</v>
      </c>
      <c r="R50" s="2378" t="s">
        <v>2377</v>
      </c>
    </row>
    <row r="51" spans="1:18" s="2060" customFormat="1" ht="18" customHeight="1" thickBot="1">
      <c r="A51" s="786"/>
      <c r="B51" s="787"/>
      <c r="C51" s="788"/>
      <c r="D51" s="789"/>
      <c r="E51" s="784" t="s">
        <v>640</v>
      </c>
      <c r="F51" s="2350"/>
      <c r="H51" s="2094"/>
      <c r="I51" s="3124" t="s">
        <v>2345</v>
      </c>
      <c r="J51" s="3128">
        <f>IF(J49="",J50,J49+J50-YEAR('数据-取费表'!B2))</f>
        <v>62</v>
      </c>
      <c r="K51" s="3102" t="s">
        <v>2351</v>
      </c>
      <c r="L51" s="3135">
        <f ca="1">ROUND(-PV(INDIRECT("'数据-取费表'!h"&amp;$G$1),L48,(C39-C13*J36),0),0)</f>
        <v>10242</v>
      </c>
      <c r="O51" s="2380" t="s">
        <v>2381</v>
      </c>
      <c r="P51" s="2378" t="s">
        <v>2382</v>
      </c>
      <c r="Q51" s="2381">
        <f ca="1">J58</f>
        <v>0.43099999999999999</v>
      </c>
      <c r="R51" s="2382"/>
    </row>
    <row r="52" spans="1:18" s="2060" customFormat="1" ht="18" customHeight="1" thickBot="1">
      <c r="A52" s="781" t="s">
        <v>2533</v>
      </c>
      <c r="B52" s="2473" t="s">
        <v>2456</v>
      </c>
      <c r="C52" s="799">
        <f ca="1">ROUND(IF(F52="押一",C48/12*F11,IF(F52="押二",C48/12*2*F11,IF(F52="押三",C48/12*3*F11,C53*F11))),0)</f>
        <v>0</v>
      </c>
      <c r="D52" s="2480" t="s">
        <v>2974</v>
      </c>
      <c r="E52" s="2477" t="s">
        <v>2461</v>
      </c>
      <c r="F52" s="2600"/>
      <c r="I52" s="3125" t="s">
        <v>2418</v>
      </c>
      <c r="J52" s="2364">
        <v>0.09</v>
      </c>
      <c r="K52" s="3125" t="s">
        <v>2417</v>
      </c>
      <c r="L52" s="2364"/>
      <c r="O52" s="2380" t="s">
        <v>2383</v>
      </c>
      <c r="P52" s="2378" t="s">
        <v>2384</v>
      </c>
      <c r="Q52" s="2381">
        <f>J52</f>
        <v>0.09</v>
      </c>
      <c r="R52" s="2382"/>
    </row>
    <row r="53" spans="1:18" s="2060" customFormat="1" ht="39.75" customHeight="1" thickBot="1">
      <c r="A53" s="786"/>
      <c r="B53" s="2474" t="s">
        <v>2570</v>
      </c>
      <c r="C53" s="2478"/>
      <c r="D53" s="2480"/>
      <c r="E53" s="2477"/>
      <c r="F53" s="800"/>
      <c r="I53" s="3126" t="s">
        <v>2977</v>
      </c>
      <c r="J53" s="3129">
        <f ca="1">IF(M47="住宅",IF(D1="——",MAX(J51,L48),MAX(J51,L48-'数据-取费表'!B20)),IF(D1="——",MIN(J51,L48),MIN(J51,L48-'数据-取费表'!B20)))</f>
        <v>34.619999999999997</v>
      </c>
      <c r="K53" s="3436" t="s">
        <v>2965</v>
      </c>
      <c r="L53" s="3437"/>
      <c r="O53" s="2380" t="s">
        <v>2385</v>
      </c>
      <c r="P53" s="2378" t="s">
        <v>2386</v>
      </c>
      <c r="Q53" s="2379">
        <f ca="1">J53</f>
        <v>34.619999999999997</v>
      </c>
      <c r="R53" s="2378" t="s">
        <v>2387</v>
      </c>
    </row>
    <row r="54" spans="1:18" s="2060" customFormat="1" ht="18" customHeight="1" thickBot="1">
      <c r="A54" s="2516" t="s">
        <v>2464</v>
      </c>
      <c r="B54" s="2517" t="s">
        <v>2457</v>
      </c>
      <c r="C54" s="2518"/>
      <c r="D54" s="2480"/>
      <c r="E54" s="247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7" t="s">
        <v>2388</v>
      </c>
      <c r="P54" s="2378" t="s">
        <v>2405</v>
      </c>
      <c r="Q54" s="2379">
        <f ca="1">Q48+Q49</f>
        <v>37927</v>
      </c>
      <c r="R54" s="2382" t="s">
        <v>2389</v>
      </c>
    </row>
    <row r="55" spans="1:18" s="2060" customFormat="1" ht="18" customHeight="1" thickTop="1" thickBot="1">
      <c r="A55" s="797">
        <v>2</v>
      </c>
      <c r="B55" s="798" t="s">
        <v>644</v>
      </c>
      <c r="C55" s="799">
        <f ca="1">C13</f>
        <v>12362</v>
      </c>
      <c r="D55" s="795"/>
      <c r="E55" s="795"/>
      <c r="F55" s="800"/>
      <c r="I55" s="3138" t="s">
        <v>2352</v>
      </c>
      <c r="J55" s="3077">
        <f ca="1">ROUND(IF(J47="钢混",J57/J50,1-(1-2%)*(J50-J57)/J50),3)</f>
        <v>0.43099999999999999</v>
      </c>
      <c r="K55" s="3139" t="s">
        <v>2353</v>
      </c>
      <c r="L55" s="2365"/>
      <c r="O55" s="2383" t="s">
        <v>2408</v>
      </c>
      <c r="P55" s="1593"/>
      <c r="Q55" s="1605"/>
      <c r="R55" s="1593"/>
    </row>
    <row r="56" spans="1:18" s="2060" customFormat="1" ht="42.75" customHeight="1" thickBot="1">
      <c r="A56" s="1651"/>
      <c r="B56" s="2232" t="s">
        <v>2302</v>
      </c>
      <c r="C56" s="53">
        <f ca="1">C29</f>
        <v>12362</v>
      </c>
      <c r="D56" s="2618"/>
      <c r="E56" s="784"/>
      <c r="F56" s="809"/>
      <c r="I56" s="3140" t="s">
        <v>2354</v>
      </c>
      <c r="J56" s="3150"/>
      <c r="K56" s="3102" t="s">
        <v>2359</v>
      </c>
      <c r="L56" s="1909" t="str">
        <f ca="1">IF(L48&lt;J51,"——",L48-J51)</f>
        <v>——</v>
      </c>
      <c r="O56" s="2374" t="s">
        <v>2372</v>
      </c>
      <c r="P56" s="2375" t="s">
        <v>2373</v>
      </c>
      <c r="Q56" s="2376" t="s">
        <v>2374</v>
      </c>
      <c r="R56" s="2375" t="s">
        <v>2375</v>
      </c>
    </row>
    <row r="57" spans="1:18" s="2060" customFormat="1" ht="28.5" customHeight="1" thickBot="1">
      <c r="A57" s="797" t="s">
        <v>1748</v>
      </c>
      <c r="B57" s="798" t="s">
        <v>651</v>
      </c>
      <c r="C57" s="799">
        <f ca="1">ROUND(C58+C63+C64+C65,0)</f>
        <v>204</v>
      </c>
      <c r="D57" s="26" t="s">
        <v>1750</v>
      </c>
      <c r="E57" s="2619"/>
      <c r="F57" s="56"/>
      <c r="I57" s="3141" t="s">
        <v>2355</v>
      </c>
      <c r="J57" s="3142">
        <f ca="1">IF(OR(M47="住宅",J51&lt;L48,J56="是"),"——",J51-L48)</f>
        <v>25.880000000000003</v>
      </c>
      <c r="K57" s="3102" t="s">
        <v>2360</v>
      </c>
      <c r="L57" s="1909" t="str">
        <f ca="1">IF(L48&lt;J51,"——",IF(L55="比较法",L49,IF(L55="基准地价",L50,L51)))</f>
        <v>——</v>
      </c>
      <c r="O57" s="2377" t="s">
        <v>2376</v>
      </c>
      <c r="P57" s="2378" t="s">
        <v>2406</v>
      </c>
      <c r="Q57" s="2379">
        <f ca="1">C40+J29</f>
        <v>37657</v>
      </c>
      <c r="R57" s="2378" t="s">
        <v>2377</v>
      </c>
    </row>
    <row r="58" spans="1:18" s="2060" customFormat="1" ht="28.5" customHeight="1" thickBot="1">
      <c r="A58" s="1650" t="s">
        <v>1824</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2356</v>
      </c>
      <c r="J58" s="3078">
        <f ca="1">IF(J55&lt;0.4,0.4,J55)</f>
        <v>0.43099999999999999</v>
      </c>
      <c r="K58" s="3102" t="s">
        <v>2361</v>
      </c>
      <c r="L58" s="1909" t="e">
        <f ca="1">ROUND(POWER(1+L52,L47-L48)*(POWER(1+L52,L48)-1)/(POWER(1+L52,L47)-1),4)</f>
        <v>#DIV/0!</v>
      </c>
      <c r="O58" s="2377" t="s">
        <v>2378</v>
      </c>
      <c r="P58" s="2378" t="s">
        <v>2409</v>
      </c>
      <c r="Q58" s="2379">
        <f ca="1">L60</f>
        <v>0</v>
      </c>
      <c r="R58" s="2382" t="s">
        <v>2411</v>
      </c>
    </row>
    <row r="59" spans="1:18" s="2060" customFormat="1" ht="28.5" customHeight="1" thickBot="1">
      <c r="A59" s="1649" t="s">
        <v>1831</v>
      </c>
      <c r="B59" s="784" t="s">
        <v>660</v>
      </c>
      <c r="C59" s="53">
        <f ca="1">ROUND(C47*F59/1.05,1)</f>
        <v>0</v>
      </c>
      <c r="D59" s="2618" t="s">
        <v>1756</v>
      </c>
      <c r="E59" s="784" t="s">
        <v>1747</v>
      </c>
      <c r="F59" s="809">
        <f t="shared" ref="F59:F65" si="0">F32</f>
        <v>5.5000000000000007E-2</v>
      </c>
      <c r="I59" s="3141" t="s">
        <v>2357</v>
      </c>
      <c r="J59" s="3142">
        <f ca="1">IF(OR(M47="住宅",J51&lt;L48,J56="是"),"——",ROUND(C29*J58,0))</f>
        <v>5328</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60"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3" t="s">
        <v>2358</v>
      </c>
      <c r="J60" s="3144">
        <f ca="1">IF(OR(M47="住宅",J51&lt;L48,J56="是"),"0",ROUND(J59/(1+J52)^J53,0))</f>
        <v>270</v>
      </c>
      <c r="K60" s="3145" t="s">
        <v>2363</v>
      </c>
      <c r="L60" s="3144">
        <f ca="1">IF(OR(M47="住宅",L48&lt;J51),0,ROUND(L57*(L58/L59-1),0))</f>
        <v>0</v>
      </c>
      <c r="O60" s="2380" t="s">
        <v>2381</v>
      </c>
      <c r="P60" s="2378" t="s">
        <v>2390</v>
      </c>
      <c r="Q60" s="2381">
        <f>L52</f>
        <v>0</v>
      </c>
      <c r="R60" s="2382"/>
    </row>
    <row r="61" spans="1:18" s="2060" customFormat="1" ht="18" customHeight="1" thickBot="1">
      <c r="A61" s="1652" t="s">
        <v>1833</v>
      </c>
      <c r="B61" s="341" t="s">
        <v>668</v>
      </c>
      <c r="C61" s="54">
        <f ca="1">ROUND(F61*F62/10000,1)</f>
        <v>0</v>
      </c>
      <c r="D61" s="814" t="s">
        <v>669</v>
      </c>
      <c r="E61" s="784" t="s">
        <v>670</v>
      </c>
      <c r="F61" s="640">
        <f t="shared" si="0"/>
        <v>0</v>
      </c>
      <c r="K61" s="2087"/>
      <c r="O61" s="2380" t="s">
        <v>2383</v>
      </c>
      <c r="P61" s="2378" t="s">
        <v>2391</v>
      </c>
      <c r="Q61" s="2379" t="e">
        <f ca="1">L58</f>
        <v>#DIV/0!</v>
      </c>
      <c r="R61" s="2382" t="s">
        <v>2392</v>
      </c>
    </row>
    <row r="62" spans="1:18" s="2060" customFormat="1" ht="15.75" thickBot="1">
      <c r="A62" s="815"/>
      <c r="B62" s="793"/>
      <c r="C62" s="69"/>
      <c r="D62" s="816"/>
      <c r="E62" s="784" t="s">
        <v>674</v>
      </c>
      <c r="F62" s="785">
        <f t="shared" ca="1" si="0"/>
        <v>13862</v>
      </c>
      <c r="I62" s="3146" t="s">
        <v>2364</v>
      </c>
      <c r="J62" s="3147" t="s">
        <v>2365</v>
      </c>
      <c r="K62" s="3147" t="s">
        <v>2366</v>
      </c>
      <c r="L62" s="3147" t="s">
        <v>2347</v>
      </c>
      <c r="M62" s="3148" t="s">
        <v>2941</v>
      </c>
      <c r="O62" s="2380" t="s">
        <v>2385</v>
      </c>
      <c r="P62" s="2378" t="str">
        <f>K59</f>
        <v>建设期及建筑物耐用年限下的土地年期修正系数Kn</v>
      </c>
      <c r="Q62" s="2379" t="e">
        <f ca="1">L59</f>
        <v>#DIV/0!</v>
      </c>
      <c r="R62" s="2382" t="s">
        <v>2394</v>
      </c>
    </row>
    <row r="63" spans="1:18" s="2060" customFormat="1" ht="15.75" thickBot="1">
      <c r="A63" s="1650" t="s">
        <v>1889</v>
      </c>
      <c r="B63" s="784" t="s">
        <v>676</v>
      </c>
      <c r="C63" s="53">
        <f ca="1">ROUND(C56*F63,1)</f>
        <v>185.4</v>
      </c>
      <c r="D63" s="2618" t="s">
        <v>1803</v>
      </c>
      <c r="E63" s="784" t="s">
        <v>1747</v>
      </c>
      <c r="F63" s="817">
        <f t="shared" ca="1" si="0"/>
        <v>1.4999999999999999E-2</v>
      </c>
      <c r="I63" s="3146" t="s">
        <v>2367</v>
      </c>
      <c r="J63" s="3147">
        <v>70</v>
      </c>
      <c r="K63" s="3147">
        <v>50</v>
      </c>
      <c r="L63" s="3147">
        <v>80</v>
      </c>
      <c r="M63" s="3149">
        <v>0.02</v>
      </c>
      <c r="O63" s="2377" t="s">
        <v>2388</v>
      </c>
      <c r="P63" s="2378" t="s">
        <v>2405</v>
      </c>
      <c r="Q63" s="2379">
        <f ca="1">Q57+Q58</f>
        <v>37657</v>
      </c>
      <c r="R63" s="2382" t="s">
        <v>2389</v>
      </c>
    </row>
    <row r="64" spans="1:18" s="2060" customFormat="1" ht="16.5" thickBot="1">
      <c r="A64" s="1650" t="s">
        <v>1890</v>
      </c>
      <c r="B64" s="784" t="s">
        <v>679</v>
      </c>
      <c r="C64" s="53">
        <f ca="1">ROUND(C55*F64,1)</f>
        <v>18.5</v>
      </c>
      <c r="D64" s="2618" t="s">
        <v>680</v>
      </c>
      <c r="E64" s="784" t="s">
        <v>1747</v>
      </c>
      <c r="F64" s="818">
        <f t="shared" ca="1" si="0"/>
        <v>1.5E-3</v>
      </c>
      <c r="I64" s="3146" t="s">
        <v>2368</v>
      </c>
      <c r="J64" s="3147">
        <v>50</v>
      </c>
      <c r="K64" s="3147">
        <v>35</v>
      </c>
      <c r="L64" s="3147">
        <v>60</v>
      </c>
      <c r="M64" s="846">
        <v>0</v>
      </c>
      <c r="O64" s="2383" t="s">
        <v>2412</v>
      </c>
      <c r="P64" s="1593"/>
      <c r="Q64" s="1605"/>
      <c r="R64" s="1593"/>
    </row>
    <row r="65" spans="1:18" s="2060" customFormat="1" ht="15.75" thickBot="1">
      <c r="A65" s="1650" t="s">
        <v>1891</v>
      </c>
      <c r="B65" s="784" t="s">
        <v>666</v>
      </c>
      <c r="C65" s="53">
        <f ca="1">ROUND(C47*F65,1)</f>
        <v>0</v>
      </c>
      <c r="D65" s="2618" t="s">
        <v>683</v>
      </c>
      <c r="E65" s="784" t="s">
        <v>1747</v>
      </c>
      <c r="F65" s="794">
        <f t="shared" ca="1" si="0"/>
        <v>0.01</v>
      </c>
      <c r="I65" s="3146" t="s">
        <v>2369</v>
      </c>
      <c r="J65" s="3147">
        <v>40</v>
      </c>
      <c r="K65" s="3147">
        <v>30</v>
      </c>
      <c r="L65" s="3147">
        <v>50</v>
      </c>
      <c r="M65" s="3149">
        <v>0.02</v>
      </c>
      <c r="O65" s="2374" t="s">
        <v>2372</v>
      </c>
      <c r="P65" s="2375" t="s">
        <v>2373</v>
      </c>
      <c r="Q65" s="2376" t="s">
        <v>2374</v>
      </c>
      <c r="R65" s="2375" t="s">
        <v>2375</v>
      </c>
    </row>
    <row r="66" spans="1:18" s="2060" customFormat="1" ht="24.75" thickBot="1">
      <c r="A66" s="797" t="s">
        <v>1776</v>
      </c>
      <c r="B66" s="2986" t="s">
        <v>2819</v>
      </c>
      <c r="C66" s="799">
        <f ca="1">C47-C57</f>
        <v>-204</v>
      </c>
      <c r="D66" s="2617" t="s">
        <v>700</v>
      </c>
      <c r="E66" s="2616"/>
      <c r="F66" s="820"/>
      <c r="K66" s="2087"/>
      <c r="O66" s="2377" t="s">
        <v>2376</v>
      </c>
      <c r="P66" s="2378" t="s">
        <v>2406</v>
      </c>
      <c r="Q66" s="2379">
        <f ca="1">C40+J29</f>
        <v>37657</v>
      </c>
      <c r="R66" s="2378" t="s">
        <v>2377</v>
      </c>
    </row>
    <row r="67" spans="1:18" s="2060" customFormat="1" ht="20.25" thickBot="1">
      <c r="A67" s="781" t="s">
        <v>1780</v>
      </c>
      <c r="B67" s="2233" t="s">
        <v>2301</v>
      </c>
      <c r="C67" s="783">
        <f ca="1">ROUND(C66*(1-((1+F69)/(1+F67))^F68)/(F67-F69),0)</f>
        <v>-3128</v>
      </c>
      <c r="D67" s="814" t="s">
        <v>704</v>
      </c>
      <c r="E67" s="784" t="s">
        <v>705</v>
      </c>
      <c r="F67" s="794">
        <f ca="1">F40</f>
        <v>5.5E-2</v>
      </c>
      <c r="K67" s="2087"/>
      <c r="O67" s="2377" t="s">
        <v>2378</v>
      </c>
      <c r="P67" s="2378" t="s">
        <v>2409</v>
      </c>
      <c r="Q67" s="2379">
        <f ca="1">L60</f>
        <v>0</v>
      </c>
      <c r="R67" s="2382" t="s">
        <v>2411</v>
      </c>
    </row>
    <row r="68" spans="1:18" ht="21.75" thickBot="1">
      <c r="A68" s="786"/>
      <c r="B68" s="787"/>
      <c r="C68" s="788"/>
      <c r="D68" s="821" t="s">
        <v>1808</v>
      </c>
      <c r="E68" s="784" t="s">
        <v>1784</v>
      </c>
      <c r="F68" s="822">
        <f ca="1">F41</f>
        <v>34.619999999999997</v>
      </c>
      <c r="O68" s="2380" t="s">
        <v>2380</v>
      </c>
      <c r="P68" s="2378" t="s">
        <v>2410</v>
      </c>
      <c r="Q68" s="2384">
        <f ca="1">L51</f>
        <v>10242</v>
      </c>
      <c r="R68" s="2385" t="s">
        <v>2413</v>
      </c>
    </row>
    <row r="69" spans="1:18" ht="20.25" thickBot="1">
      <c r="A69" s="790"/>
      <c r="B69" s="791"/>
      <c r="C69" s="792"/>
      <c r="D69" s="816"/>
      <c r="E69" s="784" t="s">
        <v>710</v>
      </c>
      <c r="F69" s="2350"/>
      <c r="O69" s="2380" t="s">
        <v>2381</v>
      </c>
      <c r="P69" s="2386" t="s">
        <v>2395</v>
      </c>
      <c r="Q69" s="2379">
        <f ca="1">ROUND(Q70-Q71*Q72,0)</f>
        <v>618</v>
      </c>
      <c r="R69" s="2382"/>
    </row>
    <row r="70" spans="1:18" ht="15.75" thickBot="1">
      <c r="A70" s="823" t="s">
        <v>1787</v>
      </c>
      <c r="B70" s="824" t="s">
        <v>1810</v>
      </c>
      <c r="C70" s="825">
        <f ca="1">ROUND(C67*10000/F70,0)</f>
        <v>-943</v>
      </c>
      <c r="D70" s="826" t="s">
        <v>1811</v>
      </c>
      <c r="E70" s="827" t="s">
        <v>1812</v>
      </c>
      <c r="F70" s="828">
        <f ca="1">F43</f>
        <v>33168.99</v>
      </c>
      <c r="O70" s="2380" t="s">
        <v>2396</v>
      </c>
      <c r="P70" s="2386" t="s">
        <v>2397</v>
      </c>
      <c r="Q70" s="2379">
        <f ca="1">C39</f>
        <v>1669</v>
      </c>
      <c r="R70" s="2378" t="s">
        <v>2377</v>
      </c>
    </row>
    <row r="71" spans="1:18" ht="15.75" thickBot="1">
      <c r="O71" s="2380" t="s">
        <v>2398</v>
      </c>
      <c r="P71" s="2386" t="s">
        <v>2399</v>
      </c>
      <c r="Q71" s="2379">
        <f ca="1">C13</f>
        <v>12362</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37657</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38" t="s">
        <v>2468</v>
      </c>
      <c r="B1" s="3439"/>
      <c r="C1" s="3440"/>
      <c r="D1" s="3441">
        <f>SUM(I10,I15,I20,I21,I23)</f>
        <v>0</v>
      </c>
      <c r="E1" s="3441"/>
      <c r="F1" s="3441"/>
      <c r="G1" s="3441"/>
      <c r="H1" s="3441"/>
      <c r="I1" s="3442"/>
    </row>
    <row r="2" spans="1:9">
      <c r="A2" s="3443" t="s">
        <v>2469</v>
      </c>
      <c r="B2" s="3444" t="s">
        <v>2470</v>
      </c>
      <c r="C2" s="3444"/>
      <c r="D2" s="2486" t="s">
        <v>2471</v>
      </c>
      <c r="E2" s="2486" t="s">
        <v>2472</v>
      </c>
      <c r="F2" s="2486" t="s">
        <v>2473</v>
      </c>
      <c r="G2" s="2486" t="s">
        <v>2474</v>
      </c>
      <c r="H2" s="2486" t="s">
        <v>2475</v>
      </c>
      <c r="I2" s="2487" t="s">
        <v>2476</v>
      </c>
    </row>
    <row r="3" spans="1:9">
      <c r="A3" s="3443"/>
      <c r="B3" s="3444" t="s">
        <v>2477</v>
      </c>
      <c r="C3" s="3444"/>
      <c r="D3" s="2488"/>
      <c r="E3" s="2486"/>
      <c r="F3" s="2489"/>
      <c r="G3" s="2489"/>
      <c r="H3" s="2490"/>
      <c r="I3" s="2491">
        <f>ROUND(D3*E3*F3*G3*H3/10000,0)</f>
        <v>0</v>
      </c>
    </row>
    <row r="4" spans="1:9">
      <c r="A4" s="3443"/>
      <c r="B4" s="3444" t="s">
        <v>2478</v>
      </c>
      <c r="C4" s="3444"/>
      <c r="D4" s="2488"/>
      <c r="E4" s="2486"/>
      <c r="F4" s="2489"/>
      <c r="G4" s="2489"/>
      <c r="H4" s="2490"/>
      <c r="I4" s="2491">
        <f t="shared" ref="I4:I9" si="0">ROUND(D4*E4*F4*G4*H4/10000,0)</f>
        <v>0</v>
      </c>
    </row>
    <row r="5" spans="1:9">
      <c r="A5" s="3443"/>
      <c r="B5" s="3444" t="s">
        <v>2479</v>
      </c>
      <c r="C5" s="3444"/>
      <c r="D5" s="2488"/>
      <c r="E5" s="2486"/>
      <c r="F5" s="2489"/>
      <c r="G5" s="2489"/>
      <c r="H5" s="2490"/>
      <c r="I5" s="2491">
        <f t="shared" si="0"/>
        <v>0</v>
      </c>
    </row>
    <row r="6" spans="1:9">
      <c r="A6" s="3443"/>
      <c r="B6" s="3444" t="s">
        <v>2480</v>
      </c>
      <c r="C6" s="3444"/>
      <c r="D6" s="2488"/>
      <c r="E6" s="2486"/>
      <c r="F6" s="2489"/>
      <c r="G6" s="2489"/>
      <c r="H6" s="2490"/>
      <c r="I6" s="2491">
        <f t="shared" si="0"/>
        <v>0</v>
      </c>
    </row>
    <row r="7" spans="1:9">
      <c r="A7" s="3443"/>
      <c r="B7" s="3444" t="s">
        <v>2481</v>
      </c>
      <c r="C7" s="3444"/>
      <c r="D7" s="2488"/>
      <c r="E7" s="2486"/>
      <c r="F7" s="2489"/>
      <c r="G7" s="2489"/>
      <c r="H7" s="2490"/>
      <c r="I7" s="2491">
        <f t="shared" si="0"/>
        <v>0</v>
      </c>
    </row>
    <row r="8" spans="1:9">
      <c r="A8" s="3443"/>
      <c r="B8" s="3444" t="s">
        <v>2482</v>
      </c>
      <c r="C8" s="3444"/>
      <c r="D8" s="2488"/>
      <c r="E8" s="2486"/>
      <c r="F8" s="2489"/>
      <c r="G8" s="2489"/>
      <c r="H8" s="2490"/>
      <c r="I8" s="2491">
        <f t="shared" si="0"/>
        <v>0</v>
      </c>
    </row>
    <row r="9" spans="1:9">
      <c r="A9" s="3443"/>
      <c r="B9" s="3444" t="s">
        <v>2483</v>
      </c>
      <c r="C9" s="3444"/>
      <c r="D9" s="2488"/>
      <c r="E9" s="2486"/>
      <c r="F9" s="2489"/>
      <c r="G9" s="2489"/>
      <c r="H9" s="2490"/>
      <c r="I9" s="2491">
        <f t="shared" si="0"/>
        <v>0</v>
      </c>
    </row>
    <row r="10" spans="1:9">
      <c r="A10" s="3443"/>
      <c r="B10" s="3445" t="s">
        <v>2484</v>
      </c>
      <c r="C10" s="3445"/>
      <c r="D10" s="2492">
        <v>527</v>
      </c>
      <c r="E10" s="2492" t="e">
        <f>ROUND(D1*10000/D10/H9,0)</f>
        <v>#DIV/0!</v>
      </c>
      <c r="F10" s="2493"/>
      <c r="G10" s="2493"/>
      <c r="H10" s="2494"/>
      <c r="I10" s="2495">
        <f>SUM(I3:I9)</f>
        <v>0</v>
      </c>
    </row>
    <row r="11" spans="1:9" ht="14.25">
      <c r="A11" s="3443" t="s">
        <v>2485</v>
      </c>
      <c r="B11" s="3444" t="s">
        <v>2486</v>
      </c>
      <c r="C11" s="3444"/>
      <c r="D11" s="2488" t="s">
        <v>2487</v>
      </c>
      <c r="E11" s="2488" t="s">
        <v>2488</v>
      </c>
      <c r="F11" s="2489" t="s">
        <v>2489</v>
      </c>
      <c r="G11" s="2489" t="s">
        <v>2490</v>
      </c>
      <c r="H11" s="2496" t="s">
        <v>2491</v>
      </c>
      <c r="I11" s="2487" t="s">
        <v>2492</v>
      </c>
    </row>
    <row r="12" spans="1:9">
      <c r="A12" s="3443"/>
      <c r="B12" s="3444" t="s">
        <v>2493</v>
      </c>
      <c r="C12" s="3444"/>
      <c r="D12" s="2488"/>
      <c r="E12" s="2488"/>
      <c r="F12" s="2489"/>
      <c r="G12" s="2490"/>
      <c r="H12" s="2497"/>
      <c r="I12" s="2487">
        <f>ROUND(D12*E12*F12*G12/10000,0)</f>
        <v>0</v>
      </c>
    </row>
    <row r="13" spans="1:9">
      <c r="A13" s="3443"/>
      <c r="B13" s="3444" t="s">
        <v>2494</v>
      </c>
      <c r="C13" s="3444"/>
      <c r="D13" s="2488"/>
      <c r="E13" s="2488"/>
      <c r="F13" s="2489"/>
      <c r="G13" s="2490"/>
      <c r="H13" s="2497"/>
      <c r="I13" s="2487">
        <f>ROUND(D13*E13*F13*G13/10000,0)</f>
        <v>0</v>
      </c>
    </row>
    <row r="14" spans="1:9">
      <c r="A14" s="3443"/>
      <c r="B14" s="3444" t="s">
        <v>2495</v>
      </c>
      <c r="C14" s="3444"/>
      <c r="D14" s="2488"/>
      <c r="E14" s="2488"/>
      <c r="F14" s="2489"/>
      <c r="G14" s="2490"/>
      <c r="H14" s="2497"/>
      <c r="I14" s="2487">
        <f>ROUND(D14*E14*F14*G14/10000,0)</f>
        <v>0</v>
      </c>
    </row>
    <row r="15" spans="1:9">
      <c r="A15" s="3443"/>
      <c r="B15" s="3445" t="s">
        <v>2484</v>
      </c>
      <c r="C15" s="3445"/>
      <c r="D15" s="2492"/>
      <c r="E15" s="2492">
        <f>SUM(E12:E14)</f>
        <v>0</v>
      </c>
      <c r="F15" s="2493"/>
      <c r="G15" s="2490"/>
      <c r="H15" s="2497"/>
      <c r="I15" s="2498">
        <f>SUM(I12:I14)</f>
        <v>0</v>
      </c>
    </row>
    <row r="16" spans="1:9" ht="24">
      <c r="A16" s="3443" t="s">
        <v>2496</v>
      </c>
      <c r="B16" s="3444" t="s">
        <v>2497</v>
      </c>
      <c r="C16" s="3444"/>
      <c r="D16" s="2488" t="s">
        <v>2498</v>
      </c>
      <c r="E16" s="2499" t="s">
        <v>2499</v>
      </c>
      <c r="F16" s="2489" t="s">
        <v>2500</v>
      </c>
      <c r="G16" s="2490" t="s">
        <v>2490</v>
      </c>
      <c r="H16" s="2496" t="s">
        <v>2491</v>
      </c>
      <c r="I16" s="2487" t="s">
        <v>2492</v>
      </c>
    </row>
    <row r="17" spans="1:9" ht="14.25">
      <c r="A17" s="3443"/>
      <c r="B17" s="3444" t="s">
        <v>2501</v>
      </c>
      <c r="C17" s="3444"/>
      <c r="D17" s="2488"/>
      <c r="E17" s="2488"/>
      <c r="F17" s="2489"/>
      <c r="G17" s="2490"/>
      <c r="H17" s="2500"/>
      <c r="I17" s="2501">
        <f>ROUND(D17*E17*F17*G17/10000,0)</f>
        <v>0</v>
      </c>
    </row>
    <row r="18" spans="1:9" ht="14.25">
      <c r="A18" s="3443"/>
      <c r="B18" s="3444" t="s">
        <v>2502</v>
      </c>
      <c r="C18" s="3444"/>
      <c r="D18" s="2488"/>
      <c r="E18" s="2488"/>
      <c r="F18" s="2489"/>
      <c r="G18" s="2490"/>
      <c r="H18" s="2500"/>
      <c r="I18" s="2501">
        <f>ROUND(D18*E18*F18*G18/10000,0)</f>
        <v>0</v>
      </c>
    </row>
    <row r="19" spans="1:9" ht="14.25">
      <c r="A19" s="3443"/>
      <c r="B19" s="3444" t="s">
        <v>2503</v>
      </c>
      <c r="C19" s="3444"/>
      <c r="D19" s="2488"/>
      <c r="E19" s="2488"/>
      <c r="F19" s="2489"/>
      <c r="G19" s="2490"/>
      <c r="H19" s="2500"/>
      <c r="I19" s="2501">
        <f>ROUND(D19*E19*F19*G19/10000,0)</f>
        <v>0</v>
      </c>
    </row>
    <row r="20" spans="1:9">
      <c r="A20" s="3443"/>
      <c r="B20" s="3445" t="s">
        <v>2484</v>
      </c>
      <c r="C20" s="3445"/>
      <c r="D20" s="2492">
        <f>SUM(D17:D19)</f>
        <v>0</v>
      </c>
      <c r="E20" s="2492"/>
      <c r="F20" s="2493"/>
      <c r="G20" s="2490"/>
      <c r="H20" s="2497"/>
      <c r="I20" s="2498">
        <f>SUM(I17:I19)</f>
        <v>0</v>
      </c>
    </row>
    <row r="21" spans="1:9">
      <c r="A21" s="3443" t="s">
        <v>2504</v>
      </c>
      <c r="B21" s="3447"/>
      <c r="C21" s="3447"/>
      <c r="D21" s="3447"/>
      <c r="E21" s="3447"/>
      <c r="F21" s="3447"/>
      <c r="G21" s="3447"/>
      <c r="H21" s="2502">
        <v>0.1</v>
      </c>
      <c r="I21" s="2495">
        <f>ROUND(I10*H21,0)</f>
        <v>0</v>
      </c>
    </row>
    <row r="22" spans="1:9" ht="14.25">
      <c r="A22" s="3448" t="s">
        <v>2505</v>
      </c>
      <c r="B22" s="3449"/>
      <c r="C22" s="3450"/>
      <c r="D22" s="2503" t="s">
        <v>2506</v>
      </c>
      <c r="E22" s="2503" t="s">
        <v>2507</v>
      </c>
      <c r="F22" s="2504" t="s">
        <v>2508</v>
      </c>
      <c r="G22" s="2504" t="s">
        <v>2509</v>
      </c>
      <c r="H22" s="2496" t="s">
        <v>2510</v>
      </c>
      <c r="I22" s="2487" t="s">
        <v>2511</v>
      </c>
    </row>
    <row r="23" spans="1:9" ht="14.25" thickBot="1">
      <c r="A23" s="3451"/>
      <c r="B23" s="3452"/>
      <c r="C23" s="3453"/>
      <c r="D23" s="2505"/>
      <c r="E23" s="2505"/>
      <c r="F23" s="2505"/>
      <c r="G23" s="2506"/>
      <c r="H23" s="2507"/>
      <c r="I23" s="2508">
        <f>ROUND(E23*D23*F23*(1-G23)/10000,0)</f>
        <v>0</v>
      </c>
    </row>
    <row r="26" spans="1:9">
      <c r="A26" s="2509" t="s">
        <v>2512</v>
      </c>
      <c r="B26" s="2509"/>
      <c r="C26" s="2509"/>
      <c r="D26" s="2509"/>
      <c r="E26" s="3454">
        <f>C27-C30-C31-C32</f>
        <v>0</v>
      </c>
      <c r="F26" s="3454"/>
      <c r="G26" s="3454"/>
      <c r="H26" s="3019" t="s">
        <v>2839</v>
      </c>
    </row>
    <row r="27" spans="1:9">
      <c r="A27" s="2510">
        <v>1</v>
      </c>
      <c r="B27" s="2511" t="s">
        <v>2513</v>
      </c>
      <c r="C27" s="2511"/>
      <c r="D27" s="2511"/>
      <c r="E27" s="3455"/>
      <c r="F27" s="3455"/>
      <c r="G27" s="3455"/>
    </row>
    <row r="28" spans="1:9">
      <c r="A28" s="2512" t="s">
        <v>2514</v>
      </c>
      <c r="B28" s="2511" t="s">
        <v>2515</v>
      </c>
      <c r="C28" s="2511"/>
      <c r="D28" s="2511"/>
      <c r="E28" s="3455"/>
      <c r="F28" s="3455"/>
      <c r="G28" s="3455"/>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446"/>
      <c r="F32" s="3446"/>
      <c r="G32" s="3446"/>
    </row>
    <row r="33" spans="1:7" hidden="1">
      <c r="A33" s="3456" t="s">
        <v>2523</v>
      </c>
      <c r="B33" s="3457"/>
      <c r="C33" s="3457"/>
      <c r="D33" s="3458"/>
      <c r="E33" s="3454"/>
      <c r="F33" s="3454"/>
      <c r="G33" s="3454"/>
    </row>
    <row r="34" spans="1:7" hidden="1">
      <c r="A34" s="2514">
        <v>1</v>
      </c>
      <c r="B34" s="2511" t="s">
        <v>2524</v>
      </c>
      <c r="C34" s="2511"/>
      <c r="D34" s="2511"/>
      <c r="E34" s="3455"/>
      <c r="F34" s="3455"/>
      <c r="G34" s="3455"/>
    </row>
    <row r="35" spans="1:7" hidden="1">
      <c r="A35" s="2514">
        <v>2</v>
      </c>
      <c r="B35" s="2511" t="s">
        <v>2525</v>
      </c>
      <c r="C35" s="2511"/>
      <c r="D35" s="2511"/>
      <c r="E35" s="3455"/>
      <c r="F35" s="3455"/>
      <c r="G35" s="3455"/>
    </row>
    <row r="36" spans="1:7" hidden="1">
      <c r="A36" s="2514">
        <v>3</v>
      </c>
      <c r="B36" s="2511" t="s">
        <v>2526</v>
      </c>
      <c r="C36" s="2511"/>
      <c r="D36" s="2511"/>
      <c r="E36" s="3455"/>
      <c r="F36" s="3455"/>
      <c r="G36" s="3455"/>
    </row>
    <row r="37" spans="1:7" hidden="1">
      <c r="A37" s="2514">
        <v>4</v>
      </c>
      <c r="B37" s="2511" t="s">
        <v>2527</v>
      </c>
      <c r="C37" s="2511"/>
      <c r="D37" s="2511"/>
      <c r="E37" s="3455"/>
      <c r="F37" s="3455"/>
      <c r="G37" s="3455"/>
    </row>
    <row r="38" spans="1:7" hidden="1">
      <c r="A38" s="3456" t="s">
        <v>2528</v>
      </c>
      <c r="B38" s="3457"/>
      <c r="C38" s="3457"/>
      <c r="D38" s="3458"/>
      <c r="E38" s="3454"/>
      <c r="F38" s="3454"/>
      <c r="G38" s="34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2437</v>
      </c>
      <c r="B8" s="2451" t="s">
        <v>2439</v>
      </c>
      <c r="C8" s="2452"/>
      <c r="D8" s="749"/>
      <c r="E8" s="750"/>
      <c r="F8" s="750"/>
      <c r="G8" s="751"/>
    </row>
    <row r="9" spans="1:25" s="2184" customFormat="1" ht="13.5" customHeight="1">
      <c r="A9" s="2448" t="s">
        <v>2438</v>
      </c>
      <c r="B9" s="2451" t="s">
        <v>2440</v>
      </c>
      <c r="C9" s="2452"/>
      <c r="D9" s="749"/>
      <c r="E9" s="750"/>
      <c r="F9" s="750"/>
      <c r="G9" s="751"/>
    </row>
    <row r="10" spans="1:25" s="2184" customFormat="1" ht="36">
      <c r="A10" s="2448">
        <v>2</v>
      </c>
      <c r="B10" s="748" t="s">
        <v>613</v>
      </c>
      <c r="C10" s="749">
        <f>C11+C14+C15</f>
        <v>0</v>
      </c>
      <c r="D10" s="760">
        <f>'数据-汇总表'!E3</f>
        <v>33268.799999999996</v>
      </c>
      <c r="E10" s="749">
        <f>'数据-取费表'!B31</f>
        <v>200</v>
      </c>
      <c r="F10" s="761"/>
      <c r="G10" s="759" t="s">
        <v>614</v>
      </c>
    </row>
    <row r="11" spans="1:25" s="2184" customFormat="1" ht="13.5" customHeight="1">
      <c r="A11" s="2448" t="s">
        <v>2437</v>
      </c>
      <c r="B11" s="752" t="s">
        <v>610</v>
      </c>
      <c r="C11" s="753">
        <f>'数据-取费表'!B29</f>
        <v>0</v>
      </c>
      <c r="D11" s="754"/>
      <c r="E11" s="753"/>
      <c r="F11" s="755"/>
      <c r="G11" s="2457" t="s">
        <v>2448</v>
      </c>
    </row>
    <row r="12" spans="1:25" s="2184" customFormat="1" ht="13.5" customHeight="1">
      <c r="A12" s="2455" t="s">
        <v>2445</v>
      </c>
      <c r="B12" s="756" t="s">
        <v>611</v>
      </c>
      <c r="C12" s="757">
        <f>ROUND(D12*E12/10000,0)</f>
        <v>0</v>
      </c>
      <c r="D12" s="758">
        <f>'数据-汇总表'!E5</f>
        <v>0</v>
      </c>
      <c r="E12" s="757">
        <f>'数据-取费表'!B27</f>
        <v>30</v>
      </c>
      <c r="F12" s="755"/>
      <c r="G12" s="759"/>
    </row>
    <row r="13" spans="1:25" s="2184" customFormat="1" ht="13.5" customHeight="1">
      <c r="A13" s="2455" t="s">
        <v>2444</v>
      </c>
      <c r="B13" s="756" t="s">
        <v>612</v>
      </c>
      <c r="C13" s="757">
        <f>ROUND(D13*E13/10000,0)</f>
        <v>186</v>
      </c>
      <c r="D13" s="758">
        <f>'数据-汇总表'!E6</f>
        <v>33268.799999999996</v>
      </c>
      <c r="E13" s="757">
        <f>'数据-取费表'!B28</f>
        <v>56</v>
      </c>
      <c r="F13" s="755"/>
      <c r="G13" s="759"/>
    </row>
    <row r="14" spans="1:25" s="2184" customFormat="1" ht="13.5" customHeight="1">
      <c r="A14" s="2448" t="s">
        <v>2438</v>
      </c>
      <c r="B14" s="2454" t="s">
        <v>2441</v>
      </c>
      <c r="C14" s="2452"/>
      <c r="D14" s="758"/>
      <c r="E14" s="757"/>
      <c r="F14" s="2453"/>
      <c r="G14" s="2456" t="s">
        <v>2446</v>
      </c>
    </row>
    <row r="15" spans="1:25" s="2184" customFormat="1" ht="13.5" customHeight="1">
      <c r="A15" s="2448" t="s">
        <v>2443</v>
      </c>
      <c r="B15" s="2454" t="s">
        <v>2442</v>
      </c>
      <c r="C15" s="2452"/>
      <c r="D15" s="758"/>
      <c r="E15" s="757"/>
      <c r="F15" s="2453"/>
      <c r="G15" s="2456" t="s">
        <v>2447</v>
      </c>
    </row>
    <row r="16" spans="1:25" s="2185" customFormat="1" ht="48">
      <c r="A16" s="2448">
        <v>3</v>
      </c>
      <c r="B16" s="748" t="s">
        <v>615</v>
      </c>
      <c r="C16" s="2452"/>
      <c r="D16" s="760"/>
      <c r="E16" s="749"/>
      <c r="F16" s="761"/>
      <c r="G16" s="759" t="s">
        <v>2449</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0.05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0.82799999999999996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2" t="s">
        <v>522</v>
      </c>
      <c r="D4" s="3353"/>
      <c r="E4" s="3386" t="s">
        <v>523</v>
      </c>
      <c r="F4" s="3387"/>
      <c r="G4" s="3352" t="s">
        <v>524</v>
      </c>
      <c r="H4" s="3353"/>
      <c r="I4" s="3352" t="s">
        <v>525</v>
      </c>
      <c r="J4" s="3353"/>
      <c r="K4" s="853" t="s">
        <v>526</v>
      </c>
      <c r="L4" s="2134"/>
      <c r="M4" s="2135"/>
      <c r="N4" s="2135"/>
      <c r="O4" s="2135"/>
      <c r="P4" s="3354" t="s">
        <v>527</v>
      </c>
      <c r="Q4" s="3355"/>
      <c r="R4" s="3360" t="s">
        <v>523</v>
      </c>
      <c r="S4" s="3361"/>
      <c r="T4" s="3360" t="s">
        <v>524</v>
      </c>
      <c r="U4" s="3361"/>
      <c r="V4" s="3347" t="s">
        <v>525</v>
      </c>
      <c r="W4" s="3347"/>
      <c r="X4" s="1568"/>
      <c r="Y4" s="3360" t="s">
        <v>527</v>
      </c>
      <c r="Z4" s="3361"/>
      <c r="AA4" s="3349" t="s">
        <v>523</v>
      </c>
      <c r="AB4" s="3349" t="s">
        <v>524</v>
      </c>
      <c r="AC4" s="3349" t="s">
        <v>525</v>
      </c>
    </row>
    <row r="5" spans="1:29" ht="15">
      <c r="A5" s="515"/>
      <c r="B5" s="516"/>
      <c r="C5" s="3368" t="s">
        <v>2926</v>
      </c>
      <c r="D5" s="3369"/>
      <c r="E5" s="3388" t="s">
        <v>2927</v>
      </c>
      <c r="F5" s="3389"/>
      <c r="G5" s="3368" t="s">
        <v>2928</v>
      </c>
      <c r="H5" s="3369"/>
      <c r="I5" s="3368" t="s">
        <v>2929</v>
      </c>
      <c r="J5" s="3369"/>
      <c r="K5" s="854"/>
      <c r="L5" s="2134"/>
      <c r="M5" s="2135"/>
      <c r="N5" s="2135"/>
      <c r="O5" s="2135"/>
      <c r="P5" s="3356"/>
      <c r="Q5" s="3357"/>
      <c r="R5" s="3362"/>
      <c r="S5" s="3363"/>
      <c r="T5" s="3362"/>
      <c r="U5" s="3363"/>
      <c r="V5" s="3347"/>
      <c r="W5" s="3347"/>
      <c r="X5" s="1568"/>
      <c r="Y5" s="3362"/>
      <c r="Z5" s="3363"/>
      <c r="AA5" s="3350"/>
      <c r="AB5" s="3350"/>
      <c r="AC5" s="3350"/>
    </row>
    <row r="6" spans="1:29" ht="15.75" thickBot="1">
      <c r="A6" s="517"/>
      <c r="B6" s="518"/>
      <c r="C6" s="3366" t="s">
        <v>2930</v>
      </c>
      <c r="D6" s="3367"/>
      <c r="E6" s="3384" t="s">
        <v>2930</v>
      </c>
      <c r="F6" s="3385"/>
      <c r="G6" s="3366" t="s">
        <v>2930</v>
      </c>
      <c r="H6" s="3367"/>
      <c r="I6" s="3366" t="s">
        <v>2930</v>
      </c>
      <c r="J6" s="3367"/>
      <c r="K6" s="854" t="s">
        <v>528</v>
      </c>
      <c r="L6" s="2134"/>
      <c r="M6" s="2135"/>
      <c r="N6" s="2135"/>
      <c r="O6" s="2135"/>
      <c r="P6" s="3358"/>
      <c r="Q6" s="3359"/>
      <c r="R6" s="3362"/>
      <c r="S6" s="3363"/>
      <c r="T6" s="3364"/>
      <c r="U6" s="3365"/>
      <c r="V6" s="3347"/>
      <c r="W6" s="3347"/>
      <c r="X6" s="1568"/>
      <c r="Y6" s="3364"/>
      <c r="Z6" s="3365"/>
      <c r="AA6" s="3351"/>
      <c r="AB6" s="3351"/>
      <c r="AC6" s="3351"/>
    </row>
    <row r="7" spans="1:29" s="1220" customFormat="1" ht="15.75" thickBot="1">
      <c r="A7" s="2890"/>
      <c r="B7" s="2897" t="s">
        <v>529</v>
      </c>
      <c r="C7" s="519">
        <f>'数据-取费表'!B2</f>
        <v>43486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7" t="s">
        <v>530</v>
      </c>
      <c r="Q7" s="3379"/>
      <c r="R7" s="1569" t="s">
        <v>13</v>
      </c>
      <c r="S7" s="1570">
        <f t="shared" ref="S7:S15" si="0">F7</f>
        <v>0</v>
      </c>
      <c r="T7" s="1569" t="s">
        <v>13</v>
      </c>
      <c r="U7" s="1570">
        <f t="shared" ref="U7:U15" si="1">H7</f>
        <v>0</v>
      </c>
      <c r="V7" s="1569" t="s">
        <v>13</v>
      </c>
      <c r="W7" s="1570">
        <f t="shared" ref="W7:W15" si="2">J7</f>
        <v>0</v>
      </c>
      <c r="X7" s="1571"/>
      <c r="Y7" s="3377" t="s">
        <v>530</v>
      </c>
      <c r="Z7" s="3378"/>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7" t="s">
        <v>533</v>
      </c>
      <c r="Q8" s="3378"/>
      <c r="R8" s="1569" t="s">
        <v>13</v>
      </c>
      <c r="S8" s="1570">
        <f t="shared" si="0"/>
        <v>0</v>
      </c>
      <c r="T8" s="1569" t="s">
        <v>13</v>
      </c>
      <c r="U8" s="1570">
        <f t="shared" si="1"/>
        <v>0</v>
      </c>
      <c r="V8" s="1569" t="s">
        <v>13</v>
      </c>
      <c r="W8" s="1570">
        <f t="shared" si="2"/>
        <v>0</v>
      </c>
      <c r="X8" s="1571"/>
      <c r="Y8" s="3377" t="s">
        <v>533</v>
      </c>
      <c r="Z8" s="3378"/>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6"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6"/>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6"/>
      <c r="Q11" s="1151" t="str">
        <f t="shared" si="6"/>
        <v>容积率</v>
      </c>
      <c r="R11" s="1569" t="s">
        <v>11</v>
      </c>
      <c r="S11" s="1570" t="e">
        <f t="shared" si="0"/>
        <v>#N/A</v>
      </c>
      <c r="T11" s="1569" t="s">
        <v>11</v>
      </c>
      <c r="U11" s="1570" t="e">
        <f t="shared" si="1"/>
        <v>#N/A</v>
      </c>
      <c r="V11" s="1569" t="s">
        <v>11</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6"/>
      <c r="Q12" s="1151">
        <f t="shared" si="6"/>
        <v>111</v>
      </c>
      <c r="R12" s="1569" t="s">
        <v>11</v>
      </c>
      <c r="S12" s="1570">
        <f t="shared" si="0"/>
        <v>100</v>
      </c>
      <c r="T12" s="1569" t="s">
        <v>11</v>
      </c>
      <c r="U12" s="1570">
        <f t="shared" si="1"/>
        <v>100</v>
      </c>
      <c r="V12" s="1569" t="s">
        <v>11</v>
      </c>
      <c r="W12" s="1570">
        <f t="shared" si="2"/>
        <v>100</v>
      </c>
      <c r="X12" s="1571"/>
      <c r="Y12" s="3292"/>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6"/>
      <c r="Q13" s="1151">
        <f t="shared" si="6"/>
        <v>111</v>
      </c>
      <c r="R13" s="1569" t="s">
        <v>11</v>
      </c>
      <c r="S13" s="1570">
        <f t="shared" si="0"/>
        <v>100</v>
      </c>
      <c r="T13" s="1569" t="s">
        <v>11</v>
      </c>
      <c r="U13" s="1570">
        <f t="shared" si="1"/>
        <v>100</v>
      </c>
      <c r="V13" s="1569" t="s">
        <v>11</v>
      </c>
      <c r="W13" s="1570">
        <f t="shared" si="2"/>
        <v>100</v>
      </c>
      <c r="X13" s="1571"/>
      <c r="Y13" s="3292"/>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6"/>
      <c r="Q14" s="1151">
        <f t="shared" si="6"/>
        <v>111</v>
      </c>
      <c r="R14" s="1569" t="s">
        <v>11</v>
      </c>
      <c r="S14" s="1570">
        <f t="shared" si="0"/>
        <v>100</v>
      </c>
      <c r="T14" s="1569" t="s">
        <v>11</v>
      </c>
      <c r="U14" s="1570">
        <f t="shared" si="1"/>
        <v>100</v>
      </c>
      <c r="V14" s="1569" t="s">
        <v>11</v>
      </c>
      <c r="W14" s="1570">
        <f t="shared" si="2"/>
        <v>100</v>
      </c>
      <c r="X14" s="1571"/>
      <c r="Y14" s="3292"/>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0" t="s">
        <v>540</v>
      </c>
      <c r="Q15" s="1573" t="str">
        <f t="shared" si="6"/>
        <v>居住社区成熟度</v>
      </c>
      <c r="R15" s="1574" t="s">
        <v>11</v>
      </c>
      <c r="S15" s="1575">
        <f t="shared" si="0"/>
        <v>100</v>
      </c>
      <c r="T15" s="1574" t="s">
        <v>11</v>
      </c>
      <c r="U15" s="1575">
        <f t="shared" si="1"/>
        <v>100</v>
      </c>
      <c r="V15" s="1574" t="s">
        <v>11</v>
      </c>
      <c r="W15" s="1575">
        <f t="shared" si="2"/>
        <v>100</v>
      </c>
      <c r="X15" s="1568"/>
      <c r="Y15" s="338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1"/>
      <c r="Q16" s="1573"/>
      <c r="R16" s="1574"/>
      <c r="S16" s="1575"/>
      <c r="T16" s="1574"/>
      <c r="U16" s="1575"/>
      <c r="V16" s="1574"/>
      <c r="W16" s="1575"/>
      <c r="X16" s="1568"/>
      <c r="Y16" s="338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1"/>
      <c r="Q17" s="1573" t="str">
        <f>B17</f>
        <v>交通便捷度</v>
      </c>
      <c r="R17" s="1574" t="s">
        <v>11</v>
      </c>
      <c r="S17" s="1575">
        <f>F17</f>
        <v>100</v>
      </c>
      <c r="T17" s="1574" t="s">
        <v>11</v>
      </c>
      <c r="U17" s="1575">
        <f>H17</f>
        <v>100</v>
      </c>
      <c r="V17" s="1574" t="s">
        <v>11</v>
      </c>
      <c r="W17" s="1575">
        <f>J17</f>
        <v>100</v>
      </c>
      <c r="X17" s="1568"/>
      <c r="Y17" s="33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1"/>
      <c r="Q18" s="1573"/>
      <c r="R18" s="1574"/>
      <c r="S18" s="1575"/>
      <c r="T18" s="1574"/>
      <c r="U18" s="1575"/>
      <c r="V18" s="1574"/>
      <c r="W18" s="1575"/>
      <c r="X18" s="1568"/>
      <c r="Y18" s="3381"/>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1"/>
      <c r="Q19" s="1573" t="str">
        <f>B19</f>
        <v>公共配套设施</v>
      </c>
      <c r="R19" s="1574" t="s">
        <v>11</v>
      </c>
      <c r="S19" s="1575">
        <f>F19</f>
        <v>100</v>
      </c>
      <c r="T19" s="1574" t="s">
        <v>11</v>
      </c>
      <c r="U19" s="1575">
        <f>H19</f>
        <v>100</v>
      </c>
      <c r="V19" s="1574" t="s">
        <v>11</v>
      </c>
      <c r="W19" s="1575">
        <f>J19</f>
        <v>100</v>
      </c>
      <c r="X19" s="1568"/>
      <c r="Y19" s="338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1"/>
      <c r="Q20" s="1573"/>
      <c r="R20" s="1574"/>
      <c r="S20" s="1575"/>
      <c r="T20" s="1574"/>
      <c r="U20" s="1575"/>
      <c r="V20" s="1574"/>
      <c r="W20" s="1575"/>
      <c r="X20" s="1568"/>
      <c r="Y20" s="3381"/>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1"/>
      <c r="Q21" s="2558" t="str">
        <f>B21</f>
        <v>基础设施水平</v>
      </c>
      <c r="R21" s="1574" t="s">
        <v>11</v>
      </c>
      <c r="S21" s="1575">
        <f>F21</f>
        <v>100</v>
      </c>
      <c r="T21" s="1574" t="s">
        <v>11</v>
      </c>
      <c r="U21" s="1575">
        <f>H21</f>
        <v>100</v>
      </c>
      <c r="V21" s="1574" t="s">
        <v>11</v>
      </c>
      <c r="W21" s="1575">
        <f>J21</f>
        <v>100</v>
      </c>
      <c r="X21" s="2560"/>
      <c r="Y21" s="3381"/>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381"/>
      <c r="Q22" s="2558"/>
      <c r="R22" s="1574"/>
      <c r="S22" s="1575"/>
      <c r="T22" s="1574"/>
      <c r="U22" s="1575"/>
      <c r="V22" s="1574"/>
      <c r="W22" s="1575"/>
      <c r="X22" s="2560"/>
      <c r="Y22" s="3381"/>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1"/>
      <c r="Q23" s="1573" t="str">
        <f>B23</f>
        <v>自然及人文环境</v>
      </c>
      <c r="R23" s="1574" t="s">
        <v>11</v>
      </c>
      <c r="S23" s="1575">
        <f>F23</f>
        <v>100</v>
      </c>
      <c r="T23" s="1574" t="s">
        <v>11</v>
      </c>
      <c r="U23" s="1575">
        <f>H23</f>
        <v>100</v>
      </c>
      <c r="V23" s="1574" t="s">
        <v>11</v>
      </c>
      <c r="W23" s="1575">
        <f>J23</f>
        <v>100</v>
      </c>
      <c r="X23" s="1568"/>
      <c r="Y23" s="338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1"/>
      <c r="Q24" s="1573"/>
      <c r="R24" s="1574"/>
      <c r="S24" s="1575"/>
      <c r="T24" s="1574"/>
      <c r="U24" s="1575"/>
      <c r="V24" s="1574"/>
      <c r="W24" s="1575"/>
      <c r="X24" s="1568"/>
      <c r="Y24" s="3381"/>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1"/>
      <c r="Q25" s="1573" t="str">
        <f t="shared" ref="Q25:Q46" si="11">B25</f>
        <v>楼层-1</v>
      </c>
      <c r="R25" s="1574" t="s">
        <v>11</v>
      </c>
      <c r="S25" s="1575">
        <f>F25</f>
        <v>100</v>
      </c>
      <c r="T25" s="1574" t="s">
        <v>11</v>
      </c>
      <c r="U25" s="1575">
        <f>H25</f>
        <v>100</v>
      </c>
      <c r="V25" s="1574" t="s">
        <v>11</v>
      </c>
      <c r="W25" s="1575">
        <f>J25</f>
        <v>100</v>
      </c>
      <c r="X25" s="1568"/>
      <c r="Y25" s="338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1"/>
      <c r="Q26" s="1573" t="str">
        <f t="shared" si="11"/>
        <v>朝向</v>
      </c>
      <c r="R26" s="1574" t="s">
        <v>11</v>
      </c>
      <c r="S26" s="1575">
        <f>F26</f>
        <v>100</v>
      </c>
      <c r="T26" s="1574" t="s">
        <v>11</v>
      </c>
      <c r="U26" s="1575">
        <f>H26</f>
        <v>100</v>
      </c>
      <c r="V26" s="1574" t="s">
        <v>11</v>
      </c>
      <c r="W26" s="1575">
        <f>J26</f>
        <v>100</v>
      </c>
      <c r="X26" s="1568"/>
      <c r="Y26" s="338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1"/>
      <c r="Q27" s="1151" t="str">
        <f t="shared" si="11"/>
        <v>道路级别</v>
      </c>
      <c r="R27" s="1569" t="s">
        <v>11</v>
      </c>
      <c r="S27" s="1570">
        <f>F27</f>
        <v>100</v>
      </c>
      <c r="T27" s="1569" t="s">
        <v>11</v>
      </c>
      <c r="U27" s="1570">
        <f>H27</f>
        <v>100</v>
      </c>
      <c r="V27" s="1569" t="s">
        <v>11</v>
      </c>
      <c r="W27" s="1570">
        <f>J27</f>
        <v>100</v>
      </c>
      <c r="X27" s="1571"/>
      <c r="Y27" s="338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1"/>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1"/>
      <c r="Q29" s="1573">
        <f t="shared" si="11"/>
        <v>111</v>
      </c>
      <c r="R29" s="1574" t="s">
        <v>11</v>
      </c>
      <c r="S29" s="1575">
        <f t="shared" si="12"/>
        <v>100</v>
      </c>
      <c r="T29" s="1574" t="s">
        <v>11</v>
      </c>
      <c r="U29" s="1575">
        <f t="shared" si="13"/>
        <v>100</v>
      </c>
      <c r="V29" s="1574" t="s">
        <v>11</v>
      </c>
      <c r="W29" s="1575">
        <f t="shared" si="14"/>
        <v>100</v>
      </c>
      <c r="X29" s="1568"/>
      <c r="Y29" s="338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1"/>
      <c r="Q30" s="1573">
        <f t="shared" si="11"/>
        <v>111</v>
      </c>
      <c r="R30" s="1574" t="s">
        <v>11</v>
      </c>
      <c r="S30" s="1575">
        <f t="shared" si="12"/>
        <v>100</v>
      </c>
      <c r="T30" s="1574" t="s">
        <v>11</v>
      </c>
      <c r="U30" s="1575">
        <f t="shared" si="13"/>
        <v>100</v>
      </c>
      <c r="V30" s="1574" t="s">
        <v>11</v>
      </c>
      <c r="W30" s="1575">
        <f t="shared" si="14"/>
        <v>100</v>
      </c>
      <c r="X30" s="1568"/>
      <c r="Y30" s="338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1"/>
      <c r="Q31" s="1573">
        <f t="shared" si="11"/>
        <v>111</v>
      </c>
      <c r="R31" s="1574" t="s">
        <v>11</v>
      </c>
      <c r="S31" s="1575">
        <f t="shared" si="12"/>
        <v>100</v>
      </c>
      <c r="T31" s="1574" t="s">
        <v>11</v>
      </c>
      <c r="U31" s="1575">
        <f t="shared" si="13"/>
        <v>100</v>
      </c>
      <c r="V31" s="1574" t="s">
        <v>11</v>
      </c>
      <c r="W31" s="1575">
        <f t="shared" si="14"/>
        <v>100</v>
      </c>
      <c r="X31" s="1568"/>
      <c r="Y31" s="3381"/>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2" t="s">
        <v>550</v>
      </c>
      <c r="Q32" s="1573" t="str">
        <f t="shared" si="11"/>
        <v>建筑类型</v>
      </c>
      <c r="R32" s="1574" t="s">
        <v>11</v>
      </c>
      <c r="S32" s="1575">
        <f t="shared" si="12"/>
        <v>100</v>
      </c>
      <c r="T32" s="1574" t="s">
        <v>11</v>
      </c>
      <c r="U32" s="1575">
        <f t="shared" si="13"/>
        <v>100</v>
      </c>
      <c r="V32" s="1574" t="s">
        <v>11</v>
      </c>
      <c r="W32" s="1575">
        <f t="shared" si="14"/>
        <v>100</v>
      </c>
      <c r="X32" s="1568"/>
      <c r="Y32" s="3383"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3"/>
      <c r="Q33" s="1606" t="str">
        <f t="shared" si="11"/>
        <v>项目建筑规模</v>
      </c>
      <c r="R33" s="1578" t="s">
        <v>11</v>
      </c>
      <c r="S33" s="1579" t="e">
        <f t="shared" si="12"/>
        <v>#N/A</v>
      </c>
      <c r="T33" s="1578" t="s">
        <v>11</v>
      </c>
      <c r="U33" s="1579" t="e">
        <f t="shared" si="13"/>
        <v>#N/A</v>
      </c>
      <c r="V33" s="1578" t="s">
        <v>11</v>
      </c>
      <c r="W33" s="1579" t="e">
        <f t="shared" si="14"/>
        <v>#N/A</v>
      </c>
      <c r="X33" s="1580"/>
      <c r="Y33" s="338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3"/>
      <c r="Q34" s="1573" t="str">
        <f t="shared" si="11"/>
        <v>建筑结构</v>
      </c>
      <c r="R34" s="1574" t="s">
        <v>11</v>
      </c>
      <c r="S34" s="1575">
        <f t="shared" si="12"/>
        <v>100</v>
      </c>
      <c r="T34" s="1574" t="s">
        <v>11</v>
      </c>
      <c r="U34" s="1575">
        <f t="shared" si="13"/>
        <v>100</v>
      </c>
      <c r="V34" s="1574" t="s">
        <v>11</v>
      </c>
      <c r="W34" s="1575">
        <f t="shared" si="14"/>
        <v>100</v>
      </c>
      <c r="X34" s="1568"/>
      <c r="Y34" s="3383"/>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3"/>
      <c r="Q35" s="1573" t="str">
        <f t="shared" si="11"/>
        <v>建筑品质</v>
      </c>
      <c r="R35" s="1574" t="s">
        <v>11</v>
      </c>
      <c r="S35" s="1575">
        <f t="shared" si="12"/>
        <v>100</v>
      </c>
      <c r="T35" s="1574" t="s">
        <v>11</v>
      </c>
      <c r="U35" s="1575">
        <f t="shared" si="13"/>
        <v>100</v>
      </c>
      <c r="V35" s="1574" t="s">
        <v>11</v>
      </c>
      <c r="W35" s="1575">
        <f t="shared" si="14"/>
        <v>100</v>
      </c>
      <c r="X35" s="1568"/>
      <c r="Y35" s="3383"/>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3"/>
      <c r="Q36" s="1573" t="str">
        <f t="shared" si="11"/>
        <v>公共部分装修</v>
      </c>
      <c r="R36" s="1574" t="s">
        <v>11</v>
      </c>
      <c r="S36" s="1575">
        <f t="shared" si="12"/>
        <v>100</v>
      </c>
      <c r="T36" s="1574" t="s">
        <v>11</v>
      </c>
      <c r="U36" s="1575">
        <f t="shared" si="13"/>
        <v>100</v>
      </c>
      <c r="V36" s="1574" t="s">
        <v>11</v>
      </c>
      <c r="W36" s="1575">
        <f t="shared" si="14"/>
        <v>100</v>
      </c>
      <c r="X36" s="1568"/>
      <c r="Y36" s="3383"/>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3"/>
      <c r="Q37" s="1151" t="str">
        <f t="shared" si="11"/>
        <v>成新度</v>
      </c>
      <c r="R37" s="1569" t="s">
        <v>11</v>
      </c>
      <c r="S37" s="1570" t="e">
        <f t="shared" si="12"/>
        <v>#N/A</v>
      </c>
      <c r="T37" s="1569" t="s">
        <v>11</v>
      </c>
      <c r="U37" s="1570" t="e">
        <f t="shared" si="13"/>
        <v>#N/A</v>
      </c>
      <c r="V37" s="1569" t="s">
        <v>11</v>
      </c>
      <c r="W37" s="1570" t="e">
        <f t="shared" si="14"/>
        <v>#N/A</v>
      </c>
      <c r="X37" s="1571"/>
      <c r="Y37" s="3383"/>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3" t="s">
        <v>550</v>
      </c>
      <c r="Q38" s="1573" t="str">
        <f t="shared" si="11"/>
        <v>物业管理</v>
      </c>
      <c r="R38" s="1574" t="s">
        <v>11</v>
      </c>
      <c r="S38" s="1575">
        <f t="shared" si="12"/>
        <v>100</v>
      </c>
      <c r="T38" s="1574" t="s">
        <v>11</v>
      </c>
      <c r="U38" s="1575">
        <f t="shared" si="13"/>
        <v>100</v>
      </c>
      <c r="V38" s="1574" t="s">
        <v>11</v>
      </c>
      <c r="W38" s="1575">
        <f t="shared" si="14"/>
        <v>100</v>
      </c>
      <c r="X38" s="1568"/>
      <c r="Y38" s="3383" t="s">
        <v>550</v>
      </c>
      <c r="Z38" s="1576" t="str">
        <f t="shared" si="15"/>
        <v>物业管理</v>
      </c>
      <c r="AA38" s="1577">
        <f t="shared" si="3"/>
        <v>1</v>
      </c>
      <c r="AB38" s="1577">
        <f t="shared" si="4"/>
        <v>1</v>
      </c>
      <c r="AC38" s="1577">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3"/>
      <c r="Q39" s="1573" t="str">
        <f t="shared" si="11"/>
        <v>市政基础设施</v>
      </c>
      <c r="R39" s="1574" t="s">
        <v>11</v>
      </c>
      <c r="S39" s="1575">
        <f t="shared" si="12"/>
        <v>100</v>
      </c>
      <c r="T39" s="1574" t="s">
        <v>11</v>
      </c>
      <c r="U39" s="1575">
        <f t="shared" si="13"/>
        <v>100</v>
      </c>
      <c r="V39" s="1574" t="s">
        <v>11</v>
      </c>
      <c r="W39" s="1575">
        <f t="shared" si="14"/>
        <v>100</v>
      </c>
      <c r="X39" s="1568"/>
      <c r="Y39" s="338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3"/>
      <c r="Q40" s="1573" t="str">
        <f t="shared" si="11"/>
        <v>房型</v>
      </c>
      <c r="R40" s="1574" t="s">
        <v>11</v>
      </c>
      <c r="S40" s="1575">
        <f t="shared" si="12"/>
        <v>100</v>
      </c>
      <c r="T40" s="1574" t="s">
        <v>11</v>
      </c>
      <c r="U40" s="1575">
        <f t="shared" si="13"/>
        <v>100</v>
      </c>
      <c r="V40" s="1574" t="s">
        <v>11</v>
      </c>
      <c r="W40" s="1575">
        <f t="shared" si="14"/>
        <v>100</v>
      </c>
      <c r="X40" s="1568"/>
      <c r="Y40" s="338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3"/>
      <c r="Q41" s="1606" t="str">
        <f t="shared" si="11"/>
        <v>单套/主力户型建筑面积</v>
      </c>
      <c r="R41" s="1578" t="s">
        <v>11</v>
      </c>
      <c r="S41" s="1579">
        <f t="shared" si="12"/>
        <v>100</v>
      </c>
      <c r="T41" s="1578" t="s">
        <v>11</v>
      </c>
      <c r="U41" s="1579">
        <f t="shared" si="13"/>
        <v>100</v>
      </c>
      <c r="V41" s="1578" t="s">
        <v>11</v>
      </c>
      <c r="W41" s="1579">
        <f t="shared" si="14"/>
        <v>100</v>
      </c>
      <c r="X41" s="1580"/>
      <c r="Y41" s="3383"/>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3"/>
      <c r="Q42" s="1573" t="str">
        <f t="shared" si="11"/>
        <v>内部装修</v>
      </c>
      <c r="R42" s="1574" t="s">
        <v>11</v>
      </c>
      <c r="S42" s="1575">
        <f t="shared" si="12"/>
        <v>100</v>
      </c>
      <c r="T42" s="1574" t="s">
        <v>11</v>
      </c>
      <c r="U42" s="1575">
        <f t="shared" si="13"/>
        <v>100</v>
      </c>
      <c r="V42" s="1574" t="s">
        <v>11</v>
      </c>
      <c r="W42" s="1575">
        <f t="shared" si="14"/>
        <v>100</v>
      </c>
      <c r="X42" s="1568"/>
      <c r="Y42" s="3383"/>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3"/>
      <c r="Q43" s="1573" t="str">
        <f t="shared" si="11"/>
        <v>内部装修维护情况</v>
      </c>
      <c r="R43" s="1574" t="s">
        <v>11</v>
      </c>
      <c r="S43" s="1575">
        <f t="shared" si="12"/>
        <v>100</v>
      </c>
      <c r="T43" s="1574" t="s">
        <v>11</v>
      </c>
      <c r="U43" s="1575">
        <f t="shared" si="13"/>
        <v>100</v>
      </c>
      <c r="V43" s="1574" t="s">
        <v>11</v>
      </c>
      <c r="W43" s="1575">
        <f t="shared" si="14"/>
        <v>100</v>
      </c>
      <c r="X43" s="1568"/>
      <c r="Y43" s="338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3"/>
      <c r="Q44" s="1151">
        <f t="shared" si="11"/>
        <v>111</v>
      </c>
      <c r="R44" s="1569" t="s">
        <v>11</v>
      </c>
      <c r="S44" s="1570">
        <f t="shared" si="12"/>
        <v>100</v>
      </c>
      <c r="T44" s="1569" t="s">
        <v>11</v>
      </c>
      <c r="U44" s="1570">
        <f t="shared" si="13"/>
        <v>100</v>
      </c>
      <c r="V44" s="1569" t="s">
        <v>11</v>
      </c>
      <c r="W44" s="1570">
        <f t="shared" si="14"/>
        <v>100</v>
      </c>
      <c r="X44" s="1571"/>
      <c r="Y44" s="338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3"/>
      <c r="Q45" s="1573">
        <f t="shared" si="11"/>
        <v>111</v>
      </c>
      <c r="R45" s="1574" t="s">
        <v>11</v>
      </c>
      <c r="S45" s="1575">
        <f t="shared" si="12"/>
        <v>100</v>
      </c>
      <c r="T45" s="1574" t="s">
        <v>11</v>
      </c>
      <c r="U45" s="1575">
        <f t="shared" si="13"/>
        <v>100</v>
      </c>
      <c r="V45" s="1574" t="s">
        <v>11</v>
      </c>
      <c r="W45" s="1575">
        <f t="shared" si="14"/>
        <v>100</v>
      </c>
      <c r="X45" s="1568"/>
      <c r="Y45" s="338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1"/>
      <c r="Q46" s="1573">
        <f t="shared" si="11"/>
        <v>111</v>
      </c>
      <c r="R46" s="1574" t="s">
        <v>10</v>
      </c>
      <c r="S46" s="1575">
        <f t="shared" si="12"/>
        <v>100</v>
      </c>
      <c r="T46" s="1574" t="s">
        <v>10</v>
      </c>
      <c r="U46" s="1575">
        <f t="shared" si="13"/>
        <v>100</v>
      </c>
      <c r="V46" s="1574" t="s">
        <v>10</v>
      </c>
      <c r="W46" s="1575">
        <f t="shared" si="14"/>
        <v>100</v>
      </c>
      <c r="X46" s="1568"/>
      <c r="Y46" s="3461"/>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46" t="str">
        <f>A47</f>
        <v>成交单价（元/平方米）</v>
      </c>
      <c r="Q47" s="3346"/>
      <c r="R47" s="3460">
        <f>E47</f>
        <v>0</v>
      </c>
      <c r="S47" s="3460"/>
      <c r="T47" s="3460">
        <f>G47</f>
        <v>0</v>
      </c>
      <c r="U47" s="3460"/>
      <c r="V47" s="3460">
        <f>I47</f>
        <v>0</v>
      </c>
      <c r="W47" s="3460"/>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5"/>
      <c r="M48" s="2146"/>
      <c r="N48" s="2146"/>
      <c r="O48" s="2146"/>
      <c r="P48" s="3346" t="str">
        <f>A48</f>
        <v>比较价格（元/平方米）</v>
      </c>
      <c r="Q48" s="3346"/>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09"/>
      <c r="L49" s="2145"/>
      <c r="M49" s="2146"/>
      <c r="N49" s="2146"/>
      <c r="O49" s="2146"/>
      <c r="P49" s="3343" t="str">
        <f>A49</f>
        <v>估价对象XX用房的比较价格（楼面单价，元/平方米）</v>
      </c>
      <c r="Q49" s="3344"/>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2" t="s">
        <v>522</v>
      </c>
      <c r="D4" s="3353"/>
      <c r="E4" s="3386" t="s">
        <v>523</v>
      </c>
      <c r="F4" s="3387"/>
      <c r="G4" s="3352" t="s">
        <v>524</v>
      </c>
      <c r="H4" s="3353"/>
      <c r="I4" s="3352" t="s">
        <v>525</v>
      </c>
      <c r="J4" s="3353"/>
      <c r="K4" s="514" t="s">
        <v>526</v>
      </c>
      <c r="L4" s="2134"/>
      <c r="M4" s="2135"/>
      <c r="N4" s="2135"/>
      <c r="O4" s="2135"/>
      <c r="P4" s="3354" t="s">
        <v>527</v>
      </c>
      <c r="Q4" s="3355"/>
      <c r="R4" s="3360" t="s">
        <v>523</v>
      </c>
      <c r="S4" s="3361"/>
      <c r="T4" s="3360" t="s">
        <v>524</v>
      </c>
      <c r="U4" s="3361"/>
      <c r="V4" s="3347" t="s">
        <v>525</v>
      </c>
      <c r="W4" s="3347"/>
      <c r="X4" s="1568"/>
      <c r="Y4" s="3360" t="s">
        <v>527</v>
      </c>
      <c r="Z4" s="3361"/>
      <c r="AA4" s="3349" t="s">
        <v>523</v>
      </c>
      <c r="AB4" s="3347" t="s">
        <v>524</v>
      </c>
      <c r="AC4" s="3349" t="s">
        <v>525</v>
      </c>
    </row>
    <row r="5" spans="1:29" ht="15">
      <c r="A5" s="515"/>
      <c r="B5" s="516"/>
      <c r="C5" s="3368" t="s">
        <v>2926</v>
      </c>
      <c r="D5" s="3369"/>
      <c r="E5" s="3388" t="s">
        <v>2927</v>
      </c>
      <c r="F5" s="3389"/>
      <c r="G5" s="3368" t="s">
        <v>2928</v>
      </c>
      <c r="H5" s="3369"/>
      <c r="I5" s="3368" t="s">
        <v>2929</v>
      </c>
      <c r="J5" s="3369"/>
      <c r="K5" s="514"/>
      <c r="L5" s="2134"/>
      <c r="M5" s="2135"/>
      <c r="N5" s="2135"/>
      <c r="O5" s="2135"/>
      <c r="P5" s="3356"/>
      <c r="Q5" s="3357"/>
      <c r="R5" s="3362"/>
      <c r="S5" s="3363"/>
      <c r="T5" s="3362"/>
      <c r="U5" s="3363"/>
      <c r="V5" s="3347"/>
      <c r="W5" s="3347"/>
      <c r="X5" s="1568"/>
      <c r="Y5" s="3362"/>
      <c r="Z5" s="3363"/>
      <c r="AA5" s="3350"/>
      <c r="AB5" s="3347"/>
      <c r="AC5" s="3350"/>
    </row>
    <row r="6" spans="1:29" ht="15.75" thickBot="1">
      <c r="A6" s="517"/>
      <c r="B6" s="518"/>
      <c r="C6" s="3366" t="s">
        <v>2930</v>
      </c>
      <c r="D6" s="3367"/>
      <c r="E6" s="3384" t="s">
        <v>2930</v>
      </c>
      <c r="F6" s="3385"/>
      <c r="G6" s="3366" t="s">
        <v>2930</v>
      </c>
      <c r="H6" s="3367"/>
      <c r="I6" s="3366" t="s">
        <v>2930</v>
      </c>
      <c r="J6" s="3367"/>
      <c r="K6" s="514" t="s">
        <v>528</v>
      </c>
      <c r="L6" s="2134"/>
      <c r="M6" s="2135"/>
      <c r="N6" s="2135"/>
      <c r="O6" s="2135"/>
      <c r="P6" s="3358"/>
      <c r="Q6" s="3359"/>
      <c r="R6" s="3362"/>
      <c r="S6" s="3363"/>
      <c r="T6" s="3364"/>
      <c r="U6" s="3365"/>
      <c r="V6" s="3347"/>
      <c r="W6" s="3347"/>
      <c r="X6" s="1568"/>
      <c r="Y6" s="3364"/>
      <c r="Z6" s="3365"/>
      <c r="AA6" s="3351"/>
      <c r="AB6" s="3347"/>
      <c r="AC6" s="3351"/>
    </row>
    <row r="7" spans="1:29" s="1220" customFormat="1" ht="15.75" thickBot="1">
      <c r="A7" s="2890"/>
      <c r="B7" s="2897" t="s">
        <v>529</v>
      </c>
      <c r="C7" s="519">
        <f>'数据-取费表'!B2</f>
        <v>43486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7" t="s">
        <v>530</v>
      </c>
      <c r="Q7" s="3379"/>
      <c r="R7" s="1569" t="s">
        <v>8</v>
      </c>
      <c r="S7" s="1570">
        <f t="shared" ref="S7:S15" si="0">F7</f>
        <v>0</v>
      </c>
      <c r="T7" s="1569" t="s">
        <v>8</v>
      </c>
      <c r="U7" s="1570">
        <f t="shared" ref="U7:U15" si="1">H7</f>
        <v>0</v>
      </c>
      <c r="V7" s="1569" t="s">
        <v>8</v>
      </c>
      <c r="W7" s="1570">
        <f t="shared" ref="W7:W15" si="2">J7</f>
        <v>0</v>
      </c>
      <c r="X7" s="1571"/>
      <c r="Y7" s="3377" t="s">
        <v>530</v>
      </c>
      <c r="Z7" s="3378"/>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7" t="s">
        <v>533</v>
      </c>
      <c r="Q8" s="3378"/>
      <c r="R8" s="1569" t="s">
        <v>8</v>
      </c>
      <c r="S8" s="1570">
        <f t="shared" si="0"/>
        <v>0</v>
      </c>
      <c r="T8" s="1569" t="s">
        <v>8</v>
      </c>
      <c r="U8" s="1570">
        <f t="shared" si="1"/>
        <v>0</v>
      </c>
      <c r="V8" s="1569" t="s">
        <v>8</v>
      </c>
      <c r="W8" s="1570">
        <f t="shared" si="2"/>
        <v>0</v>
      </c>
      <c r="X8" s="1571"/>
      <c r="Y8" s="3377" t="s">
        <v>533</v>
      </c>
      <c r="Z8" s="3378"/>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6"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6"/>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6"/>
      <c r="Q11" s="1151" t="str">
        <f t="shared" si="6"/>
        <v>容积率</v>
      </c>
      <c r="R11" s="1569" t="s">
        <v>8</v>
      </c>
      <c r="S11" s="1570" t="e">
        <f t="shared" si="0"/>
        <v>#N/A</v>
      </c>
      <c r="T11" s="1569" t="s">
        <v>8</v>
      </c>
      <c r="U11" s="1570" t="e">
        <f t="shared" si="1"/>
        <v>#N/A</v>
      </c>
      <c r="V11" s="1569" t="s">
        <v>8</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6"/>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6"/>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6"/>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0" t="s">
        <v>540</v>
      </c>
      <c r="Q15" s="1573" t="str">
        <f t="shared" si="6"/>
        <v>商业繁华度</v>
      </c>
      <c r="R15" s="1574" t="s">
        <v>8</v>
      </c>
      <c r="S15" s="1575">
        <f t="shared" si="0"/>
        <v>100</v>
      </c>
      <c r="T15" s="1574" t="s">
        <v>8</v>
      </c>
      <c r="U15" s="1575">
        <f t="shared" si="1"/>
        <v>100</v>
      </c>
      <c r="V15" s="1574" t="s">
        <v>8</v>
      </c>
      <c r="W15" s="1575">
        <f t="shared" si="2"/>
        <v>100</v>
      </c>
      <c r="X15" s="1568"/>
      <c r="Y15" s="338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1"/>
      <c r="Q16" s="1573"/>
      <c r="R16" s="1574"/>
      <c r="S16" s="1575"/>
      <c r="T16" s="1574"/>
      <c r="U16" s="1575"/>
      <c r="V16" s="1574"/>
      <c r="W16" s="1575"/>
      <c r="X16" s="1568"/>
      <c r="Y16" s="338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1"/>
      <c r="Q17" s="1573" t="str">
        <f>B17</f>
        <v>交通便捷度</v>
      </c>
      <c r="R17" s="1574" t="s">
        <v>8</v>
      </c>
      <c r="S17" s="1575">
        <f>F17</f>
        <v>100</v>
      </c>
      <c r="T17" s="1574" t="s">
        <v>8</v>
      </c>
      <c r="U17" s="1575">
        <f>H17</f>
        <v>100</v>
      </c>
      <c r="V17" s="1574" t="s">
        <v>8</v>
      </c>
      <c r="W17" s="1575">
        <f>J17</f>
        <v>100</v>
      </c>
      <c r="X17" s="1568"/>
      <c r="Y17" s="33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1"/>
      <c r="Q18" s="1573"/>
      <c r="R18" s="1574"/>
      <c r="S18" s="1575"/>
      <c r="T18" s="1574"/>
      <c r="U18" s="1575"/>
      <c r="V18" s="1574"/>
      <c r="W18" s="1575"/>
      <c r="X18" s="1568"/>
      <c r="Y18" s="3381"/>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1"/>
      <c r="Q19" s="1573" t="str">
        <f>B19</f>
        <v>公共配套设施</v>
      </c>
      <c r="R19" s="1574" t="s">
        <v>8</v>
      </c>
      <c r="S19" s="1575">
        <f>F19</f>
        <v>100</v>
      </c>
      <c r="T19" s="1574" t="s">
        <v>8</v>
      </c>
      <c r="U19" s="1575">
        <f>H19</f>
        <v>100</v>
      </c>
      <c r="V19" s="1574" t="s">
        <v>8</v>
      </c>
      <c r="W19" s="1575">
        <f>J19</f>
        <v>100</v>
      </c>
      <c r="X19" s="1568"/>
      <c r="Y19" s="338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1"/>
      <c r="Q20" s="1573"/>
      <c r="R20" s="1574"/>
      <c r="S20" s="1575"/>
      <c r="T20" s="1574"/>
      <c r="U20" s="1575"/>
      <c r="V20" s="1574"/>
      <c r="W20" s="1575"/>
      <c r="X20" s="1568"/>
      <c r="Y20" s="3381"/>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1"/>
      <c r="Q21" s="2558" t="str">
        <f>B21</f>
        <v>基础设施水平</v>
      </c>
      <c r="R21" s="1574" t="s">
        <v>8</v>
      </c>
      <c r="S21" s="1575">
        <f>F21</f>
        <v>100</v>
      </c>
      <c r="T21" s="1574" t="s">
        <v>8</v>
      </c>
      <c r="U21" s="1575">
        <f>H21</f>
        <v>100</v>
      </c>
      <c r="V21" s="1574" t="s">
        <v>8</v>
      </c>
      <c r="W21" s="1575">
        <f>J21</f>
        <v>100</v>
      </c>
      <c r="X21" s="2560"/>
      <c r="Y21" s="3381"/>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381"/>
      <c r="Q22" s="2558"/>
      <c r="R22" s="1574"/>
      <c r="S22" s="1575"/>
      <c r="T22" s="1574"/>
      <c r="U22" s="1575"/>
      <c r="V22" s="1574"/>
      <c r="W22" s="1575"/>
      <c r="X22" s="2560"/>
      <c r="Y22" s="3381"/>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1"/>
      <c r="Q23" s="1573" t="str">
        <f>B23</f>
        <v>自然及人文环境</v>
      </c>
      <c r="R23" s="1574" t="s">
        <v>8</v>
      </c>
      <c r="S23" s="1575">
        <f>F23</f>
        <v>100</v>
      </c>
      <c r="T23" s="1574" t="s">
        <v>8</v>
      </c>
      <c r="U23" s="1575">
        <f>H23</f>
        <v>100</v>
      </c>
      <c r="V23" s="1574" t="s">
        <v>8</v>
      </c>
      <c r="W23" s="1575">
        <f>J23</f>
        <v>100</v>
      </c>
      <c r="X23" s="1568"/>
      <c r="Y23" s="338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1"/>
      <c r="Q24" s="1573"/>
      <c r="R24" s="1574"/>
      <c r="S24" s="1575"/>
      <c r="T24" s="1574"/>
      <c r="U24" s="1575"/>
      <c r="V24" s="1574"/>
      <c r="W24" s="1575"/>
      <c r="X24" s="1568"/>
      <c r="Y24" s="338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1"/>
      <c r="Q25" s="1573" t="str">
        <f t="shared" ref="Q25:Q46" si="11">B25</f>
        <v>临街状况</v>
      </c>
      <c r="R25" s="1574" t="s">
        <v>8</v>
      </c>
      <c r="S25" s="1575">
        <f>F25</f>
        <v>100</v>
      </c>
      <c r="T25" s="1574" t="s">
        <v>8</v>
      </c>
      <c r="U25" s="1575">
        <f>H25</f>
        <v>100</v>
      </c>
      <c r="V25" s="1574" t="s">
        <v>8</v>
      </c>
      <c r="W25" s="1575">
        <f>J25</f>
        <v>100</v>
      </c>
      <c r="X25" s="1568"/>
      <c r="Y25" s="338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1"/>
      <c r="Q26" s="1573" t="str">
        <f t="shared" si="11"/>
        <v>平面位置/可视性</v>
      </c>
      <c r="R26" s="1574" t="s">
        <v>8</v>
      </c>
      <c r="S26" s="1575">
        <f>F26</f>
        <v>100</v>
      </c>
      <c r="T26" s="1574" t="s">
        <v>8</v>
      </c>
      <c r="U26" s="1575">
        <f>H26</f>
        <v>100</v>
      </c>
      <c r="V26" s="1574" t="s">
        <v>8</v>
      </c>
      <c r="W26" s="1575">
        <f>J26</f>
        <v>100</v>
      </c>
      <c r="X26" s="1568"/>
      <c r="Y26" s="338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1"/>
      <c r="Q27" s="1151" t="str">
        <f t="shared" si="11"/>
        <v>人流量</v>
      </c>
      <c r="R27" s="1569" t="s">
        <v>8</v>
      </c>
      <c r="S27" s="1570">
        <f>F27</f>
        <v>100</v>
      </c>
      <c r="T27" s="1569" t="s">
        <v>8</v>
      </c>
      <c r="U27" s="1570">
        <f>H27</f>
        <v>100</v>
      </c>
      <c r="V27" s="1569" t="s">
        <v>8</v>
      </c>
      <c r="W27" s="1570">
        <f>J27</f>
        <v>100</v>
      </c>
      <c r="X27" s="1571"/>
      <c r="Y27" s="338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1"/>
      <c r="Q29" s="1573">
        <f t="shared" si="11"/>
        <v>111</v>
      </c>
      <c r="R29" s="1574" t="s">
        <v>8</v>
      </c>
      <c r="S29" s="1575">
        <f t="shared" si="12"/>
        <v>100</v>
      </c>
      <c r="T29" s="1574" t="s">
        <v>8</v>
      </c>
      <c r="U29" s="1575">
        <f t="shared" si="13"/>
        <v>100</v>
      </c>
      <c r="V29" s="1574" t="s">
        <v>8</v>
      </c>
      <c r="W29" s="1575">
        <f t="shared" si="14"/>
        <v>100</v>
      </c>
      <c r="X29" s="1568"/>
      <c r="Y29" s="338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1"/>
      <c r="Q30" s="1573">
        <f t="shared" si="11"/>
        <v>111</v>
      </c>
      <c r="R30" s="1574" t="s">
        <v>8</v>
      </c>
      <c r="S30" s="1575">
        <f t="shared" si="12"/>
        <v>100</v>
      </c>
      <c r="T30" s="1574" t="s">
        <v>8</v>
      </c>
      <c r="U30" s="1575">
        <f t="shared" si="13"/>
        <v>100</v>
      </c>
      <c r="V30" s="1574" t="s">
        <v>8</v>
      </c>
      <c r="W30" s="1575">
        <f t="shared" si="14"/>
        <v>100</v>
      </c>
      <c r="X30" s="1568"/>
      <c r="Y30" s="338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1"/>
      <c r="Q31" s="1573">
        <f t="shared" si="11"/>
        <v>111</v>
      </c>
      <c r="R31" s="1574" t="s">
        <v>8</v>
      </c>
      <c r="S31" s="1575">
        <f t="shared" si="12"/>
        <v>100</v>
      </c>
      <c r="T31" s="1574" t="s">
        <v>8</v>
      </c>
      <c r="U31" s="1575">
        <f t="shared" si="13"/>
        <v>100</v>
      </c>
      <c r="V31" s="1574" t="s">
        <v>8</v>
      </c>
      <c r="W31" s="1575">
        <f t="shared" si="14"/>
        <v>100</v>
      </c>
      <c r="X31" s="1568"/>
      <c r="Y31" s="3381"/>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2" t="s">
        <v>550</v>
      </c>
      <c r="Q32" s="1573" t="str">
        <f t="shared" si="11"/>
        <v>商业类型</v>
      </c>
      <c r="R32" s="1574" t="s">
        <v>8</v>
      </c>
      <c r="S32" s="1575">
        <f t="shared" si="12"/>
        <v>100</v>
      </c>
      <c r="T32" s="1574" t="s">
        <v>8</v>
      </c>
      <c r="U32" s="1575">
        <f t="shared" si="13"/>
        <v>100</v>
      </c>
      <c r="V32" s="1574" t="s">
        <v>8</v>
      </c>
      <c r="W32" s="1575">
        <f t="shared" si="14"/>
        <v>100</v>
      </c>
      <c r="X32" s="1568"/>
      <c r="Y32" s="338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3"/>
      <c r="Q33" s="1606" t="str">
        <f t="shared" si="11"/>
        <v>项目建筑规模</v>
      </c>
      <c r="R33" s="1578" t="s">
        <v>8</v>
      </c>
      <c r="S33" s="1579" t="e">
        <f t="shared" si="12"/>
        <v>#N/A</v>
      </c>
      <c r="T33" s="1578" t="s">
        <v>8</v>
      </c>
      <c r="U33" s="1579" t="e">
        <f t="shared" si="13"/>
        <v>#N/A</v>
      </c>
      <c r="V33" s="1578" t="s">
        <v>8</v>
      </c>
      <c r="W33" s="1579" t="e">
        <f t="shared" si="14"/>
        <v>#N/A</v>
      </c>
      <c r="X33" s="1580"/>
      <c r="Y33" s="338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3"/>
      <c r="Q34" s="1573" t="str">
        <f t="shared" si="11"/>
        <v>建筑结构</v>
      </c>
      <c r="R34" s="1574" t="s">
        <v>8</v>
      </c>
      <c r="S34" s="1575">
        <f t="shared" si="12"/>
        <v>100</v>
      </c>
      <c r="T34" s="1574" t="s">
        <v>8</v>
      </c>
      <c r="U34" s="1575">
        <f t="shared" si="13"/>
        <v>100</v>
      </c>
      <c r="V34" s="1574" t="s">
        <v>8</v>
      </c>
      <c r="W34" s="1575">
        <f t="shared" si="14"/>
        <v>100</v>
      </c>
      <c r="X34" s="1568"/>
      <c r="Y34" s="338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3"/>
      <c r="Q35" s="1573" t="str">
        <f t="shared" si="11"/>
        <v>公共部分装修</v>
      </c>
      <c r="R35" s="1574" t="s">
        <v>8</v>
      </c>
      <c r="S35" s="1575">
        <f t="shared" si="12"/>
        <v>100</v>
      </c>
      <c r="T35" s="1574" t="s">
        <v>8</v>
      </c>
      <c r="U35" s="1575">
        <f t="shared" si="13"/>
        <v>100</v>
      </c>
      <c r="V35" s="1574" t="s">
        <v>8</v>
      </c>
      <c r="W35" s="1575">
        <f t="shared" si="14"/>
        <v>100</v>
      </c>
      <c r="X35" s="1568"/>
      <c r="Y35" s="338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3"/>
      <c r="Q36" s="1573" t="str">
        <f t="shared" si="11"/>
        <v>成新度</v>
      </c>
      <c r="R36" s="1574" t="s">
        <v>8</v>
      </c>
      <c r="S36" s="1575" t="e">
        <f t="shared" si="12"/>
        <v>#N/A</v>
      </c>
      <c r="T36" s="1574" t="s">
        <v>8</v>
      </c>
      <c r="U36" s="1575" t="e">
        <f t="shared" si="13"/>
        <v>#N/A</v>
      </c>
      <c r="V36" s="1574" t="s">
        <v>8</v>
      </c>
      <c r="W36" s="1575" t="e">
        <f t="shared" si="14"/>
        <v>#N/A</v>
      </c>
      <c r="X36" s="1568"/>
      <c r="Y36" s="3383"/>
      <c r="Z36" s="1576" t="str">
        <f t="shared" si="15"/>
        <v>成新度</v>
      </c>
      <c r="AA36" s="1577" t="e">
        <f t="shared" si="3"/>
        <v>#N/A</v>
      </c>
      <c r="AB36" s="1577" t="e">
        <f t="shared" si="4"/>
        <v>#N/A</v>
      </c>
      <c r="AC36" s="1577"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3"/>
      <c r="Q37" s="1151" t="str">
        <f t="shared" si="11"/>
        <v>市政基础设施</v>
      </c>
      <c r="R37" s="1569" t="s">
        <v>8</v>
      </c>
      <c r="S37" s="1570">
        <f t="shared" si="12"/>
        <v>100</v>
      </c>
      <c r="T37" s="1569" t="s">
        <v>8</v>
      </c>
      <c r="U37" s="1570">
        <f t="shared" si="13"/>
        <v>100</v>
      </c>
      <c r="V37" s="1569" t="s">
        <v>8</v>
      </c>
      <c r="W37" s="1570">
        <f t="shared" si="14"/>
        <v>100</v>
      </c>
      <c r="X37" s="1571"/>
      <c r="Y37" s="338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3" t="s">
        <v>766</v>
      </c>
      <c r="Q38" s="1573" t="str">
        <f t="shared" si="11"/>
        <v>业态</v>
      </c>
      <c r="R38" s="1574" t="s">
        <v>8</v>
      </c>
      <c r="S38" s="1575">
        <f t="shared" si="12"/>
        <v>100</v>
      </c>
      <c r="T38" s="1574" t="s">
        <v>8</v>
      </c>
      <c r="U38" s="1575">
        <f t="shared" si="13"/>
        <v>100</v>
      </c>
      <c r="V38" s="1574" t="s">
        <v>8</v>
      </c>
      <c r="W38" s="1575">
        <f t="shared" si="14"/>
        <v>100</v>
      </c>
      <c r="X38" s="1568"/>
      <c r="Y38" s="338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3"/>
      <c r="Q39" s="1573" t="str">
        <f t="shared" si="11"/>
        <v>层高</v>
      </c>
      <c r="R39" s="1574" t="s">
        <v>8</v>
      </c>
      <c r="S39" s="1575">
        <f t="shared" si="12"/>
        <v>100</v>
      </c>
      <c r="T39" s="1574" t="s">
        <v>8</v>
      </c>
      <c r="U39" s="1575">
        <f t="shared" si="13"/>
        <v>100</v>
      </c>
      <c r="V39" s="1574" t="s">
        <v>8</v>
      </c>
      <c r="W39" s="1575">
        <f t="shared" si="14"/>
        <v>100</v>
      </c>
      <c r="X39" s="1568"/>
      <c r="Y39" s="338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3"/>
      <c r="Q40" s="1573" t="str">
        <f t="shared" si="11"/>
        <v>单套建筑面积</v>
      </c>
      <c r="R40" s="1574" t="s">
        <v>8</v>
      </c>
      <c r="S40" s="1575">
        <f t="shared" si="12"/>
        <v>100</v>
      </c>
      <c r="T40" s="1574" t="s">
        <v>8</v>
      </c>
      <c r="U40" s="1575">
        <f t="shared" si="13"/>
        <v>100</v>
      </c>
      <c r="V40" s="1574" t="s">
        <v>8</v>
      </c>
      <c r="W40" s="1575">
        <f t="shared" si="14"/>
        <v>100</v>
      </c>
      <c r="X40" s="1568"/>
      <c r="Y40" s="338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3"/>
      <c r="Q41" s="1606" t="str">
        <f t="shared" si="11"/>
        <v>进深比</v>
      </c>
      <c r="R41" s="1578" t="s">
        <v>8</v>
      </c>
      <c r="S41" s="1579">
        <f t="shared" si="12"/>
        <v>100</v>
      </c>
      <c r="T41" s="1578" t="s">
        <v>8</v>
      </c>
      <c r="U41" s="1579">
        <f t="shared" si="13"/>
        <v>100</v>
      </c>
      <c r="V41" s="1578" t="s">
        <v>8</v>
      </c>
      <c r="W41" s="1579">
        <f t="shared" si="14"/>
        <v>100</v>
      </c>
      <c r="X41" s="1580"/>
      <c r="Y41" s="338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3"/>
      <c r="Q42" s="1573" t="str">
        <f t="shared" si="11"/>
        <v>内部装修</v>
      </c>
      <c r="R42" s="1574" t="s">
        <v>8</v>
      </c>
      <c r="S42" s="1575">
        <f t="shared" si="12"/>
        <v>100</v>
      </c>
      <c r="T42" s="1574" t="s">
        <v>8</v>
      </c>
      <c r="U42" s="1575">
        <f t="shared" si="13"/>
        <v>100</v>
      </c>
      <c r="V42" s="1574" t="s">
        <v>8</v>
      </c>
      <c r="W42" s="1575">
        <f t="shared" si="14"/>
        <v>100</v>
      </c>
      <c r="X42" s="1568"/>
      <c r="Y42" s="338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3"/>
      <c r="Q43" s="1573" t="str">
        <f t="shared" si="11"/>
        <v>内部装修维护情况</v>
      </c>
      <c r="R43" s="1574" t="s">
        <v>8</v>
      </c>
      <c r="S43" s="1575">
        <f t="shared" si="12"/>
        <v>100</v>
      </c>
      <c r="T43" s="1574" t="s">
        <v>8</v>
      </c>
      <c r="U43" s="1575">
        <f t="shared" si="13"/>
        <v>100</v>
      </c>
      <c r="V43" s="1574" t="s">
        <v>8</v>
      </c>
      <c r="W43" s="1575">
        <f t="shared" si="14"/>
        <v>100</v>
      </c>
      <c r="X43" s="1568"/>
      <c r="Y43" s="338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3"/>
      <c r="Q44" s="1151">
        <f t="shared" si="11"/>
        <v>111</v>
      </c>
      <c r="R44" s="1569" t="s">
        <v>8</v>
      </c>
      <c r="S44" s="1570">
        <f t="shared" si="12"/>
        <v>100</v>
      </c>
      <c r="T44" s="1569" t="s">
        <v>8</v>
      </c>
      <c r="U44" s="1570">
        <f t="shared" si="13"/>
        <v>100</v>
      </c>
      <c r="V44" s="1569" t="s">
        <v>8</v>
      </c>
      <c r="W44" s="1570">
        <f t="shared" si="14"/>
        <v>100</v>
      </c>
      <c r="X44" s="1571"/>
      <c r="Y44" s="338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3"/>
      <c r="Q45" s="1573">
        <f t="shared" si="11"/>
        <v>111</v>
      </c>
      <c r="R45" s="1574" t="s">
        <v>8</v>
      </c>
      <c r="S45" s="1575">
        <f t="shared" si="12"/>
        <v>100</v>
      </c>
      <c r="T45" s="1574" t="s">
        <v>8</v>
      </c>
      <c r="U45" s="1575">
        <f t="shared" si="13"/>
        <v>100</v>
      </c>
      <c r="V45" s="1574" t="s">
        <v>8</v>
      </c>
      <c r="W45" s="1575">
        <f t="shared" si="14"/>
        <v>100</v>
      </c>
      <c r="X45" s="1568"/>
      <c r="Y45" s="338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1"/>
      <c r="Q46" s="1573">
        <f t="shared" si="11"/>
        <v>111</v>
      </c>
      <c r="R46" s="1574" t="s">
        <v>8</v>
      </c>
      <c r="S46" s="1575">
        <f t="shared" si="12"/>
        <v>100</v>
      </c>
      <c r="T46" s="1574" t="s">
        <v>8</v>
      </c>
      <c r="U46" s="1575">
        <f t="shared" si="13"/>
        <v>100</v>
      </c>
      <c r="V46" s="1574" t="s">
        <v>8</v>
      </c>
      <c r="W46" s="1575">
        <f t="shared" si="14"/>
        <v>100</v>
      </c>
      <c r="X46" s="1568"/>
      <c r="Y46" s="3461"/>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46" t="str">
        <f>A47</f>
        <v>成交单价（元/平方米）</v>
      </c>
      <c r="Q47" s="3346"/>
      <c r="R47" s="3460">
        <f>E47</f>
        <v>0</v>
      </c>
      <c r="S47" s="3460"/>
      <c r="T47" s="3460">
        <f>G47</f>
        <v>0</v>
      </c>
      <c r="U47" s="3460"/>
      <c r="V47" s="3460">
        <f>I47</f>
        <v>0</v>
      </c>
      <c r="W47" s="3460"/>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5"/>
      <c r="M48" s="2146"/>
      <c r="N48" s="2135"/>
      <c r="O48" s="2146"/>
      <c r="P48" s="3346" t="str">
        <f>A48</f>
        <v>比较价格（元/平方米）</v>
      </c>
      <c r="Q48" s="3346"/>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14"/>
      <c r="L49" s="2145"/>
      <c r="M49" s="2146"/>
      <c r="N49" s="2135"/>
      <c r="O49" s="2146"/>
      <c r="P49" s="3343" t="str">
        <f>A49</f>
        <v>估价对象XX用房的比较价格（楼面单价，元/平方米）</v>
      </c>
      <c r="Q49" s="3344"/>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2" t="s">
        <v>522</v>
      </c>
      <c r="D4" s="3353"/>
      <c r="E4" s="3386" t="s">
        <v>523</v>
      </c>
      <c r="F4" s="3387"/>
      <c r="G4" s="3352" t="s">
        <v>524</v>
      </c>
      <c r="H4" s="3353"/>
      <c r="I4" s="3352" t="s">
        <v>525</v>
      </c>
      <c r="J4" s="3353"/>
      <c r="K4" s="514" t="s">
        <v>526</v>
      </c>
      <c r="L4" s="2134"/>
      <c r="M4" s="2135"/>
      <c r="N4" s="2135"/>
      <c r="O4" s="2135"/>
      <c r="P4" s="3463" t="s">
        <v>527</v>
      </c>
      <c r="Q4" s="3355"/>
      <c r="R4" s="3360" t="s">
        <v>523</v>
      </c>
      <c r="S4" s="3361"/>
      <c r="T4" s="3360" t="s">
        <v>524</v>
      </c>
      <c r="U4" s="3361"/>
      <c r="V4" s="3347" t="s">
        <v>525</v>
      </c>
      <c r="W4" s="3347"/>
      <c r="X4" s="1568"/>
      <c r="Y4" s="3360" t="s">
        <v>527</v>
      </c>
      <c r="Z4" s="3361"/>
      <c r="AA4" s="3349" t="s">
        <v>523</v>
      </c>
      <c r="AB4" s="3349" t="s">
        <v>524</v>
      </c>
      <c r="AC4" s="3349" t="s">
        <v>525</v>
      </c>
    </row>
    <row r="5" spans="1:29" ht="15">
      <c r="A5" s="515"/>
      <c r="B5" s="516"/>
      <c r="C5" s="3368" t="s">
        <v>2926</v>
      </c>
      <c r="D5" s="3369"/>
      <c r="E5" s="3388" t="s">
        <v>2927</v>
      </c>
      <c r="F5" s="3389"/>
      <c r="G5" s="3368" t="s">
        <v>2928</v>
      </c>
      <c r="H5" s="3369"/>
      <c r="I5" s="3368" t="s">
        <v>2929</v>
      </c>
      <c r="J5" s="3369"/>
      <c r="K5" s="514"/>
      <c r="L5" s="2134"/>
      <c r="M5" s="2135"/>
      <c r="N5" s="2135"/>
      <c r="O5" s="2135"/>
      <c r="P5" s="3464"/>
      <c r="Q5" s="3357"/>
      <c r="R5" s="3362"/>
      <c r="S5" s="3363"/>
      <c r="T5" s="3362"/>
      <c r="U5" s="3363"/>
      <c r="V5" s="3347"/>
      <c r="W5" s="3347"/>
      <c r="X5" s="1568"/>
      <c r="Y5" s="3362"/>
      <c r="Z5" s="3363"/>
      <c r="AA5" s="3350"/>
      <c r="AB5" s="3350"/>
      <c r="AC5" s="3350"/>
    </row>
    <row r="6" spans="1:29" ht="15.75" thickBot="1">
      <c r="A6" s="517"/>
      <c r="B6" s="518"/>
      <c r="C6" s="3366" t="s">
        <v>2930</v>
      </c>
      <c r="D6" s="3367"/>
      <c r="E6" s="3384" t="s">
        <v>2930</v>
      </c>
      <c r="F6" s="3385"/>
      <c r="G6" s="3366" t="s">
        <v>2930</v>
      </c>
      <c r="H6" s="3367"/>
      <c r="I6" s="3366" t="s">
        <v>2930</v>
      </c>
      <c r="J6" s="3367"/>
      <c r="K6" s="514" t="s">
        <v>528</v>
      </c>
      <c r="L6" s="2134"/>
      <c r="M6" s="2135"/>
      <c r="N6" s="2135"/>
      <c r="O6" s="2135"/>
      <c r="P6" s="3465"/>
      <c r="Q6" s="3359"/>
      <c r="R6" s="3362"/>
      <c r="S6" s="3363"/>
      <c r="T6" s="3364"/>
      <c r="U6" s="3365"/>
      <c r="V6" s="3347"/>
      <c r="W6" s="3347"/>
      <c r="X6" s="1568"/>
      <c r="Y6" s="3364"/>
      <c r="Z6" s="3365"/>
      <c r="AA6" s="3351"/>
      <c r="AB6" s="3351"/>
      <c r="AC6" s="3351"/>
    </row>
    <row r="7" spans="1:29" s="1220" customFormat="1" ht="15.75" thickBot="1">
      <c r="A7" s="2890"/>
      <c r="B7" s="2897" t="s">
        <v>529</v>
      </c>
      <c r="C7" s="519">
        <f>'数据-取费表'!B2</f>
        <v>43486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9" t="s">
        <v>530</v>
      </c>
      <c r="Q7" s="3379"/>
      <c r="R7" s="1569" t="s">
        <v>8</v>
      </c>
      <c r="S7" s="1570">
        <f t="shared" ref="S7:S15" si="0">F7</f>
        <v>0</v>
      </c>
      <c r="T7" s="1569" t="s">
        <v>8</v>
      </c>
      <c r="U7" s="1570">
        <f t="shared" ref="U7:U15" si="1">H7</f>
        <v>0</v>
      </c>
      <c r="V7" s="1569" t="s">
        <v>8</v>
      </c>
      <c r="W7" s="1570">
        <f t="shared" ref="W7:W15" si="2">J7</f>
        <v>0</v>
      </c>
      <c r="X7" s="1571"/>
      <c r="Y7" s="3377" t="s">
        <v>530</v>
      </c>
      <c r="Z7" s="3378"/>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9" t="s">
        <v>533</v>
      </c>
      <c r="Q8" s="3378"/>
      <c r="R8" s="1569" t="s">
        <v>8</v>
      </c>
      <c r="S8" s="1570">
        <f t="shared" si="0"/>
        <v>0</v>
      </c>
      <c r="T8" s="1569" t="s">
        <v>8</v>
      </c>
      <c r="U8" s="1570">
        <f t="shared" si="1"/>
        <v>0</v>
      </c>
      <c r="V8" s="1569" t="s">
        <v>8</v>
      </c>
      <c r="W8" s="1570">
        <f t="shared" si="2"/>
        <v>0</v>
      </c>
      <c r="X8" s="1571"/>
      <c r="Y8" s="3377" t="s">
        <v>533</v>
      </c>
      <c r="Z8" s="3378"/>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6"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6"/>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6"/>
      <c r="Q11" s="1151" t="str">
        <f t="shared" si="6"/>
        <v>容积率</v>
      </c>
      <c r="R11" s="1569" t="s">
        <v>8</v>
      </c>
      <c r="S11" s="1570" t="e">
        <f t="shared" si="0"/>
        <v>#N/A</v>
      </c>
      <c r="T11" s="1569" t="s">
        <v>8</v>
      </c>
      <c r="U11" s="1570" t="e">
        <f t="shared" si="1"/>
        <v>#N/A</v>
      </c>
      <c r="V11" s="1569" t="s">
        <v>8</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6"/>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6"/>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6"/>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0" t="s">
        <v>540</v>
      </c>
      <c r="Q15" s="1573" t="str">
        <f t="shared" si="6"/>
        <v>办公集聚程度</v>
      </c>
      <c r="R15" s="1574" t="s">
        <v>8</v>
      </c>
      <c r="S15" s="1575">
        <f t="shared" si="0"/>
        <v>100</v>
      </c>
      <c r="T15" s="1574" t="s">
        <v>8</v>
      </c>
      <c r="U15" s="1575">
        <f t="shared" si="1"/>
        <v>100</v>
      </c>
      <c r="V15" s="1574" t="s">
        <v>8</v>
      </c>
      <c r="W15" s="1575">
        <f t="shared" si="2"/>
        <v>100</v>
      </c>
      <c r="X15" s="1568"/>
      <c r="Y15" s="338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1"/>
      <c r="Q16" s="1573"/>
      <c r="R16" s="1574"/>
      <c r="S16" s="1575"/>
      <c r="T16" s="1574"/>
      <c r="U16" s="1575"/>
      <c r="V16" s="1574"/>
      <c r="W16" s="1575"/>
      <c r="X16" s="1568"/>
      <c r="Y16" s="338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1"/>
      <c r="Q17" s="1573" t="str">
        <f>B17</f>
        <v>交通便捷度</v>
      </c>
      <c r="R17" s="1574" t="s">
        <v>8</v>
      </c>
      <c r="S17" s="1575">
        <f>F17</f>
        <v>100</v>
      </c>
      <c r="T17" s="1574" t="s">
        <v>8</v>
      </c>
      <c r="U17" s="1575">
        <f>H17</f>
        <v>100</v>
      </c>
      <c r="V17" s="1574" t="s">
        <v>8</v>
      </c>
      <c r="W17" s="1575">
        <f>J17</f>
        <v>100</v>
      </c>
      <c r="X17" s="1568"/>
      <c r="Y17" s="338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1"/>
      <c r="Q18" s="1573"/>
      <c r="R18" s="1574"/>
      <c r="S18" s="1575"/>
      <c r="T18" s="1574"/>
      <c r="U18" s="1575"/>
      <c r="V18" s="1574"/>
      <c r="W18" s="1575"/>
      <c r="X18" s="1568"/>
      <c r="Y18" s="3381"/>
      <c r="Z18" s="1576"/>
      <c r="AA18" s="1577">
        <v>1</v>
      </c>
      <c r="AB18" s="1577">
        <v>1</v>
      </c>
      <c r="AC18" s="1577">
        <v>1</v>
      </c>
    </row>
    <row r="19" spans="1:29" ht="42.75">
      <c r="A19" s="532"/>
      <c r="B19" s="2582"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1"/>
      <c r="Q19" s="1573" t="str">
        <f>B19</f>
        <v>公共配套设施</v>
      </c>
      <c r="R19" s="1574" t="s">
        <v>8</v>
      </c>
      <c r="S19" s="1575">
        <f>F19</f>
        <v>100</v>
      </c>
      <c r="T19" s="1574" t="s">
        <v>8</v>
      </c>
      <c r="U19" s="1575">
        <f>H19</f>
        <v>100</v>
      </c>
      <c r="V19" s="1574" t="s">
        <v>8</v>
      </c>
      <c r="W19" s="1575">
        <f>J19</f>
        <v>100</v>
      </c>
      <c r="X19" s="1568"/>
      <c r="Y19" s="338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1"/>
      <c r="Q20" s="1573"/>
      <c r="R20" s="1574"/>
      <c r="S20" s="1575"/>
      <c r="T20" s="1574"/>
      <c r="U20" s="1575"/>
      <c r="V20" s="1574"/>
      <c r="W20" s="1575"/>
      <c r="X20" s="1568"/>
      <c r="Y20" s="3381"/>
      <c r="Z20" s="1576"/>
      <c r="AA20" s="1577">
        <v>1</v>
      </c>
      <c r="AB20" s="1577">
        <v>1</v>
      </c>
      <c r="AC20" s="1577">
        <v>1</v>
      </c>
    </row>
    <row r="21" spans="1:29" ht="28.5">
      <c r="A21" s="532"/>
      <c r="B21" s="2570"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1"/>
      <c r="Q21" s="2558" t="str">
        <f>B21</f>
        <v>基础设施水平</v>
      </c>
      <c r="R21" s="1574" t="s">
        <v>8</v>
      </c>
      <c r="S21" s="1575">
        <f>F21</f>
        <v>100</v>
      </c>
      <c r="T21" s="1574" t="s">
        <v>8</v>
      </c>
      <c r="U21" s="1575">
        <f>H21</f>
        <v>100</v>
      </c>
      <c r="V21" s="1574" t="s">
        <v>8</v>
      </c>
      <c r="W21" s="1575">
        <f>J21</f>
        <v>100</v>
      </c>
      <c r="X21" s="2560"/>
      <c r="Y21" s="3381"/>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381"/>
      <c r="Q22" s="2558"/>
      <c r="R22" s="1574"/>
      <c r="S22" s="1575"/>
      <c r="T22" s="1574"/>
      <c r="U22" s="1575"/>
      <c r="V22" s="1574"/>
      <c r="W22" s="1575"/>
      <c r="X22" s="2560"/>
      <c r="Y22" s="3381"/>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1"/>
      <c r="Q23" s="1573" t="str">
        <f>B23</f>
        <v>环境质量</v>
      </c>
      <c r="R23" s="1574" t="s">
        <v>8</v>
      </c>
      <c r="S23" s="1575">
        <f>F23</f>
        <v>100</v>
      </c>
      <c r="T23" s="1574" t="s">
        <v>8</v>
      </c>
      <c r="U23" s="1575">
        <f>H23</f>
        <v>100</v>
      </c>
      <c r="V23" s="1574" t="s">
        <v>8</v>
      </c>
      <c r="W23" s="1575">
        <f>J23</f>
        <v>100</v>
      </c>
      <c r="X23" s="1568"/>
      <c r="Y23" s="338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1"/>
      <c r="Q24" s="1573"/>
      <c r="R24" s="1574"/>
      <c r="S24" s="1575"/>
      <c r="T24" s="1574"/>
      <c r="U24" s="1575"/>
      <c r="V24" s="1574"/>
      <c r="W24" s="1575"/>
      <c r="X24" s="1568"/>
      <c r="Y24" s="338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1"/>
      <c r="Q25" s="1573" t="str">
        <f>B25</f>
        <v>毗邻道路的类型与等级</v>
      </c>
      <c r="R25" s="1574" t="s">
        <v>8</v>
      </c>
      <c r="S25" s="1575">
        <f>F25</f>
        <v>100</v>
      </c>
      <c r="T25" s="1574" t="s">
        <v>8</v>
      </c>
      <c r="U25" s="1575">
        <f>H25</f>
        <v>100</v>
      </c>
      <c r="V25" s="1574" t="s">
        <v>8</v>
      </c>
      <c r="W25" s="1575">
        <f>J25</f>
        <v>100</v>
      </c>
      <c r="X25" s="1568"/>
      <c r="Y25" s="338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1"/>
      <c r="Q26" s="1573"/>
      <c r="R26" s="1574"/>
      <c r="S26" s="1575"/>
      <c r="T26" s="1574"/>
      <c r="U26" s="1575"/>
      <c r="V26" s="1574"/>
      <c r="W26" s="1575"/>
      <c r="X26" s="1568"/>
      <c r="Y26" s="338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1"/>
      <c r="Q27" s="1573" t="str">
        <f t="shared" ref="Q27:Q47" si="11">B27</f>
        <v>楼层</v>
      </c>
      <c r="R27" s="1574" t="s">
        <v>8</v>
      </c>
      <c r="S27" s="1575">
        <f>F27</f>
        <v>100</v>
      </c>
      <c r="T27" s="1574" t="s">
        <v>8</v>
      </c>
      <c r="U27" s="1575">
        <f>H27</f>
        <v>100</v>
      </c>
      <c r="V27" s="1574" t="s">
        <v>8</v>
      </c>
      <c r="W27" s="1575">
        <f>J27</f>
        <v>100</v>
      </c>
      <c r="X27" s="1568"/>
      <c r="Y27" s="338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1"/>
      <c r="Q28" s="1151" t="str">
        <f t="shared" si="11"/>
        <v>朝向</v>
      </c>
      <c r="R28" s="1569" t="s">
        <v>8</v>
      </c>
      <c r="S28" s="1570">
        <f>F28</f>
        <v>100</v>
      </c>
      <c r="T28" s="1569" t="s">
        <v>8</v>
      </c>
      <c r="U28" s="1570">
        <f>H28</f>
        <v>100</v>
      </c>
      <c r="V28" s="1569" t="s">
        <v>8</v>
      </c>
      <c r="W28" s="1570">
        <f>J28</f>
        <v>100</v>
      </c>
      <c r="X28" s="1571"/>
      <c r="Y28" s="338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1"/>
      <c r="Q29" s="1573">
        <f t="shared" si="11"/>
        <v>111</v>
      </c>
      <c r="R29" s="1574" t="s">
        <v>8</v>
      </c>
      <c r="S29" s="1575">
        <f t="shared" ref="S29:S47" si="12">F29</f>
        <v>100</v>
      </c>
      <c r="T29" s="1574" t="s">
        <v>8</v>
      </c>
      <c r="U29" s="1575">
        <f t="shared" ref="U29:U47" si="13">H29</f>
        <v>100</v>
      </c>
      <c r="V29" s="1574" t="s">
        <v>8</v>
      </c>
      <c r="W29" s="1575">
        <f t="shared" ref="W29:W47" si="14">J29</f>
        <v>100</v>
      </c>
      <c r="X29" s="1568"/>
      <c r="Y29" s="338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1"/>
      <c r="Q30" s="1573">
        <f t="shared" si="11"/>
        <v>111</v>
      </c>
      <c r="R30" s="1574" t="s">
        <v>8</v>
      </c>
      <c r="S30" s="1575">
        <f t="shared" si="12"/>
        <v>100</v>
      </c>
      <c r="T30" s="1574" t="s">
        <v>8</v>
      </c>
      <c r="U30" s="1575">
        <f t="shared" si="13"/>
        <v>100</v>
      </c>
      <c r="V30" s="1574" t="s">
        <v>8</v>
      </c>
      <c r="W30" s="1575">
        <f t="shared" si="14"/>
        <v>100</v>
      </c>
      <c r="X30" s="1568"/>
      <c r="Y30" s="338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1"/>
      <c r="Q31" s="1573">
        <f t="shared" si="11"/>
        <v>111</v>
      </c>
      <c r="R31" s="1574" t="s">
        <v>8</v>
      </c>
      <c r="S31" s="1575">
        <f t="shared" si="12"/>
        <v>100</v>
      </c>
      <c r="T31" s="1574" t="s">
        <v>8</v>
      </c>
      <c r="U31" s="1575">
        <f t="shared" si="13"/>
        <v>100</v>
      </c>
      <c r="V31" s="1574" t="s">
        <v>8</v>
      </c>
      <c r="W31" s="1575">
        <f t="shared" si="14"/>
        <v>100</v>
      </c>
      <c r="X31" s="1568"/>
      <c r="Y31" s="338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1"/>
      <c r="Q32" s="1573">
        <f t="shared" si="11"/>
        <v>111</v>
      </c>
      <c r="R32" s="1574" t="s">
        <v>8</v>
      </c>
      <c r="S32" s="1575">
        <f t="shared" si="12"/>
        <v>100</v>
      </c>
      <c r="T32" s="1574" t="s">
        <v>8</v>
      </c>
      <c r="U32" s="1575">
        <f t="shared" si="13"/>
        <v>100</v>
      </c>
      <c r="V32" s="1574" t="s">
        <v>8</v>
      </c>
      <c r="W32" s="1575">
        <f t="shared" si="14"/>
        <v>100</v>
      </c>
      <c r="X32" s="1568"/>
      <c r="Y32" s="3381"/>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2" t="s">
        <v>550</v>
      </c>
      <c r="Q33" s="1573" t="str">
        <f t="shared" si="11"/>
        <v>建筑类型</v>
      </c>
      <c r="R33" s="1574" t="s">
        <v>8</v>
      </c>
      <c r="S33" s="1575">
        <f t="shared" si="12"/>
        <v>100</v>
      </c>
      <c r="T33" s="1574" t="s">
        <v>8</v>
      </c>
      <c r="U33" s="1575">
        <f t="shared" si="13"/>
        <v>100</v>
      </c>
      <c r="V33" s="1574" t="s">
        <v>8</v>
      </c>
      <c r="W33" s="1575">
        <f t="shared" si="14"/>
        <v>100</v>
      </c>
      <c r="X33" s="1568"/>
      <c r="Y33" s="338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3"/>
      <c r="Q34" s="1606" t="str">
        <f t="shared" si="11"/>
        <v>项目建筑规模</v>
      </c>
      <c r="R34" s="1578" t="s">
        <v>8</v>
      </c>
      <c r="S34" s="1579" t="e">
        <f t="shared" si="12"/>
        <v>#N/A</v>
      </c>
      <c r="T34" s="1578" t="s">
        <v>8</v>
      </c>
      <c r="U34" s="1579" t="e">
        <f t="shared" si="13"/>
        <v>#N/A</v>
      </c>
      <c r="V34" s="1578" t="s">
        <v>8</v>
      </c>
      <c r="W34" s="1579" t="e">
        <f t="shared" si="14"/>
        <v>#N/A</v>
      </c>
      <c r="X34" s="1580"/>
      <c r="Y34" s="338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3"/>
      <c r="Q35" s="1573" t="str">
        <f t="shared" si="11"/>
        <v>建筑结构</v>
      </c>
      <c r="R35" s="1574" t="s">
        <v>8</v>
      </c>
      <c r="S35" s="1575">
        <f t="shared" si="12"/>
        <v>100</v>
      </c>
      <c r="T35" s="1574" t="s">
        <v>8</v>
      </c>
      <c r="U35" s="1575">
        <f t="shared" si="13"/>
        <v>100</v>
      </c>
      <c r="V35" s="1574" t="s">
        <v>8</v>
      </c>
      <c r="W35" s="1575">
        <f t="shared" si="14"/>
        <v>100</v>
      </c>
      <c r="X35" s="1568"/>
      <c r="Y35" s="338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3"/>
      <c r="Q36" s="1573" t="str">
        <f t="shared" si="11"/>
        <v>公共部分装修</v>
      </c>
      <c r="R36" s="1574" t="s">
        <v>8</v>
      </c>
      <c r="S36" s="1575">
        <f t="shared" si="12"/>
        <v>100</v>
      </c>
      <c r="T36" s="1574" t="s">
        <v>8</v>
      </c>
      <c r="U36" s="1575">
        <f t="shared" si="13"/>
        <v>100</v>
      </c>
      <c r="V36" s="1574" t="s">
        <v>8</v>
      </c>
      <c r="W36" s="1575">
        <f t="shared" si="14"/>
        <v>100</v>
      </c>
      <c r="X36" s="1568"/>
      <c r="Y36" s="338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3"/>
      <c r="Q37" s="1573" t="str">
        <f t="shared" si="11"/>
        <v>成新度</v>
      </c>
      <c r="R37" s="1574" t="s">
        <v>8</v>
      </c>
      <c r="S37" s="1575" t="e">
        <f t="shared" si="12"/>
        <v>#N/A</v>
      </c>
      <c r="T37" s="1574" t="s">
        <v>8</v>
      </c>
      <c r="U37" s="1575" t="e">
        <f t="shared" si="13"/>
        <v>#N/A</v>
      </c>
      <c r="V37" s="1574" t="s">
        <v>8</v>
      </c>
      <c r="W37" s="1575" t="e">
        <f t="shared" si="14"/>
        <v>#N/A</v>
      </c>
      <c r="X37" s="1568"/>
      <c r="Y37" s="338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3"/>
      <c r="Q38" s="1151" t="str">
        <f t="shared" si="11"/>
        <v>写字楼等级</v>
      </c>
      <c r="R38" s="1569" t="s">
        <v>8</v>
      </c>
      <c r="S38" s="1570">
        <f t="shared" si="12"/>
        <v>100</v>
      </c>
      <c r="T38" s="1569" t="s">
        <v>8</v>
      </c>
      <c r="U38" s="1570">
        <f t="shared" si="13"/>
        <v>100</v>
      </c>
      <c r="V38" s="1569" t="s">
        <v>8</v>
      </c>
      <c r="W38" s="1570">
        <f t="shared" si="14"/>
        <v>100</v>
      </c>
      <c r="X38" s="1571"/>
      <c r="Y38" s="338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3" t="s">
        <v>550</v>
      </c>
      <c r="Q39" s="1573" t="str">
        <f t="shared" si="11"/>
        <v>物业管理</v>
      </c>
      <c r="R39" s="1574" t="s">
        <v>8</v>
      </c>
      <c r="S39" s="1575">
        <f t="shared" si="12"/>
        <v>100</v>
      </c>
      <c r="T39" s="1574" t="s">
        <v>8</v>
      </c>
      <c r="U39" s="1575">
        <f t="shared" si="13"/>
        <v>100</v>
      </c>
      <c r="V39" s="1574" t="s">
        <v>8</v>
      </c>
      <c r="W39" s="1575">
        <f t="shared" si="14"/>
        <v>100</v>
      </c>
      <c r="X39" s="1568"/>
      <c r="Y39" s="3383" t="s">
        <v>550</v>
      </c>
      <c r="Z39" s="1576" t="str">
        <f t="shared" si="15"/>
        <v>物业管理</v>
      </c>
      <c r="AA39" s="1577">
        <f t="shared" si="3"/>
        <v>1</v>
      </c>
      <c r="AB39" s="1577">
        <f t="shared" si="4"/>
        <v>1</v>
      </c>
      <c r="AC39" s="1577">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3"/>
      <c r="Q40" s="1573" t="str">
        <f t="shared" si="11"/>
        <v>市政基础设施</v>
      </c>
      <c r="R40" s="1574" t="s">
        <v>8</v>
      </c>
      <c r="S40" s="1575">
        <f t="shared" si="12"/>
        <v>100</v>
      </c>
      <c r="T40" s="1574" t="s">
        <v>8</v>
      </c>
      <c r="U40" s="1575">
        <f t="shared" si="13"/>
        <v>100</v>
      </c>
      <c r="V40" s="1574" t="s">
        <v>8</v>
      </c>
      <c r="W40" s="1575">
        <f t="shared" si="14"/>
        <v>100</v>
      </c>
      <c r="X40" s="1568"/>
      <c r="Y40" s="338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3"/>
      <c r="Q41" s="1573" t="str">
        <f t="shared" si="11"/>
        <v>层高</v>
      </c>
      <c r="R41" s="1574" t="s">
        <v>8</v>
      </c>
      <c r="S41" s="1575">
        <f t="shared" si="12"/>
        <v>100</v>
      </c>
      <c r="T41" s="1574" t="s">
        <v>8</v>
      </c>
      <c r="U41" s="1575">
        <f t="shared" si="13"/>
        <v>100</v>
      </c>
      <c r="V41" s="1574" t="s">
        <v>8</v>
      </c>
      <c r="W41" s="1575">
        <f t="shared" si="14"/>
        <v>100</v>
      </c>
      <c r="X41" s="1568"/>
      <c r="Y41" s="338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3"/>
      <c r="Q42" s="1606" t="str">
        <f t="shared" si="11"/>
        <v>单套建筑面积</v>
      </c>
      <c r="R42" s="1578" t="s">
        <v>8</v>
      </c>
      <c r="S42" s="1579">
        <f t="shared" si="12"/>
        <v>100</v>
      </c>
      <c r="T42" s="1578" t="s">
        <v>8</v>
      </c>
      <c r="U42" s="1579">
        <f t="shared" si="13"/>
        <v>100</v>
      </c>
      <c r="V42" s="1578" t="s">
        <v>8</v>
      </c>
      <c r="W42" s="1579">
        <f t="shared" si="14"/>
        <v>100</v>
      </c>
      <c r="X42" s="1580"/>
      <c r="Y42" s="338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3"/>
      <c r="Q43" s="1573" t="str">
        <f t="shared" si="11"/>
        <v>内部装修</v>
      </c>
      <c r="R43" s="1574" t="s">
        <v>8</v>
      </c>
      <c r="S43" s="1575">
        <f t="shared" si="12"/>
        <v>100</v>
      </c>
      <c r="T43" s="1574" t="s">
        <v>8</v>
      </c>
      <c r="U43" s="1575">
        <f t="shared" si="13"/>
        <v>100</v>
      </c>
      <c r="V43" s="1574" t="s">
        <v>8</v>
      </c>
      <c r="W43" s="1575">
        <f t="shared" si="14"/>
        <v>100</v>
      </c>
      <c r="X43" s="1568"/>
      <c r="Y43" s="338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3"/>
      <c r="Q44" s="1573" t="str">
        <f t="shared" si="11"/>
        <v>内部装修维护情况</v>
      </c>
      <c r="R44" s="1574" t="s">
        <v>8</v>
      </c>
      <c r="S44" s="1575">
        <f t="shared" si="12"/>
        <v>100</v>
      </c>
      <c r="T44" s="1574" t="s">
        <v>8</v>
      </c>
      <c r="U44" s="1575">
        <f t="shared" si="13"/>
        <v>100</v>
      </c>
      <c r="V44" s="1574" t="s">
        <v>8</v>
      </c>
      <c r="W44" s="1575">
        <f t="shared" si="14"/>
        <v>100</v>
      </c>
      <c r="X44" s="1568"/>
      <c r="Y44" s="338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3"/>
      <c r="Q45" s="1151">
        <f t="shared" si="11"/>
        <v>111</v>
      </c>
      <c r="R45" s="1569" t="s">
        <v>8</v>
      </c>
      <c r="S45" s="1570">
        <f t="shared" si="12"/>
        <v>100</v>
      </c>
      <c r="T45" s="1569" t="s">
        <v>8</v>
      </c>
      <c r="U45" s="1570">
        <f t="shared" si="13"/>
        <v>100</v>
      </c>
      <c r="V45" s="1569" t="s">
        <v>8</v>
      </c>
      <c r="W45" s="1570">
        <f t="shared" si="14"/>
        <v>100</v>
      </c>
      <c r="X45" s="1571"/>
      <c r="Y45" s="338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3"/>
      <c r="Q46" s="1573">
        <f t="shared" si="11"/>
        <v>111</v>
      </c>
      <c r="R46" s="1574" t="s">
        <v>8</v>
      </c>
      <c r="S46" s="1575">
        <f t="shared" si="12"/>
        <v>100</v>
      </c>
      <c r="T46" s="1574" t="s">
        <v>8</v>
      </c>
      <c r="U46" s="1575">
        <f t="shared" si="13"/>
        <v>100</v>
      </c>
      <c r="V46" s="1574" t="s">
        <v>8</v>
      </c>
      <c r="W46" s="1575">
        <f t="shared" si="14"/>
        <v>100</v>
      </c>
      <c r="X46" s="1568"/>
      <c r="Y46" s="338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1"/>
      <c r="Q47" s="1573">
        <f t="shared" si="11"/>
        <v>111</v>
      </c>
      <c r="R47" s="1574" t="s">
        <v>8</v>
      </c>
      <c r="S47" s="1575">
        <f t="shared" si="12"/>
        <v>100</v>
      </c>
      <c r="T47" s="1574" t="s">
        <v>8</v>
      </c>
      <c r="U47" s="1575">
        <f t="shared" si="13"/>
        <v>100</v>
      </c>
      <c r="V47" s="1574" t="s">
        <v>8</v>
      </c>
      <c r="W47" s="1575">
        <f t="shared" si="14"/>
        <v>100</v>
      </c>
      <c r="X47" s="1568"/>
      <c r="Y47" s="3461"/>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44" t="str">
        <f>A48</f>
        <v>成交单价（元/平方米）</v>
      </c>
      <c r="Q48" s="3346"/>
      <c r="R48" s="3460">
        <f>E48</f>
        <v>0</v>
      </c>
      <c r="S48" s="3460"/>
      <c r="T48" s="3460">
        <f>G48</f>
        <v>0</v>
      </c>
      <c r="U48" s="3460"/>
      <c r="V48" s="3460">
        <f>I48</f>
        <v>0</v>
      </c>
      <c r="W48" s="3460"/>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5"/>
      <c r="M49" s="2135"/>
      <c r="N49" s="2135"/>
      <c r="O49" s="2135"/>
      <c r="P49" s="3344" t="str">
        <f>A49</f>
        <v>比较价格（元/平方米）</v>
      </c>
      <c r="Q49" s="3346"/>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60"/>
      <c r="Y49" s="1560"/>
      <c r="Z49" s="1560"/>
      <c r="AA49" s="1560"/>
      <c r="AB49" s="1560"/>
      <c r="AC49" s="1560"/>
    </row>
    <row r="50" spans="1:29" ht="15.75" thickBot="1">
      <c r="A50" s="621" t="s">
        <v>2932</v>
      </c>
      <c r="B50" s="622"/>
      <c r="C50" s="2615" t="e">
        <f>R50</f>
        <v>#DIV/0!</v>
      </c>
      <c r="D50" s="2615"/>
      <c r="E50" s="2615"/>
      <c r="F50" s="2615"/>
      <c r="G50" s="2615"/>
      <c r="H50" s="2615"/>
      <c r="I50" s="2615"/>
      <c r="J50" s="2615"/>
      <c r="K50" s="1614"/>
      <c r="L50" s="2145"/>
      <c r="M50" s="2135"/>
      <c r="N50" s="2135"/>
      <c r="O50" s="2135"/>
      <c r="P50" s="3462" t="str">
        <f>A50</f>
        <v>估价对象XX用房的比较价格（楼面单价，元/平方米）</v>
      </c>
      <c r="Q50" s="3344"/>
      <c r="R50" s="3459" t="e">
        <f>IF(F1="售价",ROUND(AVERAGE(R49:V49),0),ROUND(AVERAGE(R49:V49),1))</f>
        <v>#DIV/0!</v>
      </c>
      <c r="S50" s="3459"/>
      <c r="T50" s="3459"/>
      <c r="U50" s="3459"/>
      <c r="V50" s="3459"/>
      <c r="W50" s="345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2554</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2" t="s">
        <v>522</v>
      </c>
      <c r="D4" s="3353"/>
      <c r="E4" s="3386" t="s">
        <v>523</v>
      </c>
      <c r="F4" s="3387"/>
      <c r="G4" s="3352" t="s">
        <v>524</v>
      </c>
      <c r="H4" s="3353"/>
      <c r="I4" s="3352" t="s">
        <v>525</v>
      </c>
      <c r="J4" s="3353"/>
      <c r="K4" s="514" t="s">
        <v>526</v>
      </c>
      <c r="L4" s="2134"/>
      <c r="M4" s="2135"/>
      <c r="N4" s="2135"/>
      <c r="O4" s="2135"/>
      <c r="P4" s="3354" t="s">
        <v>527</v>
      </c>
      <c r="Q4" s="3355"/>
      <c r="R4" s="3360" t="s">
        <v>523</v>
      </c>
      <c r="S4" s="3361"/>
      <c r="T4" s="3360" t="s">
        <v>524</v>
      </c>
      <c r="U4" s="3361"/>
      <c r="V4" s="3347" t="s">
        <v>525</v>
      </c>
      <c r="W4" s="3347"/>
      <c r="X4" s="1568"/>
      <c r="Y4" s="3360" t="s">
        <v>527</v>
      </c>
      <c r="Z4" s="3361"/>
      <c r="AA4" s="3349" t="s">
        <v>523</v>
      </c>
      <c r="AB4" s="3350" t="s">
        <v>524</v>
      </c>
      <c r="AC4" s="3349" t="s">
        <v>525</v>
      </c>
    </row>
    <row r="5" spans="1:29" ht="15">
      <c r="A5" s="515"/>
      <c r="B5" s="516"/>
      <c r="C5" s="3368" t="s">
        <v>2926</v>
      </c>
      <c r="D5" s="3369"/>
      <c r="E5" s="3388" t="s">
        <v>2927</v>
      </c>
      <c r="F5" s="3389"/>
      <c r="G5" s="3368" t="s">
        <v>2928</v>
      </c>
      <c r="H5" s="3369"/>
      <c r="I5" s="3368" t="s">
        <v>2929</v>
      </c>
      <c r="J5" s="3369"/>
      <c r="K5" s="514"/>
      <c r="L5" s="2134"/>
      <c r="M5" s="2135"/>
      <c r="N5" s="2135"/>
      <c r="O5" s="2135"/>
      <c r="P5" s="3356"/>
      <c r="Q5" s="3357"/>
      <c r="R5" s="3362"/>
      <c r="S5" s="3363"/>
      <c r="T5" s="3362"/>
      <c r="U5" s="3363"/>
      <c r="V5" s="3347"/>
      <c r="W5" s="3347"/>
      <c r="X5" s="1568"/>
      <c r="Y5" s="3362"/>
      <c r="Z5" s="3363"/>
      <c r="AA5" s="3350"/>
      <c r="AB5" s="3350"/>
      <c r="AC5" s="3350"/>
    </row>
    <row r="6" spans="1:29" ht="15.75" thickBot="1">
      <c r="A6" s="517"/>
      <c r="B6" s="518"/>
      <c r="C6" s="3366" t="s">
        <v>2930</v>
      </c>
      <c r="D6" s="3367"/>
      <c r="E6" s="3384" t="s">
        <v>2930</v>
      </c>
      <c r="F6" s="3385"/>
      <c r="G6" s="3366" t="s">
        <v>2930</v>
      </c>
      <c r="H6" s="3367"/>
      <c r="I6" s="3366" t="s">
        <v>2930</v>
      </c>
      <c r="J6" s="3367"/>
      <c r="K6" s="514" t="s">
        <v>528</v>
      </c>
      <c r="L6" s="2134"/>
      <c r="M6" s="2135"/>
      <c r="N6" s="2135"/>
      <c r="O6" s="2135"/>
      <c r="P6" s="3358"/>
      <c r="Q6" s="3359"/>
      <c r="R6" s="3362"/>
      <c r="S6" s="3363"/>
      <c r="T6" s="3364"/>
      <c r="U6" s="3365"/>
      <c r="V6" s="3347"/>
      <c r="W6" s="3347"/>
      <c r="X6" s="1568"/>
      <c r="Y6" s="3364"/>
      <c r="Z6" s="3365"/>
      <c r="AA6" s="3351"/>
      <c r="AB6" s="3351"/>
      <c r="AC6" s="3351"/>
    </row>
    <row r="7" spans="1:29" s="1220" customFormat="1" ht="15.75" thickBot="1">
      <c r="A7" s="2890"/>
      <c r="B7" s="2897" t="s">
        <v>529</v>
      </c>
      <c r="C7" s="519">
        <f>'数据-取费表'!B2</f>
        <v>43486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7" t="s">
        <v>530</v>
      </c>
      <c r="Q7" s="3379"/>
      <c r="R7" s="1569" t="s">
        <v>8</v>
      </c>
      <c r="S7" s="1570">
        <f t="shared" ref="S7:S15" si="0">F7</f>
        <v>0</v>
      </c>
      <c r="T7" s="1569" t="s">
        <v>8</v>
      </c>
      <c r="U7" s="1570">
        <f t="shared" ref="U7:U15" si="1">H7</f>
        <v>0</v>
      </c>
      <c r="V7" s="1569" t="s">
        <v>8</v>
      </c>
      <c r="W7" s="1570">
        <f t="shared" ref="W7:W15" si="2">J7</f>
        <v>0</v>
      </c>
      <c r="X7" s="1571"/>
      <c r="Y7" s="3377" t="s">
        <v>530</v>
      </c>
      <c r="Z7" s="3378"/>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7" t="s">
        <v>533</v>
      </c>
      <c r="Q8" s="3378"/>
      <c r="R8" s="1569" t="s">
        <v>8</v>
      </c>
      <c r="S8" s="1570">
        <f t="shared" si="0"/>
        <v>0</v>
      </c>
      <c r="T8" s="1569" t="s">
        <v>8</v>
      </c>
      <c r="U8" s="1570">
        <f t="shared" si="1"/>
        <v>0</v>
      </c>
      <c r="V8" s="1569" t="s">
        <v>8</v>
      </c>
      <c r="W8" s="1570">
        <f t="shared" si="2"/>
        <v>0</v>
      </c>
      <c r="X8" s="1571"/>
      <c r="Y8" s="3377" t="s">
        <v>533</v>
      </c>
      <c r="Z8" s="3378"/>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6" t="s">
        <v>535</v>
      </c>
      <c r="Q9" s="1151" t="str">
        <f t="shared" ref="Q9:Q15" si="6">B9</f>
        <v>用途</v>
      </c>
      <c r="R9" s="1569" t="s">
        <v>8</v>
      </c>
      <c r="S9" s="1570">
        <f t="shared" si="0"/>
        <v>100</v>
      </c>
      <c r="T9" s="1569" t="s">
        <v>8</v>
      </c>
      <c r="U9" s="1570">
        <f t="shared" si="1"/>
        <v>100</v>
      </c>
      <c r="V9" s="1569" t="s">
        <v>8</v>
      </c>
      <c r="W9" s="1570">
        <f t="shared" si="2"/>
        <v>100</v>
      </c>
      <c r="X9" s="1571"/>
      <c r="Y9" s="3292"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6"/>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6"/>
      <c r="Q11" s="1151" t="str">
        <f t="shared" si="6"/>
        <v>容积率</v>
      </c>
      <c r="R11" s="1569" t="s">
        <v>8</v>
      </c>
      <c r="S11" s="1570" t="e">
        <f t="shared" si="0"/>
        <v>#N/A</v>
      </c>
      <c r="T11" s="1569" t="s">
        <v>8</v>
      </c>
      <c r="U11" s="1570" t="e">
        <f t="shared" si="1"/>
        <v>#N/A</v>
      </c>
      <c r="V11" s="1569" t="s">
        <v>8</v>
      </c>
      <c r="W11" s="1570" t="e">
        <f t="shared" si="2"/>
        <v>#N/A</v>
      </c>
      <c r="X11" s="1571"/>
      <c r="Y11" s="329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6"/>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6"/>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6"/>
      <c r="Q14" s="1151">
        <f t="shared" si="6"/>
        <v>111</v>
      </c>
      <c r="R14" s="1569" t="s">
        <v>8</v>
      </c>
      <c r="S14" s="1570">
        <f t="shared" si="0"/>
        <v>100</v>
      </c>
      <c r="T14" s="1569" t="s">
        <v>8</v>
      </c>
      <c r="U14" s="1570">
        <f t="shared" si="1"/>
        <v>100</v>
      </c>
      <c r="V14" s="1569" t="s">
        <v>8</v>
      </c>
      <c r="W14" s="1570">
        <f t="shared" si="2"/>
        <v>100</v>
      </c>
      <c r="X14" s="1571"/>
      <c r="Y14" s="3292"/>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0" t="s">
        <v>540</v>
      </c>
      <c r="Q15" s="1573" t="str">
        <f t="shared" si="6"/>
        <v>产业集聚程度</v>
      </c>
      <c r="R15" s="1574" t="s">
        <v>8</v>
      </c>
      <c r="S15" s="1575">
        <f t="shared" si="0"/>
        <v>100</v>
      </c>
      <c r="T15" s="1574" t="s">
        <v>8</v>
      </c>
      <c r="U15" s="1575">
        <f t="shared" si="1"/>
        <v>100</v>
      </c>
      <c r="V15" s="1574" t="s">
        <v>8</v>
      </c>
      <c r="W15" s="1575">
        <f t="shared" si="2"/>
        <v>100</v>
      </c>
      <c r="X15" s="1568"/>
      <c r="Y15" s="338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1"/>
      <c r="Q16" s="1573"/>
      <c r="R16" s="1574"/>
      <c r="S16" s="1575"/>
      <c r="T16" s="1574"/>
      <c r="U16" s="1575"/>
      <c r="V16" s="1574"/>
      <c r="W16" s="1575"/>
      <c r="X16" s="1568"/>
      <c r="Y16" s="338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1"/>
      <c r="Q17" s="1573" t="str">
        <f>B17</f>
        <v>交通便捷度</v>
      </c>
      <c r="R17" s="1574" t="s">
        <v>8</v>
      </c>
      <c r="S17" s="1575">
        <f>F17</f>
        <v>100</v>
      </c>
      <c r="T17" s="1574" t="s">
        <v>8</v>
      </c>
      <c r="U17" s="1575">
        <f>H17</f>
        <v>100</v>
      </c>
      <c r="V17" s="1574" t="s">
        <v>8</v>
      </c>
      <c r="W17" s="1575">
        <f>J17</f>
        <v>100</v>
      </c>
      <c r="X17" s="1568"/>
      <c r="Y17" s="338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1"/>
      <c r="Q18" s="1573"/>
      <c r="R18" s="1574"/>
      <c r="S18" s="1575"/>
      <c r="T18" s="1574"/>
      <c r="U18" s="1575"/>
      <c r="V18" s="1574"/>
      <c r="W18" s="1575"/>
      <c r="X18" s="1568"/>
      <c r="Y18" s="3381"/>
      <c r="Z18" s="1576"/>
      <c r="AA18" s="1577">
        <v>1</v>
      </c>
      <c r="AB18" s="1577">
        <v>1</v>
      </c>
      <c r="AC18" s="1577">
        <v>1</v>
      </c>
    </row>
    <row r="19" spans="1:29" ht="42.75">
      <c r="A19" s="532"/>
      <c r="B19" s="258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1"/>
      <c r="Q19" s="1573" t="str">
        <f>B19</f>
        <v>公共配套设施</v>
      </c>
      <c r="R19" s="1574" t="s">
        <v>8</v>
      </c>
      <c r="S19" s="1575">
        <f>F19</f>
        <v>100</v>
      </c>
      <c r="T19" s="1574" t="s">
        <v>8</v>
      </c>
      <c r="U19" s="1575">
        <f>H19</f>
        <v>100</v>
      </c>
      <c r="V19" s="1574" t="s">
        <v>8</v>
      </c>
      <c r="W19" s="1575">
        <f>J19</f>
        <v>100</v>
      </c>
      <c r="X19" s="1568"/>
      <c r="Y19" s="338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1"/>
      <c r="Q20" s="1573"/>
      <c r="R20" s="1574"/>
      <c r="S20" s="1575"/>
      <c r="T20" s="1574"/>
      <c r="U20" s="1575"/>
      <c r="V20" s="1574"/>
      <c r="W20" s="1575"/>
      <c r="X20" s="1568"/>
      <c r="Y20" s="3381"/>
      <c r="Z20" s="1576"/>
      <c r="AA20" s="1577">
        <v>1</v>
      </c>
      <c r="AB20" s="1577">
        <v>1</v>
      </c>
      <c r="AC20" s="1577">
        <v>1</v>
      </c>
    </row>
    <row r="21" spans="1:29" ht="28.5">
      <c r="A21" s="532"/>
      <c r="B21" s="257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1"/>
      <c r="Q21" s="2558" t="str">
        <f>B21</f>
        <v>基础设施水平</v>
      </c>
      <c r="R21" s="1574" t="s">
        <v>8</v>
      </c>
      <c r="S21" s="1575">
        <f>F21</f>
        <v>100</v>
      </c>
      <c r="T21" s="1574" t="s">
        <v>8</v>
      </c>
      <c r="U21" s="1575">
        <f>H21</f>
        <v>100</v>
      </c>
      <c r="V21" s="1574" t="s">
        <v>8</v>
      </c>
      <c r="W21" s="1575">
        <f>J21</f>
        <v>100</v>
      </c>
      <c r="X21" s="2560"/>
      <c r="Y21" s="3381"/>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381"/>
      <c r="Q22" s="2558"/>
      <c r="R22" s="1574"/>
      <c r="S22" s="1575"/>
      <c r="T22" s="1574"/>
      <c r="U22" s="1575"/>
      <c r="V22" s="1574"/>
      <c r="W22" s="1575"/>
      <c r="X22" s="2560"/>
      <c r="Y22" s="3381"/>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1"/>
      <c r="Q23" s="1573" t="str">
        <f>B23</f>
        <v>环境质量</v>
      </c>
      <c r="R23" s="1574" t="s">
        <v>8</v>
      </c>
      <c r="S23" s="1575">
        <f>F23</f>
        <v>100</v>
      </c>
      <c r="T23" s="1574" t="s">
        <v>8</v>
      </c>
      <c r="U23" s="1575">
        <f>H23</f>
        <v>100</v>
      </c>
      <c r="V23" s="1574" t="s">
        <v>8</v>
      </c>
      <c r="W23" s="1575">
        <f>J23</f>
        <v>100</v>
      </c>
      <c r="X23" s="1568"/>
      <c r="Y23" s="338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1"/>
      <c r="Q24" s="1573"/>
      <c r="R24" s="1574"/>
      <c r="S24" s="1575"/>
      <c r="T24" s="1574"/>
      <c r="U24" s="1575"/>
      <c r="V24" s="1574"/>
      <c r="W24" s="1575"/>
      <c r="X24" s="1568"/>
      <c r="Y24" s="338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1"/>
      <c r="Q25" s="1573">
        <f>B25</f>
        <v>111</v>
      </c>
      <c r="R25" s="1574" t="s">
        <v>8</v>
      </c>
      <c r="S25" s="1575">
        <f>F25</f>
        <v>100</v>
      </c>
      <c r="T25" s="1574" t="s">
        <v>8</v>
      </c>
      <c r="U25" s="1575">
        <f>H25</f>
        <v>100</v>
      </c>
      <c r="V25" s="1574" t="s">
        <v>8</v>
      </c>
      <c r="W25" s="1575">
        <f>J25</f>
        <v>100</v>
      </c>
      <c r="X25" s="1568"/>
      <c r="Y25" s="338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1"/>
      <c r="Q26" s="1573">
        <f t="shared" ref="Q26:Q40" si="11">B26</f>
        <v>111</v>
      </c>
      <c r="R26" s="1574" t="s">
        <v>8</v>
      </c>
      <c r="S26" s="1575">
        <f>F26</f>
        <v>100</v>
      </c>
      <c r="T26" s="1574" t="s">
        <v>8</v>
      </c>
      <c r="U26" s="1575">
        <f>H26</f>
        <v>100</v>
      </c>
      <c r="V26" s="1574" t="s">
        <v>8</v>
      </c>
      <c r="W26" s="1575">
        <f>J26</f>
        <v>100</v>
      </c>
      <c r="X26" s="1568"/>
      <c r="Y26" s="338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1"/>
      <c r="Q27" s="1151">
        <f t="shared" si="11"/>
        <v>111</v>
      </c>
      <c r="R27" s="1569" t="s">
        <v>8</v>
      </c>
      <c r="S27" s="1570">
        <f>F27</f>
        <v>100</v>
      </c>
      <c r="T27" s="1569" t="s">
        <v>8</v>
      </c>
      <c r="U27" s="1570">
        <f>H27</f>
        <v>100</v>
      </c>
      <c r="V27" s="1569" t="s">
        <v>8</v>
      </c>
      <c r="W27" s="1570">
        <f>J27</f>
        <v>100</v>
      </c>
      <c r="X27" s="1571"/>
      <c r="Y27" s="338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1"/>
      <c r="Q28" s="1573">
        <f t="shared" si="11"/>
        <v>111</v>
      </c>
      <c r="R28" s="1574" t="s">
        <v>8</v>
      </c>
      <c r="S28" s="1575">
        <f t="shared" ref="S28:S40" si="12">F28</f>
        <v>100</v>
      </c>
      <c r="T28" s="1574" t="s">
        <v>8</v>
      </c>
      <c r="U28" s="1575">
        <f t="shared" ref="U28:U40" si="13">H28</f>
        <v>100</v>
      </c>
      <c r="V28" s="1574" t="s">
        <v>8</v>
      </c>
      <c r="W28" s="1575">
        <f t="shared" ref="W28:W40" si="14">J28</f>
        <v>100</v>
      </c>
      <c r="X28" s="1568"/>
      <c r="Y28" s="3381"/>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2" t="s">
        <v>550</v>
      </c>
      <c r="Q29" s="1573" t="str">
        <f t="shared" si="11"/>
        <v>建筑类型</v>
      </c>
      <c r="R29" s="1574" t="s">
        <v>8</v>
      </c>
      <c r="S29" s="1575">
        <f t="shared" si="12"/>
        <v>100</v>
      </c>
      <c r="T29" s="1574" t="s">
        <v>8</v>
      </c>
      <c r="U29" s="1575">
        <f t="shared" si="13"/>
        <v>100</v>
      </c>
      <c r="V29" s="1574" t="s">
        <v>8</v>
      </c>
      <c r="W29" s="1575">
        <f t="shared" si="14"/>
        <v>100</v>
      </c>
      <c r="X29" s="1568"/>
      <c r="Y29" s="338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3"/>
      <c r="Q30" s="1606" t="str">
        <f t="shared" si="11"/>
        <v>项目建筑规模</v>
      </c>
      <c r="R30" s="1578" t="s">
        <v>8</v>
      </c>
      <c r="S30" s="1579" t="e">
        <f t="shared" si="12"/>
        <v>#N/A</v>
      </c>
      <c r="T30" s="1578" t="s">
        <v>8</v>
      </c>
      <c r="U30" s="1579" t="e">
        <f t="shared" si="13"/>
        <v>#N/A</v>
      </c>
      <c r="V30" s="1578" t="s">
        <v>8</v>
      </c>
      <c r="W30" s="1579" t="e">
        <f t="shared" si="14"/>
        <v>#N/A</v>
      </c>
      <c r="X30" s="1580"/>
      <c r="Y30" s="338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3"/>
      <c r="Q31" s="1573" t="str">
        <f t="shared" si="11"/>
        <v>建筑结构</v>
      </c>
      <c r="R31" s="1574" t="s">
        <v>8</v>
      </c>
      <c r="S31" s="1575">
        <f t="shared" si="12"/>
        <v>100</v>
      </c>
      <c r="T31" s="1574" t="s">
        <v>8</v>
      </c>
      <c r="U31" s="1575">
        <f t="shared" si="13"/>
        <v>100</v>
      </c>
      <c r="V31" s="1574" t="s">
        <v>8</v>
      </c>
      <c r="W31" s="1575">
        <f t="shared" si="14"/>
        <v>100</v>
      </c>
      <c r="X31" s="1568"/>
      <c r="Y31" s="338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3"/>
      <c r="Q32" s="1573" t="str">
        <f t="shared" si="11"/>
        <v>公共部分装修</v>
      </c>
      <c r="R32" s="1574" t="s">
        <v>8</v>
      </c>
      <c r="S32" s="1575">
        <f t="shared" si="12"/>
        <v>100</v>
      </c>
      <c r="T32" s="1574" t="s">
        <v>8</v>
      </c>
      <c r="U32" s="1575">
        <f t="shared" si="13"/>
        <v>100</v>
      </c>
      <c r="V32" s="1574" t="s">
        <v>8</v>
      </c>
      <c r="W32" s="1575">
        <f t="shared" si="14"/>
        <v>100</v>
      </c>
      <c r="X32" s="1568"/>
      <c r="Y32" s="338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3"/>
      <c r="Q33" s="1573" t="str">
        <f t="shared" si="11"/>
        <v>成新度</v>
      </c>
      <c r="R33" s="1574" t="s">
        <v>8</v>
      </c>
      <c r="S33" s="1575" t="e">
        <f t="shared" si="12"/>
        <v>#N/A</v>
      </c>
      <c r="T33" s="1574" t="s">
        <v>8</v>
      </c>
      <c r="U33" s="1575" t="e">
        <f t="shared" si="13"/>
        <v>#N/A</v>
      </c>
      <c r="V33" s="1574" t="s">
        <v>8</v>
      </c>
      <c r="W33" s="1575" t="e">
        <f t="shared" si="14"/>
        <v>#N/A</v>
      </c>
      <c r="X33" s="1568"/>
      <c r="Y33" s="338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3"/>
      <c r="Q34" s="1151" t="str">
        <f t="shared" si="11"/>
        <v>物业管理</v>
      </c>
      <c r="R34" s="1569" t="s">
        <v>8</v>
      </c>
      <c r="S34" s="1570">
        <f t="shared" si="12"/>
        <v>100</v>
      </c>
      <c r="T34" s="1569" t="s">
        <v>8</v>
      </c>
      <c r="U34" s="1570">
        <f t="shared" si="13"/>
        <v>100</v>
      </c>
      <c r="V34" s="1569" t="s">
        <v>8</v>
      </c>
      <c r="W34" s="1570">
        <f t="shared" si="14"/>
        <v>100</v>
      </c>
      <c r="X34" s="1571"/>
      <c r="Y34" s="3383"/>
      <c r="Z34" s="1150" t="str">
        <f t="shared" si="15"/>
        <v>物业管理</v>
      </c>
      <c r="AA34" s="1572">
        <f t="shared" si="3"/>
        <v>1</v>
      </c>
      <c r="AB34" s="1572">
        <f t="shared" si="4"/>
        <v>1</v>
      </c>
      <c r="AC34" s="1572">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3" t="s">
        <v>550</v>
      </c>
      <c r="Q35" s="1573" t="str">
        <f t="shared" si="11"/>
        <v>市政基础设施</v>
      </c>
      <c r="R35" s="1574" t="s">
        <v>8</v>
      </c>
      <c r="S35" s="1575">
        <f t="shared" si="12"/>
        <v>100</v>
      </c>
      <c r="T35" s="1574" t="s">
        <v>8</v>
      </c>
      <c r="U35" s="1575">
        <f t="shared" si="13"/>
        <v>100</v>
      </c>
      <c r="V35" s="1574" t="s">
        <v>8</v>
      </c>
      <c r="W35" s="1575">
        <f t="shared" si="14"/>
        <v>100</v>
      </c>
      <c r="X35" s="1568"/>
      <c r="Y35" s="338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3"/>
      <c r="Q36" s="1573" t="str">
        <f t="shared" si="11"/>
        <v>内部装修</v>
      </c>
      <c r="R36" s="1574" t="s">
        <v>8</v>
      </c>
      <c r="S36" s="1575">
        <f t="shared" si="12"/>
        <v>100</v>
      </c>
      <c r="T36" s="1574" t="s">
        <v>8</v>
      </c>
      <c r="U36" s="1575">
        <f t="shared" si="13"/>
        <v>100</v>
      </c>
      <c r="V36" s="1574" t="s">
        <v>8</v>
      </c>
      <c r="W36" s="1575">
        <f t="shared" si="14"/>
        <v>100</v>
      </c>
      <c r="X36" s="1568"/>
      <c r="Y36" s="338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3"/>
      <c r="Q37" s="1573" t="str">
        <f t="shared" si="11"/>
        <v>内部装修状况</v>
      </c>
      <c r="R37" s="1574" t="s">
        <v>8</v>
      </c>
      <c r="S37" s="1575">
        <f t="shared" si="12"/>
        <v>100</v>
      </c>
      <c r="T37" s="1574" t="s">
        <v>8</v>
      </c>
      <c r="U37" s="1575">
        <f t="shared" si="13"/>
        <v>100</v>
      </c>
      <c r="V37" s="1574" t="s">
        <v>8</v>
      </c>
      <c r="W37" s="1575">
        <f t="shared" si="14"/>
        <v>100</v>
      </c>
      <c r="X37" s="1568"/>
      <c r="Y37" s="338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3"/>
      <c r="Q38" s="1606">
        <f t="shared" si="11"/>
        <v>111</v>
      </c>
      <c r="R38" s="1578" t="s">
        <v>8</v>
      </c>
      <c r="S38" s="1579">
        <f t="shared" si="12"/>
        <v>100</v>
      </c>
      <c r="T38" s="1578" t="s">
        <v>8</v>
      </c>
      <c r="U38" s="1579">
        <f t="shared" si="13"/>
        <v>100</v>
      </c>
      <c r="V38" s="1578" t="s">
        <v>8</v>
      </c>
      <c r="W38" s="1579">
        <f t="shared" si="14"/>
        <v>100</v>
      </c>
      <c r="X38" s="1580"/>
      <c r="Y38" s="338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3"/>
      <c r="Q39" s="1573">
        <f t="shared" si="11"/>
        <v>111</v>
      </c>
      <c r="R39" s="1574" t="s">
        <v>8</v>
      </c>
      <c r="S39" s="1575">
        <f t="shared" si="12"/>
        <v>100</v>
      </c>
      <c r="T39" s="1574" t="s">
        <v>8</v>
      </c>
      <c r="U39" s="1575">
        <f t="shared" si="13"/>
        <v>100</v>
      </c>
      <c r="V39" s="1574" t="s">
        <v>8</v>
      </c>
      <c r="W39" s="1575">
        <f t="shared" si="14"/>
        <v>100</v>
      </c>
      <c r="X39" s="1568"/>
      <c r="Y39" s="338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1"/>
      <c r="Q40" s="1573">
        <f t="shared" si="11"/>
        <v>111</v>
      </c>
      <c r="R40" s="1574" t="s">
        <v>8</v>
      </c>
      <c r="S40" s="1575">
        <f t="shared" si="12"/>
        <v>100</v>
      </c>
      <c r="T40" s="1574" t="s">
        <v>8</v>
      </c>
      <c r="U40" s="1575">
        <f t="shared" si="13"/>
        <v>100</v>
      </c>
      <c r="V40" s="1574" t="s">
        <v>8</v>
      </c>
      <c r="W40" s="1575">
        <f t="shared" si="14"/>
        <v>100</v>
      </c>
      <c r="X40" s="1568"/>
      <c r="Y40" s="3461"/>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46" t="str">
        <f>A41</f>
        <v>成交单价（元/平方米）</v>
      </c>
      <c r="Q41" s="3346"/>
      <c r="R41" s="3460">
        <f>E41</f>
        <v>0</v>
      </c>
      <c r="S41" s="3460"/>
      <c r="T41" s="3460">
        <f>G41</f>
        <v>0</v>
      </c>
      <c r="U41" s="3460"/>
      <c r="V41" s="3460">
        <f>I41</f>
        <v>0</v>
      </c>
      <c r="W41" s="3460"/>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5"/>
      <c r="M42" s="2146"/>
      <c r="N42" s="2135"/>
      <c r="O42" s="2146"/>
      <c r="P42" s="3346" t="str">
        <f>A42</f>
        <v>比较价格（元/平方米）</v>
      </c>
      <c r="Q42" s="3346"/>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60"/>
      <c r="Y42" s="1560"/>
      <c r="Z42" s="1560"/>
      <c r="AA42" s="1560"/>
      <c r="AB42" s="1560"/>
      <c r="AC42" s="1560"/>
    </row>
    <row r="43" spans="1:29" ht="15.75" thickBot="1">
      <c r="A43" s="621" t="s">
        <v>2932</v>
      </c>
      <c r="B43" s="622"/>
      <c r="C43" s="2615" t="e">
        <f>R43</f>
        <v>#DIV/0!</v>
      </c>
      <c r="D43" s="2615"/>
      <c r="E43" s="2615"/>
      <c r="F43" s="2615"/>
      <c r="G43" s="2615"/>
      <c r="H43" s="2615"/>
      <c r="I43" s="2615"/>
      <c r="J43" s="2615"/>
      <c r="K43" s="1614"/>
      <c r="L43" s="2145"/>
      <c r="M43" s="2146"/>
      <c r="N43" s="2146"/>
      <c r="O43" s="2146"/>
      <c r="P43" s="3343" t="str">
        <f>A43</f>
        <v>估价对象XX用房的比较价格（楼面单价，元/平方米）</v>
      </c>
      <c r="Q43" s="3344"/>
      <c r="R43" s="3459" t="e">
        <f>IF(F1="售价",ROUND(AVERAGE(R42:V42),0),ROUND(AVERAGE(R42:V42),1))</f>
        <v>#DIV/0!</v>
      </c>
      <c r="S43" s="3459"/>
      <c r="T43" s="3459"/>
      <c r="U43" s="3459"/>
      <c r="V43" s="3459"/>
      <c r="W43" s="345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2554</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2" t="s">
        <v>798</v>
      </c>
      <c r="D4" s="3353"/>
      <c r="E4" s="3352" t="s">
        <v>799</v>
      </c>
      <c r="F4" s="3353"/>
      <c r="G4" s="3352" t="s">
        <v>800</v>
      </c>
      <c r="H4" s="3353"/>
      <c r="I4" s="3352" t="s">
        <v>801</v>
      </c>
      <c r="J4" s="3353"/>
      <c r="K4" s="514" t="s">
        <v>802</v>
      </c>
      <c r="L4" s="2134"/>
      <c r="M4" s="2135"/>
      <c r="N4" s="2135"/>
      <c r="O4" s="2135"/>
      <c r="P4" s="3354" t="s">
        <v>803</v>
      </c>
      <c r="Q4" s="3355"/>
      <c r="R4" s="3360" t="s">
        <v>799</v>
      </c>
      <c r="S4" s="3361"/>
      <c r="T4" s="3360" t="s">
        <v>800</v>
      </c>
      <c r="U4" s="3361"/>
      <c r="V4" s="3347" t="s">
        <v>801</v>
      </c>
      <c r="W4" s="3347"/>
      <c r="X4" s="1568"/>
      <c r="Y4" s="3360" t="s">
        <v>803</v>
      </c>
      <c r="Z4" s="3361"/>
      <c r="AA4" s="3349" t="s">
        <v>799</v>
      </c>
      <c r="AB4" s="3350" t="s">
        <v>800</v>
      </c>
      <c r="AC4" s="3349" t="s">
        <v>801</v>
      </c>
    </row>
    <row r="5" spans="1:29" ht="15">
      <c r="A5" s="515"/>
      <c r="B5" s="516"/>
      <c r="C5" s="3368" t="s">
        <v>2926</v>
      </c>
      <c r="D5" s="3369"/>
      <c r="E5" s="3368" t="s">
        <v>2927</v>
      </c>
      <c r="F5" s="3369"/>
      <c r="G5" s="3368" t="s">
        <v>2928</v>
      </c>
      <c r="H5" s="3369"/>
      <c r="I5" s="3368" t="s">
        <v>2929</v>
      </c>
      <c r="J5" s="3369"/>
      <c r="K5" s="514"/>
      <c r="L5" s="2134"/>
      <c r="M5" s="2135"/>
      <c r="N5" s="2135"/>
      <c r="O5" s="2135"/>
      <c r="P5" s="3356"/>
      <c r="Q5" s="3357"/>
      <c r="R5" s="3362"/>
      <c r="S5" s="3363"/>
      <c r="T5" s="3362"/>
      <c r="U5" s="3363"/>
      <c r="V5" s="3347"/>
      <c r="W5" s="3347"/>
      <c r="X5" s="1568"/>
      <c r="Y5" s="3362"/>
      <c r="Z5" s="3363"/>
      <c r="AA5" s="3350"/>
      <c r="AB5" s="3350"/>
      <c r="AC5" s="3350"/>
    </row>
    <row r="6" spans="1:29" ht="15.75" thickBot="1">
      <c r="A6" s="517"/>
      <c r="B6" s="518"/>
      <c r="C6" s="3366" t="s">
        <v>2930</v>
      </c>
      <c r="D6" s="3367"/>
      <c r="E6" s="3370" t="s">
        <v>2930</v>
      </c>
      <c r="F6" s="3371"/>
      <c r="G6" s="3366" t="s">
        <v>2930</v>
      </c>
      <c r="H6" s="3367"/>
      <c r="I6" s="3366" t="s">
        <v>2930</v>
      </c>
      <c r="J6" s="3367"/>
      <c r="K6" s="514" t="s">
        <v>528</v>
      </c>
      <c r="L6" s="2134"/>
      <c r="M6" s="2135"/>
      <c r="N6" s="2135"/>
      <c r="O6" s="2135"/>
      <c r="P6" s="3358"/>
      <c r="Q6" s="3359"/>
      <c r="R6" s="3362"/>
      <c r="S6" s="3363"/>
      <c r="T6" s="3364"/>
      <c r="U6" s="3365"/>
      <c r="V6" s="3347"/>
      <c r="W6" s="3347"/>
      <c r="X6" s="1568"/>
      <c r="Y6" s="3364"/>
      <c r="Z6" s="3365"/>
      <c r="AA6" s="3351"/>
      <c r="AB6" s="3351"/>
      <c r="AC6" s="3351"/>
    </row>
    <row r="7" spans="1:29" s="1220" customFormat="1" ht="15.75" thickBot="1">
      <c r="A7" s="2890"/>
      <c r="B7" s="2897" t="s">
        <v>529</v>
      </c>
      <c r="C7" s="519">
        <f>'数据-取费表'!B2</f>
        <v>43486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7" t="s">
        <v>530</v>
      </c>
      <c r="Q7" s="3379"/>
      <c r="R7" s="1569" t="s">
        <v>8</v>
      </c>
      <c r="S7" s="1570">
        <f t="shared" ref="S7:S14" si="0">F7</f>
        <v>0</v>
      </c>
      <c r="T7" s="1569" t="s">
        <v>8</v>
      </c>
      <c r="U7" s="1570">
        <f t="shared" ref="U7:U14" si="1">H7</f>
        <v>0</v>
      </c>
      <c r="V7" s="1569" t="s">
        <v>8</v>
      </c>
      <c r="W7" s="1570">
        <f t="shared" ref="W7:W14" si="2">J7</f>
        <v>0</v>
      </c>
      <c r="X7" s="1571"/>
      <c r="Y7" s="3377" t="s">
        <v>530</v>
      </c>
      <c r="Z7" s="3378"/>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7" t="s">
        <v>533</v>
      </c>
      <c r="Q8" s="3378"/>
      <c r="R8" s="1569" t="s">
        <v>8</v>
      </c>
      <c r="S8" s="1570">
        <f t="shared" si="0"/>
        <v>0</v>
      </c>
      <c r="T8" s="1569" t="s">
        <v>8</v>
      </c>
      <c r="U8" s="1570">
        <f t="shared" si="1"/>
        <v>0</v>
      </c>
      <c r="V8" s="1569" t="s">
        <v>8</v>
      </c>
      <c r="W8" s="1570">
        <f t="shared" si="2"/>
        <v>0</v>
      </c>
      <c r="X8" s="1571"/>
      <c r="Y8" s="3377" t="s">
        <v>533</v>
      </c>
      <c r="Z8" s="3378"/>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6" t="s">
        <v>535</v>
      </c>
      <c r="Q9" s="1151" t="str">
        <f t="shared" ref="Q9:Q14" si="6">B9</f>
        <v>用途</v>
      </c>
      <c r="R9" s="1569" t="s">
        <v>8</v>
      </c>
      <c r="S9" s="1570">
        <f t="shared" si="0"/>
        <v>100</v>
      </c>
      <c r="T9" s="1569" t="s">
        <v>8</v>
      </c>
      <c r="U9" s="1570">
        <f t="shared" si="1"/>
        <v>100</v>
      </c>
      <c r="V9" s="1569" t="s">
        <v>8</v>
      </c>
      <c r="W9" s="1570">
        <f t="shared" si="2"/>
        <v>100</v>
      </c>
      <c r="X9" s="1571"/>
      <c r="Y9" s="3292"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6"/>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6"/>
      <c r="Q11" s="1151">
        <f t="shared" si="6"/>
        <v>111</v>
      </c>
      <c r="R11" s="1569" t="s">
        <v>8</v>
      </c>
      <c r="S11" s="1570">
        <f t="shared" si="0"/>
        <v>100</v>
      </c>
      <c r="T11" s="1569" t="s">
        <v>8</v>
      </c>
      <c r="U11" s="1570">
        <f t="shared" si="1"/>
        <v>100</v>
      </c>
      <c r="V11" s="1569" t="s">
        <v>8</v>
      </c>
      <c r="W11" s="1570">
        <f t="shared" si="2"/>
        <v>100</v>
      </c>
      <c r="X11" s="1571"/>
      <c r="Y11" s="3292"/>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6"/>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6"/>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0" t="s">
        <v>540</v>
      </c>
      <c r="Q14" s="1573" t="str">
        <f t="shared" si="6"/>
        <v>交通便捷度</v>
      </c>
      <c r="R14" s="1574" t="s">
        <v>8</v>
      </c>
      <c r="S14" s="1575">
        <f t="shared" si="0"/>
        <v>100</v>
      </c>
      <c r="T14" s="1574" t="s">
        <v>8</v>
      </c>
      <c r="U14" s="1575">
        <f t="shared" si="1"/>
        <v>100</v>
      </c>
      <c r="V14" s="1574" t="s">
        <v>8</v>
      </c>
      <c r="W14" s="1575">
        <f t="shared" si="2"/>
        <v>100</v>
      </c>
      <c r="X14" s="1568"/>
      <c r="Y14" s="338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1"/>
      <c r="Q15" s="1573"/>
      <c r="R15" s="1574"/>
      <c r="S15" s="1575"/>
      <c r="T15" s="1574"/>
      <c r="U15" s="1575"/>
      <c r="V15" s="1574"/>
      <c r="W15" s="1575"/>
      <c r="X15" s="1568"/>
      <c r="Y15" s="3381"/>
      <c r="Z15" s="1576"/>
      <c r="AA15" s="1577">
        <v>1</v>
      </c>
      <c r="AB15" s="1577">
        <v>1</v>
      </c>
      <c r="AC15" s="1577">
        <v>1</v>
      </c>
    </row>
    <row r="16" spans="1:29" ht="42.75">
      <c r="A16" s="515"/>
      <c r="B16" s="2582"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1"/>
      <c r="Q16" s="1573" t="str">
        <f>B16</f>
        <v>公共配套设施</v>
      </c>
      <c r="R16" s="1574" t="s">
        <v>8</v>
      </c>
      <c r="S16" s="1575">
        <f>F16</f>
        <v>100</v>
      </c>
      <c r="T16" s="1574" t="s">
        <v>8</v>
      </c>
      <c r="U16" s="1575">
        <f>H16</f>
        <v>100</v>
      </c>
      <c r="V16" s="1574" t="s">
        <v>8</v>
      </c>
      <c r="W16" s="1575">
        <f>J16</f>
        <v>100</v>
      </c>
      <c r="X16" s="1568"/>
      <c r="Y16" s="338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1"/>
      <c r="Q17" s="1573"/>
      <c r="R17" s="1574"/>
      <c r="S17" s="1575"/>
      <c r="T17" s="1574"/>
      <c r="U17" s="1575"/>
      <c r="V17" s="1574"/>
      <c r="W17" s="1575"/>
      <c r="X17" s="1568"/>
      <c r="Y17" s="3381"/>
      <c r="Z17" s="1576"/>
      <c r="AA17" s="1577">
        <v>1</v>
      </c>
      <c r="AB17" s="1577">
        <v>1</v>
      </c>
      <c r="AC17" s="1577">
        <v>1</v>
      </c>
    </row>
    <row r="18" spans="1:29" ht="28.5">
      <c r="A18" s="515"/>
      <c r="B18" s="2570"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1"/>
      <c r="Q18" s="2558" t="str">
        <f>B18</f>
        <v>基础设施水平</v>
      </c>
      <c r="R18" s="1574" t="s">
        <v>8</v>
      </c>
      <c r="S18" s="1575">
        <f>F18</f>
        <v>100</v>
      </c>
      <c r="T18" s="1574" t="s">
        <v>8</v>
      </c>
      <c r="U18" s="1575">
        <f>H18</f>
        <v>100</v>
      </c>
      <c r="V18" s="1574" t="s">
        <v>8</v>
      </c>
      <c r="W18" s="1575">
        <f>J18</f>
        <v>100</v>
      </c>
      <c r="X18" s="2560"/>
      <c r="Y18" s="3381"/>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381"/>
      <c r="Q19" s="2558"/>
      <c r="R19" s="1574"/>
      <c r="S19" s="1575"/>
      <c r="T19" s="1574"/>
      <c r="U19" s="1575"/>
      <c r="V19" s="1574"/>
      <c r="W19" s="1575"/>
      <c r="X19" s="2560"/>
      <c r="Y19" s="3381"/>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1"/>
      <c r="Q20" s="1573" t="str">
        <f>B20</f>
        <v>自然及人文环境</v>
      </c>
      <c r="R20" s="1574" t="s">
        <v>8</v>
      </c>
      <c r="S20" s="1575">
        <f>F20</f>
        <v>100</v>
      </c>
      <c r="T20" s="1574" t="s">
        <v>8</v>
      </c>
      <c r="U20" s="1575">
        <f>H20</f>
        <v>100</v>
      </c>
      <c r="V20" s="1574" t="s">
        <v>8</v>
      </c>
      <c r="W20" s="1575">
        <f>J20</f>
        <v>100</v>
      </c>
      <c r="X20" s="1568"/>
      <c r="Y20" s="338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1"/>
      <c r="Q21" s="1573"/>
      <c r="R21" s="1574"/>
      <c r="S21" s="1575"/>
      <c r="T21" s="1574"/>
      <c r="U21" s="1575"/>
      <c r="V21" s="1574"/>
      <c r="W21" s="1575"/>
      <c r="X21" s="1568"/>
      <c r="Y21" s="338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1"/>
      <c r="Q22" s="1573" t="str">
        <f>B22</f>
        <v>楼层</v>
      </c>
      <c r="R22" s="1574" t="s">
        <v>8</v>
      </c>
      <c r="S22" s="1575">
        <f>F22</f>
        <v>100</v>
      </c>
      <c r="T22" s="1574" t="s">
        <v>8</v>
      </c>
      <c r="U22" s="1575">
        <f>H22</f>
        <v>100</v>
      </c>
      <c r="V22" s="1574" t="s">
        <v>8</v>
      </c>
      <c r="W22" s="1575">
        <f>J22</f>
        <v>100</v>
      </c>
      <c r="X22" s="1568"/>
      <c r="Y22" s="338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1"/>
      <c r="Q23" s="1573">
        <f>B23</f>
        <v>111</v>
      </c>
      <c r="R23" s="1574" t="s">
        <v>8</v>
      </c>
      <c r="S23" s="1575">
        <f>F23</f>
        <v>100</v>
      </c>
      <c r="T23" s="1574" t="s">
        <v>8</v>
      </c>
      <c r="U23" s="1575">
        <f>H23</f>
        <v>100</v>
      </c>
      <c r="V23" s="1574" t="s">
        <v>8</v>
      </c>
      <c r="W23" s="1575">
        <f>J23</f>
        <v>100</v>
      </c>
      <c r="X23" s="1568"/>
      <c r="Y23" s="338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1"/>
      <c r="Q24" s="1573">
        <f t="shared" ref="Q24:Q36" si="11">B24</f>
        <v>111</v>
      </c>
      <c r="R24" s="1574" t="s">
        <v>8</v>
      </c>
      <c r="S24" s="1575">
        <f>F24</f>
        <v>100</v>
      </c>
      <c r="T24" s="1574" t="s">
        <v>8</v>
      </c>
      <c r="U24" s="1575">
        <f>H24</f>
        <v>100</v>
      </c>
      <c r="V24" s="1574" t="s">
        <v>8</v>
      </c>
      <c r="W24" s="1575">
        <f>J24</f>
        <v>100</v>
      </c>
      <c r="X24" s="1568"/>
      <c r="Y24" s="338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1"/>
      <c r="Q25" s="1151">
        <f t="shared" si="11"/>
        <v>111</v>
      </c>
      <c r="R25" s="1569" t="s">
        <v>8</v>
      </c>
      <c r="S25" s="1570">
        <f>F25</f>
        <v>100</v>
      </c>
      <c r="T25" s="1569" t="s">
        <v>8</v>
      </c>
      <c r="U25" s="1570">
        <f>H25</f>
        <v>100</v>
      </c>
      <c r="V25" s="1569" t="s">
        <v>8</v>
      </c>
      <c r="W25" s="1570">
        <f>J25</f>
        <v>100</v>
      </c>
      <c r="X25" s="1571"/>
      <c r="Y25" s="3381"/>
      <c r="Z25" s="1150">
        <f>Q25</f>
        <v>111</v>
      </c>
      <c r="AA25" s="1577">
        <f>D25/F25</f>
        <v>1</v>
      </c>
      <c r="AB25" s="1577">
        <f>D25/H25</f>
        <v>1</v>
      </c>
      <c r="AC25" s="1577">
        <f>D25/J25</f>
        <v>1</v>
      </c>
    </row>
    <row r="26" spans="1:29" ht="15">
      <c r="A26" s="2885"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3"/>
      <c r="Q27" s="1606" t="str">
        <f t="shared" si="11"/>
        <v>项目停车位配比</v>
      </c>
      <c r="R27" s="1578" t="s">
        <v>8</v>
      </c>
      <c r="S27" s="1579">
        <f t="shared" si="12"/>
        <v>100</v>
      </c>
      <c r="T27" s="1578" t="s">
        <v>8</v>
      </c>
      <c r="U27" s="1579">
        <f t="shared" si="13"/>
        <v>100</v>
      </c>
      <c r="V27" s="1578" t="s">
        <v>8</v>
      </c>
      <c r="W27" s="1579">
        <f t="shared" si="14"/>
        <v>100</v>
      </c>
      <c r="X27" s="1580"/>
      <c r="Y27" s="338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3"/>
      <c r="Q28" s="1573" t="str">
        <f t="shared" si="11"/>
        <v>公共部分装修</v>
      </c>
      <c r="R28" s="1574" t="s">
        <v>8</v>
      </c>
      <c r="S28" s="1575">
        <f t="shared" si="12"/>
        <v>100</v>
      </c>
      <c r="T28" s="1574" t="s">
        <v>8</v>
      </c>
      <c r="U28" s="1575">
        <f t="shared" si="13"/>
        <v>100</v>
      </c>
      <c r="V28" s="1574" t="s">
        <v>8</v>
      </c>
      <c r="W28" s="1575">
        <f t="shared" si="14"/>
        <v>100</v>
      </c>
      <c r="X28" s="1568"/>
      <c r="Y28" s="338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3"/>
      <c r="Q29" s="1573" t="str">
        <f t="shared" si="11"/>
        <v>成新率</v>
      </c>
      <c r="R29" s="1574" t="s">
        <v>8</v>
      </c>
      <c r="S29" s="1575" t="e">
        <f t="shared" si="12"/>
        <v>#N/A</v>
      </c>
      <c r="T29" s="1574" t="s">
        <v>8</v>
      </c>
      <c r="U29" s="1575" t="e">
        <f t="shared" si="13"/>
        <v>#N/A</v>
      </c>
      <c r="V29" s="1574" t="s">
        <v>8</v>
      </c>
      <c r="W29" s="1575" t="e">
        <f t="shared" si="14"/>
        <v>#N/A</v>
      </c>
      <c r="X29" s="1568"/>
      <c r="Y29" s="338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3"/>
      <c r="Q30" s="1573" t="str">
        <f t="shared" si="11"/>
        <v>物业等级</v>
      </c>
      <c r="R30" s="1574" t="s">
        <v>8</v>
      </c>
      <c r="S30" s="1575">
        <f t="shared" si="12"/>
        <v>100</v>
      </c>
      <c r="T30" s="1574" t="s">
        <v>8</v>
      </c>
      <c r="U30" s="1575">
        <f t="shared" si="13"/>
        <v>100</v>
      </c>
      <c r="V30" s="1574" t="s">
        <v>8</v>
      </c>
      <c r="W30" s="1575">
        <f t="shared" si="14"/>
        <v>100</v>
      </c>
      <c r="X30" s="1568"/>
      <c r="Y30" s="338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3"/>
      <c r="Q31" s="1151" t="str">
        <f t="shared" si="11"/>
        <v>停车位面积</v>
      </c>
      <c r="R31" s="1569" t="s">
        <v>8</v>
      </c>
      <c r="S31" s="1570" t="e">
        <f t="shared" si="12"/>
        <v>#N/A</v>
      </c>
      <c r="T31" s="1569" t="s">
        <v>8</v>
      </c>
      <c r="U31" s="1570" t="e">
        <f t="shared" si="13"/>
        <v>#N/A</v>
      </c>
      <c r="V31" s="1569" t="s">
        <v>8</v>
      </c>
      <c r="W31" s="1570" t="e">
        <f t="shared" si="14"/>
        <v>#N/A</v>
      </c>
      <c r="X31" s="1571"/>
      <c r="Y31" s="338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3" t="s">
        <v>550</v>
      </c>
      <c r="Q32" s="1573" t="str">
        <f t="shared" si="11"/>
        <v>车位类型</v>
      </c>
      <c r="R32" s="1574" t="s">
        <v>8</v>
      </c>
      <c r="S32" s="1575">
        <f t="shared" si="12"/>
        <v>100</v>
      </c>
      <c r="T32" s="1574" t="s">
        <v>8</v>
      </c>
      <c r="U32" s="1575">
        <f t="shared" si="13"/>
        <v>100</v>
      </c>
      <c r="V32" s="1574" t="s">
        <v>8</v>
      </c>
      <c r="W32" s="1575">
        <f t="shared" si="14"/>
        <v>100</v>
      </c>
      <c r="X32" s="1568"/>
      <c r="Y32" s="338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3"/>
      <c r="Q33" s="1573" t="str">
        <f t="shared" si="11"/>
        <v>是否直接入户</v>
      </c>
      <c r="R33" s="1574" t="s">
        <v>8</v>
      </c>
      <c r="S33" s="1575">
        <f t="shared" si="12"/>
        <v>100</v>
      </c>
      <c r="T33" s="1574" t="s">
        <v>8</v>
      </c>
      <c r="U33" s="1575">
        <f t="shared" si="13"/>
        <v>100</v>
      </c>
      <c r="V33" s="1574" t="s">
        <v>8</v>
      </c>
      <c r="W33" s="1575">
        <f t="shared" si="14"/>
        <v>100</v>
      </c>
      <c r="X33" s="1568"/>
      <c r="Y33" s="338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3"/>
      <c r="Q34" s="1573">
        <f t="shared" si="11"/>
        <v>111</v>
      </c>
      <c r="R34" s="1574" t="s">
        <v>8</v>
      </c>
      <c r="S34" s="1575">
        <f t="shared" si="12"/>
        <v>100</v>
      </c>
      <c r="T34" s="1574" t="s">
        <v>8</v>
      </c>
      <c r="U34" s="1575">
        <f t="shared" si="13"/>
        <v>100</v>
      </c>
      <c r="V34" s="1574" t="s">
        <v>8</v>
      </c>
      <c r="W34" s="1575">
        <f t="shared" si="14"/>
        <v>100</v>
      </c>
      <c r="X34" s="1568"/>
      <c r="Y34" s="338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3"/>
      <c r="Q35" s="1606">
        <f t="shared" si="11"/>
        <v>111</v>
      </c>
      <c r="R35" s="1578" t="s">
        <v>8</v>
      </c>
      <c r="S35" s="1579">
        <f t="shared" si="12"/>
        <v>100</v>
      </c>
      <c r="T35" s="1578" t="s">
        <v>8</v>
      </c>
      <c r="U35" s="1579">
        <f t="shared" si="13"/>
        <v>100</v>
      </c>
      <c r="V35" s="1578" t="s">
        <v>8</v>
      </c>
      <c r="W35" s="1579">
        <f t="shared" si="14"/>
        <v>100</v>
      </c>
      <c r="X35" s="1580"/>
      <c r="Y35" s="338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3"/>
      <c r="Q36" s="1573">
        <f t="shared" si="11"/>
        <v>111</v>
      </c>
      <c r="R36" s="1574" t="s">
        <v>8</v>
      </c>
      <c r="S36" s="1575">
        <f t="shared" si="12"/>
        <v>100</v>
      </c>
      <c r="T36" s="1574" t="s">
        <v>8</v>
      </c>
      <c r="U36" s="1575">
        <f t="shared" si="13"/>
        <v>100</v>
      </c>
      <c r="V36" s="1574" t="s">
        <v>8</v>
      </c>
      <c r="W36" s="1575">
        <f t="shared" si="14"/>
        <v>100</v>
      </c>
      <c r="X36" s="1568"/>
      <c r="Y36" s="3383"/>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46" t="str">
        <f>A37</f>
        <v>成交单价</v>
      </c>
      <c r="Q37" s="3346"/>
      <c r="R37" s="3460">
        <f>E37</f>
        <v>0</v>
      </c>
      <c r="S37" s="3460"/>
      <c r="T37" s="3460">
        <f>G37</f>
        <v>0</v>
      </c>
      <c r="U37" s="3460"/>
      <c r="V37" s="3460">
        <f>I37</f>
        <v>0</v>
      </c>
      <c r="W37" s="3460"/>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5"/>
      <c r="M38" s="2146"/>
      <c r="N38" s="2146"/>
      <c r="O38" s="2146"/>
      <c r="P38" s="3346" t="str">
        <f>A38</f>
        <v>比较价格（元/平方米）</v>
      </c>
      <c r="Q38" s="3346"/>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60"/>
      <c r="Y38" s="1560"/>
      <c r="Z38" s="1560"/>
      <c r="AA38" s="1560"/>
      <c r="AB38" s="1560"/>
      <c r="AC38" s="1560"/>
    </row>
    <row r="39" spans="1:29" ht="15.75" thickBot="1">
      <c r="A39" s="621" t="s">
        <v>2932</v>
      </c>
      <c r="B39" s="622"/>
      <c r="C39" s="2615" t="e">
        <f>R39</f>
        <v>#DIV/0!</v>
      </c>
      <c r="D39" s="2615"/>
      <c r="E39" s="2615"/>
      <c r="F39" s="2615"/>
      <c r="G39" s="2615"/>
      <c r="H39" s="2615"/>
      <c r="I39" s="2615"/>
      <c r="J39" s="2615"/>
      <c r="K39" s="1614"/>
      <c r="L39" s="2145"/>
      <c r="M39" s="2146"/>
      <c r="N39" s="2146"/>
      <c r="O39" s="2146"/>
      <c r="P39" s="3343" t="str">
        <f>A39</f>
        <v>估价对象XX用房的比较价格（楼面单价，元/平方米）</v>
      </c>
      <c r="Q39" s="3344"/>
      <c r="R39" s="3459" t="e">
        <f>IF(F1="售价",ROUND(AVERAGE(R38:V38),0),ROUND(AVERAGE(R38:V38),1))</f>
        <v>#DIV/0!</v>
      </c>
      <c r="S39" s="3459"/>
      <c r="T39" s="3459"/>
      <c r="U39" s="3459"/>
      <c r="V39" s="3459"/>
      <c r="W39" s="345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2554</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2" t="s">
        <v>798</v>
      </c>
      <c r="D4" s="3353"/>
      <c r="E4" s="3386" t="s">
        <v>799</v>
      </c>
      <c r="F4" s="3387"/>
      <c r="G4" s="3352" t="s">
        <v>800</v>
      </c>
      <c r="H4" s="3353"/>
      <c r="I4" s="3352" t="s">
        <v>801</v>
      </c>
      <c r="J4" s="3353"/>
      <c r="K4" s="514" t="s">
        <v>802</v>
      </c>
      <c r="L4" s="2134"/>
      <c r="M4" s="2135"/>
      <c r="N4" s="2135"/>
      <c r="O4" s="2135"/>
      <c r="P4" s="3354" t="s">
        <v>803</v>
      </c>
      <c r="Q4" s="3355"/>
      <c r="R4" s="3360" t="s">
        <v>799</v>
      </c>
      <c r="S4" s="3361"/>
      <c r="T4" s="3360" t="s">
        <v>800</v>
      </c>
      <c r="U4" s="3361"/>
      <c r="V4" s="3347" t="s">
        <v>801</v>
      </c>
      <c r="W4" s="3347"/>
      <c r="X4" s="1568"/>
      <c r="Y4" s="3360" t="s">
        <v>803</v>
      </c>
      <c r="Z4" s="3361"/>
      <c r="AA4" s="3349" t="s">
        <v>799</v>
      </c>
      <c r="AB4" s="3350" t="s">
        <v>800</v>
      </c>
      <c r="AC4" s="3349" t="s">
        <v>801</v>
      </c>
    </row>
    <row r="5" spans="1:29" ht="15">
      <c r="A5" s="515"/>
      <c r="B5" s="516"/>
      <c r="C5" s="3368" t="s">
        <v>2926</v>
      </c>
      <c r="D5" s="3369"/>
      <c r="E5" s="3388" t="s">
        <v>2927</v>
      </c>
      <c r="F5" s="3389"/>
      <c r="G5" s="3368" t="s">
        <v>2928</v>
      </c>
      <c r="H5" s="3369"/>
      <c r="I5" s="3368" t="s">
        <v>2929</v>
      </c>
      <c r="J5" s="3369"/>
      <c r="K5" s="514"/>
      <c r="L5" s="2134"/>
      <c r="M5" s="2135"/>
      <c r="N5" s="2135"/>
      <c r="O5" s="2135"/>
      <c r="P5" s="3356"/>
      <c r="Q5" s="3357"/>
      <c r="R5" s="3362"/>
      <c r="S5" s="3363"/>
      <c r="T5" s="3362"/>
      <c r="U5" s="3363"/>
      <c r="V5" s="3347"/>
      <c r="W5" s="3347"/>
      <c r="X5" s="1568"/>
      <c r="Y5" s="3362"/>
      <c r="Z5" s="3363"/>
      <c r="AA5" s="3350"/>
      <c r="AB5" s="3350"/>
      <c r="AC5" s="3350"/>
    </row>
    <row r="6" spans="1:29" ht="15.75" thickBot="1">
      <c r="A6" s="517"/>
      <c r="B6" s="518"/>
      <c r="C6" s="3366" t="s">
        <v>2930</v>
      </c>
      <c r="D6" s="3367"/>
      <c r="E6" s="3384" t="s">
        <v>2930</v>
      </c>
      <c r="F6" s="3385"/>
      <c r="G6" s="3366" t="s">
        <v>2930</v>
      </c>
      <c r="H6" s="3367"/>
      <c r="I6" s="3366" t="s">
        <v>2930</v>
      </c>
      <c r="J6" s="3367"/>
      <c r="K6" s="514" t="s">
        <v>528</v>
      </c>
      <c r="L6" s="2134"/>
      <c r="M6" s="2135"/>
      <c r="N6" s="2135"/>
      <c r="O6" s="2135"/>
      <c r="P6" s="3358"/>
      <c r="Q6" s="3359"/>
      <c r="R6" s="3362"/>
      <c r="S6" s="3363"/>
      <c r="T6" s="3364"/>
      <c r="U6" s="3365"/>
      <c r="V6" s="3347"/>
      <c r="W6" s="3347"/>
      <c r="X6" s="1568"/>
      <c r="Y6" s="3364"/>
      <c r="Z6" s="3365"/>
      <c r="AA6" s="3351"/>
      <c r="AB6" s="3351"/>
      <c r="AC6" s="3351"/>
    </row>
    <row r="7" spans="1:29" s="1220" customFormat="1" ht="15.75" thickBot="1">
      <c r="A7" s="2890"/>
      <c r="B7" s="2897" t="s">
        <v>529</v>
      </c>
      <c r="C7" s="519">
        <f>'数据-取费表'!B2</f>
        <v>43486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7" t="s">
        <v>530</v>
      </c>
      <c r="Q7" s="3379"/>
      <c r="R7" s="1569" t="s">
        <v>8</v>
      </c>
      <c r="S7" s="1570">
        <f t="shared" ref="S7:S14" si="0">F7</f>
        <v>0</v>
      </c>
      <c r="T7" s="1569" t="s">
        <v>8</v>
      </c>
      <c r="U7" s="1570">
        <f t="shared" ref="U7:U14" si="1">H7</f>
        <v>0</v>
      </c>
      <c r="V7" s="1569" t="s">
        <v>8</v>
      </c>
      <c r="W7" s="1570">
        <f t="shared" ref="W7:W14" si="2">J7</f>
        <v>0</v>
      </c>
      <c r="X7" s="1571"/>
      <c r="Y7" s="3377" t="s">
        <v>530</v>
      </c>
      <c r="Z7" s="3378"/>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7" t="s">
        <v>533</v>
      </c>
      <c r="Q8" s="3378"/>
      <c r="R8" s="1569" t="s">
        <v>8</v>
      </c>
      <c r="S8" s="1570">
        <f t="shared" si="0"/>
        <v>0</v>
      </c>
      <c r="T8" s="1569" t="s">
        <v>8</v>
      </c>
      <c r="U8" s="1570">
        <f t="shared" si="1"/>
        <v>0</v>
      </c>
      <c r="V8" s="1569" t="s">
        <v>8</v>
      </c>
      <c r="W8" s="1570">
        <f t="shared" si="2"/>
        <v>0</v>
      </c>
      <c r="X8" s="1571"/>
      <c r="Y8" s="3377" t="s">
        <v>533</v>
      </c>
      <c r="Z8" s="3378"/>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6" t="s">
        <v>535</v>
      </c>
      <c r="Q9" s="1151" t="str">
        <f t="shared" ref="Q9:Q14" si="6">B9</f>
        <v>用途</v>
      </c>
      <c r="R9" s="1569" t="s">
        <v>8</v>
      </c>
      <c r="S9" s="1570">
        <f t="shared" si="0"/>
        <v>100</v>
      </c>
      <c r="T9" s="1569" t="s">
        <v>8</v>
      </c>
      <c r="U9" s="1570">
        <f t="shared" si="1"/>
        <v>100</v>
      </c>
      <c r="V9" s="1569" t="s">
        <v>8</v>
      </c>
      <c r="W9" s="1570">
        <f t="shared" si="2"/>
        <v>100</v>
      </c>
      <c r="X9" s="1571"/>
      <c r="Y9" s="3292"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6"/>
      <c r="Q10" s="1151" t="str">
        <f t="shared" si="6"/>
        <v>土地使用年限（年）</v>
      </c>
      <c r="R10" s="1569" t="s">
        <v>8</v>
      </c>
      <c r="S10" s="1570">
        <f t="shared" si="0"/>
        <v>100</v>
      </c>
      <c r="T10" s="1569" t="s">
        <v>8</v>
      </c>
      <c r="U10" s="1570">
        <f t="shared" si="1"/>
        <v>100</v>
      </c>
      <c r="V10" s="1569" t="s">
        <v>8</v>
      </c>
      <c r="W10" s="1570">
        <f t="shared" si="2"/>
        <v>100</v>
      </c>
      <c r="X10" s="1571"/>
      <c r="Y10" s="3292"/>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6"/>
      <c r="Q11" s="1151">
        <f t="shared" si="6"/>
        <v>111</v>
      </c>
      <c r="R11" s="1569" t="s">
        <v>8</v>
      </c>
      <c r="S11" s="1570">
        <f t="shared" si="0"/>
        <v>100</v>
      </c>
      <c r="T11" s="1569" t="s">
        <v>8</v>
      </c>
      <c r="U11" s="1570">
        <f t="shared" si="1"/>
        <v>100</v>
      </c>
      <c r="V11" s="1569" t="s">
        <v>8</v>
      </c>
      <c r="W11" s="1570">
        <f t="shared" si="2"/>
        <v>100</v>
      </c>
      <c r="X11" s="1571"/>
      <c r="Y11" s="3292"/>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6"/>
      <c r="Q12" s="1151">
        <f t="shared" si="6"/>
        <v>111</v>
      </c>
      <c r="R12" s="1569" t="s">
        <v>8</v>
      </c>
      <c r="S12" s="1570">
        <f t="shared" si="0"/>
        <v>100</v>
      </c>
      <c r="T12" s="1569" t="s">
        <v>8</v>
      </c>
      <c r="U12" s="1570">
        <f t="shared" si="1"/>
        <v>100</v>
      </c>
      <c r="V12" s="1569" t="s">
        <v>8</v>
      </c>
      <c r="W12" s="1570">
        <f t="shared" si="2"/>
        <v>100</v>
      </c>
      <c r="X12" s="1571"/>
      <c r="Y12" s="3292"/>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6"/>
      <c r="Q13" s="1151">
        <f t="shared" si="6"/>
        <v>111</v>
      </c>
      <c r="R13" s="1569" t="s">
        <v>8</v>
      </c>
      <c r="S13" s="1570">
        <f t="shared" si="0"/>
        <v>100</v>
      </c>
      <c r="T13" s="1569" t="s">
        <v>8</v>
      </c>
      <c r="U13" s="1570">
        <f t="shared" si="1"/>
        <v>100</v>
      </c>
      <c r="V13" s="1569" t="s">
        <v>8</v>
      </c>
      <c r="W13" s="1570">
        <f t="shared" si="2"/>
        <v>100</v>
      </c>
      <c r="X13" s="1571"/>
      <c r="Y13" s="3292"/>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0" t="s">
        <v>540</v>
      </c>
      <c r="Q14" s="1573" t="str">
        <f t="shared" si="6"/>
        <v>交通便捷度</v>
      </c>
      <c r="R14" s="1574" t="s">
        <v>8</v>
      </c>
      <c r="S14" s="1575">
        <f t="shared" si="0"/>
        <v>100</v>
      </c>
      <c r="T14" s="1574" t="s">
        <v>8</v>
      </c>
      <c r="U14" s="1575">
        <f t="shared" si="1"/>
        <v>100</v>
      </c>
      <c r="V14" s="1574" t="s">
        <v>8</v>
      </c>
      <c r="W14" s="1575">
        <f t="shared" si="2"/>
        <v>100</v>
      </c>
      <c r="X14" s="1568"/>
      <c r="Y14" s="338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1"/>
      <c r="Q15" s="1573"/>
      <c r="R15" s="1574"/>
      <c r="S15" s="1575"/>
      <c r="T15" s="1574"/>
      <c r="U15" s="1575"/>
      <c r="V15" s="1574"/>
      <c r="W15" s="1575"/>
      <c r="X15" s="1568"/>
      <c r="Y15" s="3381"/>
      <c r="Z15" s="1576"/>
      <c r="AA15" s="1577">
        <v>1</v>
      </c>
      <c r="AB15" s="1577">
        <v>1</v>
      </c>
      <c r="AC15" s="1577">
        <v>1</v>
      </c>
    </row>
    <row r="16" spans="1:29" ht="42.75">
      <c r="A16" s="532"/>
      <c r="B16" s="2582"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1"/>
      <c r="Q16" s="1573" t="str">
        <f>B16</f>
        <v>公共配套设施</v>
      </c>
      <c r="R16" s="1574" t="s">
        <v>8</v>
      </c>
      <c r="S16" s="1575">
        <f>F16</f>
        <v>100</v>
      </c>
      <c r="T16" s="1574" t="s">
        <v>8</v>
      </c>
      <c r="U16" s="1575">
        <f>H16</f>
        <v>100</v>
      </c>
      <c r="V16" s="1574" t="s">
        <v>8</v>
      </c>
      <c r="W16" s="1575">
        <f>J16</f>
        <v>100</v>
      </c>
      <c r="X16" s="1568"/>
      <c r="Y16" s="338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1"/>
      <c r="Q17" s="1573"/>
      <c r="R17" s="1574"/>
      <c r="S17" s="1575"/>
      <c r="T17" s="1574"/>
      <c r="U17" s="1575"/>
      <c r="V17" s="1574"/>
      <c r="W17" s="1575"/>
      <c r="X17" s="1568"/>
      <c r="Y17" s="3381"/>
      <c r="Z17" s="1576"/>
      <c r="AA17" s="1577">
        <v>1</v>
      </c>
      <c r="AB17" s="1577">
        <v>1</v>
      </c>
      <c r="AC17" s="1577">
        <v>1</v>
      </c>
    </row>
    <row r="18" spans="1:29" ht="28.5">
      <c r="A18" s="532"/>
      <c r="B18" s="2570"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1"/>
      <c r="Q18" s="2558" t="str">
        <f>B18</f>
        <v>基础设施水平</v>
      </c>
      <c r="R18" s="1574" t="s">
        <v>8</v>
      </c>
      <c r="S18" s="1575">
        <f>F18</f>
        <v>100</v>
      </c>
      <c r="T18" s="1574" t="s">
        <v>8</v>
      </c>
      <c r="U18" s="1575">
        <f>H18</f>
        <v>100</v>
      </c>
      <c r="V18" s="1574" t="s">
        <v>8</v>
      </c>
      <c r="W18" s="1575">
        <f>J18</f>
        <v>100</v>
      </c>
      <c r="X18" s="2560"/>
      <c r="Y18" s="3381"/>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381"/>
      <c r="Q19" s="2558"/>
      <c r="R19" s="1574"/>
      <c r="S19" s="1575"/>
      <c r="T19" s="1574"/>
      <c r="U19" s="1575"/>
      <c r="V19" s="1574"/>
      <c r="W19" s="1575"/>
      <c r="X19" s="2560"/>
      <c r="Y19" s="3381"/>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1"/>
      <c r="Q20" s="1573" t="str">
        <f>B20</f>
        <v>自然及人文环境</v>
      </c>
      <c r="R20" s="1574" t="s">
        <v>8</v>
      </c>
      <c r="S20" s="1575">
        <f>F20</f>
        <v>100</v>
      </c>
      <c r="T20" s="1574" t="s">
        <v>8</v>
      </c>
      <c r="U20" s="1575">
        <f>H20</f>
        <v>100</v>
      </c>
      <c r="V20" s="1574" t="s">
        <v>8</v>
      </c>
      <c r="W20" s="1575">
        <f>J20</f>
        <v>100</v>
      </c>
      <c r="X20" s="1568"/>
      <c r="Y20" s="338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1"/>
      <c r="Q21" s="1573"/>
      <c r="R21" s="1574"/>
      <c r="S21" s="1575"/>
      <c r="T21" s="1574"/>
      <c r="U21" s="1575"/>
      <c r="V21" s="1574"/>
      <c r="W21" s="1575"/>
      <c r="X21" s="1568"/>
      <c r="Y21" s="338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1"/>
      <c r="Q22" s="1573" t="str">
        <f>B22</f>
        <v>楼层</v>
      </c>
      <c r="R22" s="1574" t="s">
        <v>8</v>
      </c>
      <c r="S22" s="1575">
        <f>F22</f>
        <v>100</v>
      </c>
      <c r="T22" s="1574" t="s">
        <v>8</v>
      </c>
      <c r="U22" s="1575">
        <f>H22</f>
        <v>100</v>
      </c>
      <c r="V22" s="1574" t="s">
        <v>8</v>
      </c>
      <c r="W22" s="1575">
        <f>J22</f>
        <v>100</v>
      </c>
      <c r="X22" s="1568"/>
      <c r="Y22" s="338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1"/>
      <c r="Q23" s="1573">
        <f>B23</f>
        <v>111</v>
      </c>
      <c r="R23" s="1574" t="s">
        <v>8</v>
      </c>
      <c r="S23" s="1575">
        <f>F23</f>
        <v>100</v>
      </c>
      <c r="T23" s="1574" t="s">
        <v>8</v>
      </c>
      <c r="U23" s="1575">
        <f>H23</f>
        <v>100</v>
      </c>
      <c r="V23" s="1574" t="s">
        <v>8</v>
      </c>
      <c r="W23" s="1575">
        <f>J23</f>
        <v>100</v>
      </c>
      <c r="X23" s="1568"/>
      <c r="Y23" s="338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1"/>
      <c r="Q24" s="1573">
        <f t="shared" ref="Q24:Q34" si="11">B24</f>
        <v>111</v>
      </c>
      <c r="R24" s="1574" t="s">
        <v>8</v>
      </c>
      <c r="S24" s="1575">
        <f>F24</f>
        <v>100</v>
      </c>
      <c r="T24" s="1574" t="s">
        <v>8</v>
      </c>
      <c r="U24" s="1575">
        <f>H24</f>
        <v>100</v>
      </c>
      <c r="V24" s="1574" t="s">
        <v>8</v>
      </c>
      <c r="W24" s="1575">
        <f>J24</f>
        <v>100</v>
      </c>
      <c r="X24" s="1568"/>
      <c r="Y24" s="338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1"/>
      <c r="Q25" s="1151">
        <f t="shared" si="11"/>
        <v>111</v>
      </c>
      <c r="R25" s="1569" t="s">
        <v>8</v>
      </c>
      <c r="S25" s="1570">
        <f>F25</f>
        <v>100</v>
      </c>
      <c r="T25" s="1569" t="s">
        <v>8</v>
      </c>
      <c r="U25" s="1570">
        <f>H25</f>
        <v>100</v>
      </c>
      <c r="V25" s="1569" t="s">
        <v>8</v>
      </c>
      <c r="W25" s="1570">
        <f>J25</f>
        <v>100</v>
      </c>
      <c r="X25" s="1571"/>
      <c r="Y25" s="3381"/>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3"/>
      <c r="Q27" s="1606" t="str">
        <f t="shared" si="11"/>
        <v>成新率</v>
      </c>
      <c r="R27" s="1578" t="s">
        <v>8</v>
      </c>
      <c r="S27" s="1579" t="e">
        <f t="shared" si="12"/>
        <v>#N/A</v>
      </c>
      <c r="T27" s="1578" t="s">
        <v>8</v>
      </c>
      <c r="U27" s="1579" t="e">
        <f t="shared" si="13"/>
        <v>#N/A</v>
      </c>
      <c r="V27" s="1578" t="s">
        <v>8</v>
      </c>
      <c r="W27" s="1579" t="e">
        <f t="shared" si="14"/>
        <v>#N/A</v>
      </c>
      <c r="X27" s="1580"/>
      <c r="Y27" s="338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3"/>
      <c r="Q28" s="1573" t="str">
        <f t="shared" si="11"/>
        <v>物业等级</v>
      </c>
      <c r="R28" s="1574" t="s">
        <v>8</v>
      </c>
      <c r="S28" s="1575">
        <f t="shared" si="12"/>
        <v>100</v>
      </c>
      <c r="T28" s="1574" t="s">
        <v>8</v>
      </c>
      <c r="U28" s="1575">
        <f t="shared" si="13"/>
        <v>100</v>
      </c>
      <c r="V28" s="1574" t="s">
        <v>8</v>
      </c>
      <c r="W28" s="1575">
        <f t="shared" si="14"/>
        <v>100</v>
      </c>
      <c r="X28" s="1568"/>
      <c r="Y28" s="338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3"/>
      <c r="Q29" s="1573" t="str">
        <f t="shared" si="11"/>
        <v>有无电梯</v>
      </c>
      <c r="R29" s="1574" t="s">
        <v>8</v>
      </c>
      <c r="S29" s="1575">
        <f t="shared" si="12"/>
        <v>100</v>
      </c>
      <c r="T29" s="1574" t="s">
        <v>8</v>
      </c>
      <c r="U29" s="1575">
        <f t="shared" si="13"/>
        <v>100</v>
      </c>
      <c r="V29" s="1574" t="s">
        <v>8</v>
      </c>
      <c r="W29" s="1575">
        <f t="shared" si="14"/>
        <v>100</v>
      </c>
      <c r="X29" s="1568"/>
      <c r="Y29" s="338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3"/>
      <c r="Q30" s="1573" t="str">
        <f t="shared" si="11"/>
        <v>建筑面积</v>
      </c>
      <c r="R30" s="1574" t="s">
        <v>8</v>
      </c>
      <c r="S30" s="1575" t="e">
        <f t="shared" si="12"/>
        <v>#N/A</v>
      </c>
      <c r="T30" s="1574" t="s">
        <v>8</v>
      </c>
      <c r="U30" s="1575" t="e">
        <f t="shared" si="13"/>
        <v>#N/A</v>
      </c>
      <c r="V30" s="1574" t="s">
        <v>8</v>
      </c>
      <c r="W30" s="1575" t="e">
        <f t="shared" si="14"/>
        <v>#N/A</v>
      </c>
      <c r="X30" s="1568"/>
      <c r="Y30" s="338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3"/>
      <c r="Q31" s="1151" t="str">
        <f t="shared" si="11"/>
        <v>是否封闭</v>
      </c>
      <c r="R31" s="1569" t="s">
        <v>8</v>
      </c>
      <c r="S31" s="1570">
        <f t="shared" si="12"/>
        <v>100</v>
      </c>
      <c r="T31" s="1569" t="s">
        <v>8</v>
      </c>
      <c r="U31" s="1570">
        <f t="shared" si="13"/>
        <v>100</v>
      </c>
      <c r="V31" s="1569" t="s">
        <v>8</v>
      </c>
      <c r="W31" s="1570">
        <f t="shared" si="14"/>
        <v>100</v>
      </c>
      <c r="X31" s="1571"/>
      <c r="Y31" s="338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3" t="s">
        <v>550</v>
      </c>
      <c r="Q32" s="1573">
        <f t="shared" si="11"/>
        <v>111</v>
      </c>
      <c r="R32" s="1574" t="s">
        <v>8</v>
      </c>
      <c r="S32" s="1575">
        <f t="shared" si="12"/>
        <v>100</v>
      </c>
      <c r="T32" s="1574" t="s">
        <v>8</v>
      </c>
      <c r="U32" s="1575">
        <f t="shared" si="13"/>
        <v>100</v>
      </c>
      <c r="V32" s="1574" t="s">
        <v>8</v>
      </c>
      <c r="W32" s="1575">
        <f t="shared" si="14"/>
        <v>100</v>
      </c>
      <c r="X32" s="1568"/>
      <c r="Y32" s="338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3"/>
      <c r="Q33" s="1573">
        <f t="shared" si="11"/>
        <v>111</v>
      </c>
      <c r="R33" s="1574" t="s">
        <v>8</v>
      </c>
      <c r="S33" s="1575">
        <f t="shared" si="12"/>
        <v>100</v>
      </c>
      <c r="T33" s="1574" t="s">
        <v>8</v>
      </c>
      <c r="U33" s="1575">
        <f t="shared" si="13"/>
        <v>100</v>
      </c>
      <c r="V33" s="1574" t="s">
        <v>8</v>
      </c>
      <c r="W33" s="1575">
        <f t="shared" si="14"/>
        <v>100</v>
      </c>
      <c r="X33" s="1568"/>
      <c r="Y33" s="338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3"/>
      <c r="Q34" s="1573">
        <f t="shared" si="11"/>
        <v>111</v>
      </c>
      <c r="R34" s="1574" t="s">
        <v>8</v>
      </c>
      <c r="S34" s="1575">
        <f t="shared" si="12"/>
        <v>100</v>
      </c>
      <c r="T34" s="1574" t="s">
        <v>8</v>
      </c>
      <c r="U34" s="1575">
        <f t="shared" si="13"/>
        <v>100</v>
      </c>
      <c r="V34" s="1574" t="s">
        <v>8</v>
      </c>
      <c r="W34" s="1575">
        <f t="shared" si="14"/>
        <v>100</v>
      </c>
      <c r="X34" s="1568"/>
      <c r="Y34" s="3383"/>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46" t="str">
        <f>A35</f>
        <v>成交单价（元/平方米）</v>
      </c>
      <c r="Q35" s="3346"/>
      <c r="R35" s="3460">
        <f>E35</f>
        <v>0</v>
      </c>
      <c r="S35" s="3460"/>
      <c r="T35" s="3460">
        <f>G35</f>
        <v>0</v>
      </c>
      <c r="U35" s="3460"/>
      <c r="V35" s="3460">
        <f>I35</f>
        <v>0</v>
      </c>
      <c r="W35" s="3460"/>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5"/>
      <c r="M36" s="2146"/>
      <c r="N36" s="2135"/>
      <c r="O36" s="2146"/>
      <c r="P36" s="3346" t="str">
        <f>A36</f>
        <v>比较价格（元/平方米）</v>
      </c>
      <c r="Q36" s="3346"/>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60"/>
      <c r="Y36" s="1560"/>
      <c r="Z36" s="1560"/>
      <c r="AA36" s="1560"/>
      <c r="AB36" s="1560"/>
      <c r="AC36" s="1560"/>
    </row>
    <row r="37" spans="1:29" ht="15.75" thickBot="1">
      <c r="A37" s="621" t="s">
        <v>2932</v>
      </c>
      <c r="B37" s="622"/>
      <c r="C37" s="2615" t="e">
        <f>R37</f>
        <v>#DIV/0!</v>
      </c>
      <c r="D37" s="2615"/>
      <c r="E37" s="2615"/>
      <c r="F37" s="2615"/>
      <c r="G37" s="2615"/>
      <c r="H37" s="2615"/>
      <c r="I37" s="2615"/>
      <c r="J37" s="2615"/>
      <c r="K37" s="1614"/>
      <c r="L37" s="2145"/>
      <c r="M37" s="2146"/>
      <c r="N37" s="2146"/>
      <c r="O37" s="2146"/>
      <c r="P37" s="3343" t="str">
        <f>A37</f>
        <v>估价对象XX用房的比较价格（楼面单价，元/平方米）</v>
      </c>
      <c r="Q37" s="3344"/>
      <c r="R37" s="3459" t="e">
        <f>IF(F1="售价",ROUND(AVERAGE(R36:V36),0),ROUND(AVERAGE(R36:V36),1))</f>
        <v>#DIV/0!</v>
      </c>
      <c r="S37" s="3459"/>
      <c r="T37" s="3459"/>
      <c r="U37" s="3459"/>
      <c r="V37" s="3459"/>
      <c r="W37" s="345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2554</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activeCell="I39" sqref="I39"/>
      <selection pane="bottomLeft" activeCell="S25" sqref="S25"/>
    </sheetView>
  </sheetViews>
  <sheetFormatPr defaultColWidth="9" defaultRowHeight="12.75"/>
  <cols>
    <col min="1" max="1" width="30.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69" t="s">
        <v>2304</v>
      </c>
      <c r="D1" s="3470"/>
      <c r="E1" s="3470"/>
      <c r="F1" s="3470"/>
      <c r="G1" s="3470"/>
      <c r="H1" s="3470"/>
      <c r="I1" s="3470"/>
      <c r="J1" s="3470"/>
      <c r="K1" s="3470"/>
      <c r="L1" s="3470"/>
      <c r="M1" s="3470"/>
      <c r="N1" s="3470"/>
      <c r="O1" s="3470"/>
      <c r="P1" s="3470"/>
      <c r="Q1" s="3470"/>
      <c r="R1" s="3470"/>
      <c r="S1" s="3471"/>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 ca="1">S22</f>
        <v>20223</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f ca="1">R22</f>
        <v>14589</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13862</v>
      </c>
      <c r="C22" s="3466" t="s">
        <v>20</v>
      </c>
      <c r="D22" s="3467"/>
      <c r="E22" s="3467"/>
      <c r="F22" s="3467"/>
      <c r="G22" s="3467"/>
      <c r="H22" s="3467"/>
      <c r="I22" s="3467"/>
      <c r="J22" s="3467"/>
      <c r="K22" s="3467"/>
      <c r="L22" s="3467"/>
      <c r="M22" s="3467"/>
      <c r="N22" s="3467"/>
      <c r="O22" s="3467"/>
      <c r="P22" s="3467"/>
      <c r="Q22" s="3468"/>
      <c r="R22" s="490">
        <f ca="1">ROUND(S22*10000/B22,0)</f>
        <v>14589</v>
      </c>
      <c r="S22" s="53">
        <f ca="1">SUM(S24:S10000)</f>
        <v>20223</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3472" t="s">
        <v>3220</v>
      </c>
      <c r="B24" s="961">
        <v>10490</v>
      </c>
      <c r="C24" s="962">
        <v>1</v>
      </c>
      <c r="D24" s="963"/>
      <c r="E24" s="962">
        <v>1</v>
      </c>
      <c r="F24" s="963"/>
      <c r="G24" s="962">
        <v>1</v>
      </c>
      <c r="H24" s="963"/>
      <c r="I24" s="962">
        <v>1</v>
      </c>
      <c r="J24" s="963"/>
      <c r="K24" s="962">
        <v>1</v>
      </c>
      <c r="L24" s="963"/>
      <c r="M24" s="962">
        <v>1</v>
      </c>
      <c r="N24" s="963"/>
      <c r="O24" s="962">
        <v>1</v>
      </c>
      <c r="P24" s="963"/>
      <c r="Q24" s="962">
        <v>1</v>
      </c>
      <c r="R24" s="964">
        <f ca="1">结果表!G21</f>
        <v>14589</v>
      </c>
      <c r="S24" s="962">
        <f t="shared" ref="S24:S54" ca="1" si="11">ROUND(R24*B24/10000,0)</f>
        <v>15304</v>
      </c>
      <c r="T24" s="1974"/>
      <c r="U24" s="1974"/>
      <c r="V24" s="1974"/>
      <c r="W24" s="1974"/>
      <c r="X24" s="1974"/>
      <c r="Y24" s="1974"/>
      <c r="Z24" s="1974"/>
      <c r="AA24" s="1974"/>
      <c r="AB24" s="1974"/>
      <c r="AC24" s="1974"/>
      <c r="AD24" s="1974"/>
      <c r="AE24" s="1974"/>
      <c r="AF24" s="1974"/>
      <c r="AG24" s="1974"/>
      <c r="AH24" s="1974"/>
      <c r="AI24" s="1974"/>
    </row>
    <row r="25" spans="1:45">
      <c r="A25" s="3472" t="s">
        <v>3221</v>
      </c>
      <c r="B25" s="137">
        <v>3372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14589</v>
      </c>
      <c r="S25" s="799">
        <f t="shared" ca="1" si="11"/>
        <v>4919</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93.75">
      <c r="A7" s="2851" t="s">
        <v>2745</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2746</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43486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1.5</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opLeftCell="I1" workbookViewId="0">
      <selection activeCell="S6" sqref="S6"/>
    </sheetView>
  </sheetViews>
  <sheetFormatPr defaultRowHeight="13.5"/>
  <cols>
    <col min="1" max="1" width="36" style="2917" customWidth="1"/>
    <col min="2" max="2" width="6.25" style="2917" customWidth="1"/>
    <col min="3" max="3" width="11.75" style="2917" customWidth="1"/>
    <col min="4" max="4" width="4.625" style="2917" customWidth="1"/>
    <col min="5" max="5" width="36" style="2917" customWidth="1"/>
    <col min="6" max="6" width="9" style="2917" customWidth="1"/>
    <col min="7" max="7" width="17.125" style="2917" customWidth="1"/>
    <col min="8" max="9" width="13.875" style="2917" customWidth="1"/>
    <col min="10" max="10" width="15.875" style="2917" customWidth="1"/>
    <col min="11" max="11" width="9" style="2917" customWidth="1"/>
    <col min="12" max="12" width="21.75"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6" style="2917" customWidth="1"/>
    <col min="258" max="258" width="6.25" style="2917" customWidth="1"/>
    <col min="259" max="259" width="11.75" style="2917" customWidth="1"/>
    <col min="260" max="260" width="4.625" style="2917" customWidth="1"/>
    <col min="261" max="261" width="36" style="2917" customWidth="1"/>
    <col min="262" max="262" width="9" style="2917" customWidth="1"/>
    <col min="263" max="263" width="17.125" style="2917" customWidth="1"/>
    <col min="264" max="265" width="13.875" style="2917" customWidth="1"/>
    <col min="266" max="266" width="10.5" style="2917" customWidth="1"/>
    <col min="267" max="267" width="9" style="2917" customWidth="1"/>
    <col min="268" max="268" width="21.75"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6" style="2917" customWidth="1"/>
    <col min="514" max="514" width="6.25" style="2917" customWidth="1"/>
    <col min="515" max="515" width="11.75" style="2917" customWidth="1"/>
    <col min="516" max="516" width="4.625" style="2917" customWidth="1"/>
    <col min="517" max="517" width="36" style="2917" customWidth="1"/>
    <col min="518" max="518" width="9" style="2917" customWidth="1"/>
    <col min="519" max="519" width="17.125" style="2917" customWidth="1"/>
    <col min="520" max="521" width="13.875" style="2917" customWidth="1"/>
    <col min="522" max="522" width="10.5" style="2917" customWidth="1"/>
    <col min="523" max="523" width="9" style="2917" customWidth="1"/>
    <col min="524" max="524" width="21.75"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6" style="2917" customWidth="1"/>
    <col min="770" max="770" width="6.25" style="2917" customWidth="1"/>
    <col min="771" max="771" width="11.75" style="2917" customWidth="1"/>
    <col min="772" max="772" width="4.625" style="2917" customWidth="1"/>
    <col min="773" max="773" width="36" style="2917" customWidth="1"/>
    <col min="774" max="774" width="9" style="2917" customWidth="1"/>
    <col min="775" max="775" width="17.125" style="2917" customWidth="1"/>
    <col min="776" max="777" width="13.875" style="2917" customWidth="1"/>
    <col min="778" max="778" width="10.5" style="2917" customWidth="1"/>
    <col min="779" max="779" width="9" style="2917" customWidth="1"/>
    <col min="780" max="780" width="21.75"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6" style="2917" customWidth="1"/>
    <col min="1026" max="1026" width="6.25" style="2917" customWidth="1"/>
    <col min="1027" max="1027" width="11.75" style="2917" customWidth="1"/>
    <col min="1028" max="1028" width="4.625" style="2917" customWidth="1"/>
    <col min="1029" max="1029" width="36" style="2917" customWidth="1"/>
    <col min="1030" max="1030" width="9" style="2917" customWidth="1"/>
    <col min="1031" max="1031" width="17.125" style="2917" customWidth="1"/>
    <col min="1032" max="1033" width="13.875" style="2917" customWidth="1"/>
    <col min="1034" max="1034" width="10.5" style="2917" customWidth="1"/>
    <col min="1035" max="1035" width="9" style="2917" customWidth="1"/>
    <col min="1036" max="1036" width="21.75"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6" style="2917" customWidth="1"/>
    <col min="1282" max="1282" width="6.25" style="2917" customWidth="1"/>
    <col min="1283" max="1283" width="11.75" style="2917" customWidth="1"/>
    <col min="1284" max="1284" width="4.625" style="2917" customWidth="1"/>
    <col min="1285" max="1285" width="36" style="2917" customWidth="1"/>
    <col min="1286" max="1286" width="9" style="2917" customWidth="1"/>
    <col min="1287" max="1287" width="17.125" style="2917" customWidth="1"/>
    <col min="1288" max="1289" width="13.875" style="2917" customWidth="1"/>
    <col min="1290" max="1290" width="10.5" style="2917" customWidth="1"/>
    <col min="1291" max="1291" width="9" style="2917" customWidth="1"/>
    <col min="1292" max="1292" width="21.75"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6" style="2917" customWidth="1"/>
    <col min="1538" max="1538" width="6.25" style="2917" customWidth="1"/>
    <col min="1539" max="1539" width="11.75" style="2917" customWidth="1"/>
    <col min="1540" max="1540" width="4.625" style="2917" customWidth="1"/>
    <col min="1541" max="1541" width="36" style="2917" customWidth="1"/>
    <col min="1542" max="1542" width="9" style="2917" customWidth="1"/>
    <col min="1543" max="1543" width="17.125" style="2917" customWidth="1"/>
    <col min="1544" max="1545" width="13.875" style="2917" customWidth="1"/>
    <col min="1546" max="1546" width="10.5" style="2917" customWidth="1"/>
    <col min="1547" max="1547" width="9" style="2917" customWidth="1"/>
    <col min="1548" max="1548" width="21.75"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6" style="2917" customWidth="1"/>
    <col min="1794" max="1794" width="6.25" style="2917" customWidth="1"/>
    <col min="1795" max="1795" width="11.75" style="2917" customWidth="1"/>
    <col min="1796" max="1796" width="4.625" style="2917" customWidth="1"/>
    <col min="1797" max="1797" width="36" style="2917" customWidth="1"/>
    <col min="1798" max="1798" width="9" style="2917" customWidth="1"/>
    <col min="1799" max="1799" width="17.125" style="2917" customWidth="1"/>
    <col min="1800" max="1801" width="13.875" style="2917" customWidth="1"/>
    <col min="1802" max="1802" width="10.5" style="2917" customWidth="1"/>
    <col min="1803" max="1803" width="9" style="2917" customWidth="1"/>
    <col min="1804" max="1804" width="21.75"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6" style="2917" customWidth="1"/>
    <col min="2050" max="2050" width="6.25" style="2917" customWidth="1"/>
    <col min="2051" max="2051" width="11.75" style="2917" customWidth="1"/>
    <col min="2052" max="2052" width="4.625" style="2917" customWidth="1"/>
    <col min="2053" max="2053" width="36" style="2917" customWidth="1"/>
    <col min="2054" max="2054" width="9" style="2917" customWidth="1"/>
    <col min="2055" max="2055" width="17.125" style="2917" customWidth="1"/>
    <col min="2056" max="2057" width="13.875" style="2917" customWidth="1"/>
    <col min="2058" max="2058" width="10.5" style="2917" customWidth="1"/>
    <col min="2059" max="2059" width="9" style="2917" customWidth="1"/>
    <col min="2060" max="2060" width="21.75"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6" style="2917" customWidth="1"/>
    <col min="2306" max="2306" width="6.25" style="2917" customWidth="1"/>
    <col min="2307" max="2307" width="11.75" style="2917" customWidth="1"/>
    <col min="2308" max="2308" width="4.625" style="2917" customWidth="1"/>
    <col min="2309" max="2309" width="36" style="2917" customWidth="1"/>
    <col min="2310" max="2310" width="9" style="2917" customWidth="1"/>
    <col min="2311" max="2311" width="17.125" style="2917" customWidth="1"/>
    <col min="2312" max="2313" width="13.875" style="2917" customWidth="1"/>
    <col min="2314" max="2314" width="10.5" style="2917" customWidth="1"/>
    <col min="2315" max="2315" width="9" style="2917" customWidth="1"/>
    <col min="2316" max="2316" width="21.75"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6" style="2917" customWidth="1"/>
    <col min="2562" max="2562" width="6.25" style="2917" customWidth="1"/>
    <col min="2563" max="2563" width="11.75" style="2917" customWidth="1"/>
    <col min="2564" max="2564" width="4.625" style="2917" customWidth="1"/>
    <col min="2565" max="2565" width="36" style="2917" customWidth="1"/>
    <col min="2566" max="2566" width="9" style="2917" customWidth="1"/>
    <col min="2567" max="2567" width="17.125" style="2917" customWidth="1"/>
    <col min="2568" max="2569" width="13.875" style="2917" customWidth="1"/>
    <col min="2570" max="2570" width="10.5" style="2917" customWidth="1"/>
    <col min="2571" max="2571" width="9" style="2917" customWidth="1"/>
    <col min="2572" max="2572" width="21.75"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6" style="2917" customWidth="1"/>
    <col min="2818" max="2818" width="6.25" style="2917" customWidth="1"/>
    <col min="2819" max="2819" width="11.75" style="2917" customWidth="1"/>
    <col min="2820" max="2820" width="4.625" style="2917" customWidth="1"/>
    <col min="2821" max="2821" width="36" style="2917" customWidth="1"/>
    <col min="2822" max="2822" width="9" style="2917" customWidth="1"/>
    <col min="2823" max="2823" width="17.125" style="2917" customWidth="1"/>
    <col min="2824" max="2825" width="13.875" style="2917" customWidth="1"/>
    <col min="2826" max="2826" width="10.5" style="2917" customWidth="1"/>
    <col min="2827" max="2827" width="9" style="2917" customWidth="1"/>
    <col min="2828" max="2828" width="21.75"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6" style="2917" customWidth="1"/>
    <col min="3074" max="3074" width="6.25" style="2917" customWidth="1"/>
    <col min="3075" max="3075" width="11.75" style="2917" customWidth="1"/>
    <col min="3076" max="3076" width="4.625" style="2917" customWidth="1"/>
    <col min="3077" max="3077" width="36" style="2917" customWidth="1"/>
    <col min="3078" max="3078" width="9" style="2917" customWidth="1"/>
    <col min="3079" max="3079" width="17.125" style="2917" customWidth="1"/>
    <col min="3080" max="3081" width="13.875" style="2917" customWidth="1"/>
    <col min="3082" max="3082" width="10.5" style="2917" customWidth="1"/>
    <col min="3083" max="3083" width="9" style="2917" customWidth="1"/>
    <col min="3084" max="3084" width="21.75"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6" style="2917" customWidth="1"/>
    <col min="3330" max="3330" width="6.25" style="2917" customWidth="1"/>
    <col min="3331" max="3331" width="11.75" style="2917" customWidth="1"/>
    <col min="3332" max="3332" width="4.625" style="2917" customWidth="1"/>
    <col min="3333" max="3333" width="36" style="2917" customWidth="1"/>
    <col min="3334" max="3334" width="9" style="2917" customWidth="1"/>
    <col min="3335" max="3335" width="17.125" style="2917" customWidth="1"/>
    <col min="3336" max="3337" width="13.875" style="2917" customWidth="1"/>
    <col min="3338" max="3338" width="10.5" style="2917" customWidth="1"/>
    <col min="3339" max="3339" width="9" style="2917" customWidth="1"/>
    <col min="3340" max="3340" width="21.75"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6" style="2917" customWidth="1"/>
    <col min="3586" max="3586" width="6.25" style="2917" customWidth="1"/>
    <col min="3587" max="3587" width="11.75" style="2917" customWidth="1"/>
    <col min="3588" max="3588" width="4.625" style="2917" customWidth="1"/>
    <col min="3589" max="3589" width="36" style="2917" customWidth="1"/>
    <col min="3590" max="3590" width="9" style="2917" customWidth="1"/>
    <col min="3591" max="3591" width="17.125" style="2917" customWidth="1"/>
    <col min="3592" max="3593" width="13.875" style="2917" customWidth="1"/>
    <col min="3594" max="3594" width="10.5" style="2917" customWidth="1"/>
    <col min="3595" max="3595" width="9" style="2917" customWidth="1"/>
    <col min="3596" max="3596" width="21.75"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6" style="2917" customWidth="1"/>
    <col min="3842" max="3842" width="6.25" style="2917" customWidth="1"/>
    <col min="3843" max="3843" width="11.75" style="2917" customWidth="1"/>
    <col min="3844" max="3844" width="4.625" style="2917" customWidth="1"/>
    <col min="3845" max="3845" width="36" style="2917" customWidth="1"/>
    <col min="3846" max="3846" width="9" style="2917" customWidth="1"/>
    <col min="3847" max="3847" width="17.125" style="2917" customWidth="1"/>
    <col min="3848" max="3849" width="13.875" style="2917" customWidth="1"/>
    <col min="3850" max="3850" width="10.5" style="2917" customWidth="1"/>
    <col min="3851" max="3851" width="9" style="2917" customWidth="1"/>
    <col min="3852" max="3852" width="21.75"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6" style="2917" customWidth="1"/>
    <col min="4098" max="4098" width="6.25" style="2917" customWidth="1"/>
    <col min="4099" max="4099" width="11.75" style="2917" customWidth="1"/>
    <col min="4100" max="4100" width="4.625" style="2917" customWidth="1"/>
    <col min="4101" max="4101" width="36" style="2917" customWidth="1"/>
    <col min="4102" max="4102" width="9" style="2917" customWidth="1"/>
    <col min="4103" max="4103" width="17.125" style="2917" customWidth="1"/>
    <col min="4104" max="4105" width="13.875" style="2917" customWidth="1"/>
    <col min="4106" max="4106" width="10.5" style="2917" customWidth="1"/>
    <col min="4107" max="4107" width="9" style="2917" customWidth="1"/>
    <col min="4108" max="4108" width="21.75"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6" style="2917" customWidth="1"/>
    <col min="4354" max="4354" width="6.25" style="2917" customWidth="1"/>
    <col min="4355" max="4355" width="11.75" style="2917" customWidth="1"/>
    <col min="4356" max="4356" width="4.625" style="2917" customWidth="1"/>
    <col min="4357" max="4357" width="36" style="2917" customWidth="1"/>
    <col min="4358" max="4358" width="9" style="2917" customWidth="1"/>
    <col min="4359" max="4359" width="17.125" style="2917" customWidth="1"/>
    <col min="4360" max="4361" width="13.875" style="2917" customWidth="1"/>
    <col min="4362" max="4362" width="10.5" style="2917" customWidth="1"/>
    <col min="4363" max="4363" width="9" style="2917" customWidth="1"/>
    <col min="4364" max="4364" width="21.75"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6" style="2917" customWidth="1"/>
    <col min="4610" max="4610" width="6.25" style="2917" customWidth="1"/>
    <col min="4611" max="4611" width="11.75" style="2917" customWidth="1"/>
    <col min="4612" max="4612" width="4.625" style="2917" customWidth="1"/>
    <col min="4613" max="4613" width="36" style="2917" customWidth="1"/>
    <col min="4614" max="4614" width="9" style="2917" customWidth="1"/>
    <col min="4615" max="4615" width="17.125" style="2917" customWidth="1"/>
    <col min="4616" max="4617" width="13.875" style="2917" customWidth="1"/>
    <col min="4618" max="4618" width="10.5" style="2917" customWidth="1"/>
    <col min="4619" max="4619" width="9" style="2917" customWidth="1"/>
    <col min="4620" max="4620" width="21.75"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6" style="2917" customWidth="1"/>
    <col min="4866" max="4866" width="6.25" style="2917" customWidth="1"/>
    <col min="4867" max="4867" width="11.75" style="2917" customWidth="1"/>
    <col min="4868" max="4868" width="4.625" style="2917" customWidth="1"/>
    <col min="4869" max="4869" width="36" style="2917" customWidth="1"/>
    <col min="4870" max="4870" width="9" style="2917" customWidth="1"/>
    <col min="4871" max="4871" width="17.125" style="2917" customWidth="1"/>
    <col min="4872" max="4873" width="13.875" style="2917" customWidth="1"/>
    <col min="4874" max="4874" width="10.5" style="2917" customWidth="1"/>
    <col min="4875" max="4875" width="9" style="2917" customWidth="1"/>
    <col min="4876" max="4876" width="21.75"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6" style="2917" customWidth="1"/>
    <col min="5122" max="5122" width="6.25" style="2917" customWidth="1"/>
    <col min="5123" max="5123" width="11.75" style="2917" customWidth="1"/>
    <col min="5124" max="5124" width="4.625" style="2917" customWidth="1"/>
    <col min="5125" max="5125" width="36" style="2917" customWidth="1"/>
    <col min="5126" max="5126" width="9" style="2917" customWidth="1"/>
    <col min="5127" max="5127" width="17.125" style="2917" customWidth="1"/>
    <col min="5128" max="5129" width="13.875" style="2917" customWidth="1"/>
    <col min="5130" max="5130" width="10.5" style="2917" customWidth="1"/>
    <col min="5131" max="5131" width="9" style="2917" customWidth="1"/>
    <col min="5132" max="5132" width="21.75"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6" style="2917" customWidth="1"/>
    <col min="5378" max="5378" width="6.25" style="2917" customWidth="1"/>
    <col min="5379" max="5379" width="11.75" style="2917" customWidth="1"/>
    <col min="5380" max="5380" width="4.625" style="2917" customWidth="1"/>
    <col min="5381" max="5381" width="36" style="2917" customWidth="1"/>
    <col min="5382" max="5382" width="9" style="2917" customWidth="1"/>
    <col min="5383" max="5383" width="17.125" style="2917" customWidth="1"/>
    <col min="5384" max="5385" width="13.875" style="2917" customWidth="1"/>
    <col min="5386" max="5386" width="10.5" style="2917" customWidth="1"/>
    <col min="5387" max="5387" width="9" style="2917" customWidth="1"/>
    <col min="5388" max="5388" width="21.75"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6" style="2917" customWidth="1"/>
    <col min="5634" max="5634" width="6.25" style="2917" customWidth="1"/>
    <col min="5635" max="5635" width="11.75" style="2917" customWidth="1"/>
    <col min="5636" max="5636" width="4.625" style="2917" customWidth="1"/>
    <col min="5637" max="5637" width="36" style="2917" customWidth="1"/>
    <col min="5638" max="5638" width="9" style="2917" customWidth="1"/>
    <col min="5639" max="5639" width="17.125" style="2917" customWidth="1"/>
    <col min="5640" max="5641" width="13.875" style="2917" customWidth="1"/>
    <col min="5642" max="5642" width="10.5" style="2917" customWidth="1"/>
    <col min="5643" max="5643" width="9" style="2917" customWidth="1"/>
    <col min="5644" max="5644" width="21.75"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6" style="2917" customWidth="1"/>
    <col min="5890" max="5890" width="6.25" style="2917" customWidth="1"/>
    <col min="5891" max="5891" width="11.75" style="2917" customWidth="1"/>
    <col min="5892" max="5892" width="4.625" style="2917" customWidth="1"/>
    <col min="5893" max="5893" width="36" style="2917" customWidth="1"/>
    <col min="5894" max="5894" width="9" style="2917" customWidth="1"/>
    <col min="5895" max="5895" width="17.125" style="2917" customWidth="1"/>
    <col min="5896" max="5897" width="13.875" style="2917" customWidth="1"/>
    <col min="5898" max="5898" width="10.5" style="2917" customWidth="1"/>
    <col min="5899" max="5899" width="9" style="2917" customWidth="1"/>
    <col min="5900" max="5900" width="21.75"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6" style="2917" customWidth="1"/>
    <col min="6146" max="6146" width="6.25" style="2917" customWidth="1"/>
    <col min="6147" max="6147" width="11.75" style="2917" customWidth="1"/>
    <col min="6148" max="6148" width="4.625" style="2917" customWidth="1"/>
    <col min="6149" max="6149" width="36" style="2917" customWidth="1"/>
    <col min="6150" max="6150" width="9" style="2917" customWidth="1"/>
    <col min="6151" max="6151" width="17.125" style="2917" customWidth="1"/>
    <col min="6152" max="6153" width="13.875" style="2917" customWidth="1"/>
    <col min="6154" max="6154" width="10.5" style="2917" customWidth="1"/>
    <col min="6155" max="6155" width="9" style="2917" customWidth="1"/>
    <col min="6156" max="6156" width="21.75"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6" style="2917" customWidth="1"/>
    <col min="6402" max="6402" width="6.25" style="2917" customWidth="1"/>
    <col min="6403" max="6403" width="11.75" style="2917" customWidth="1"/>
    <col min="6404" max="6404" width="4.625" style="2917" customWidth="1"/>
    <col min="6405" max="6405" width="36" style="2917" customWidth="1"/>
    <col min="6406" max="6406" width="9" style="2917" customWidth="1"/>
    <col min="6407" max="6407" width="17.125" style="2917" customWidth="1"/>
    <col min="6408" max="6409" width="13.875" style="2917" customWidth="1"/>
    <col min="6410" max="6410" width="10.5" style="2917" customWidth="1"/>
    <col min="6411" max="6411" width="9" style="2917" customWidth="1"/>
    <col min="6412" max="6412" width="21.75"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6" style="2917" customWidth="1"/>
    <col min="6658" max="6658" width="6.25" style="2917" customWidth="1"/>
    <col min="6659" max="6659" width="11.75" style="2917" customWidth="1"/>
    <col min="6660" max="6660" width="4.625" style="2917" customWidth="1"/>
    <col min="6661" max="6661" width="36" style="2917" customWidth="1"/>
    <col min="6662" max="6662" width="9" style="2917" customWidth="1"/>
    <col min="6663" max="6663" width="17.125" style="2917" customWidth="1"/>
    <col min="6664" max="6665" width="13.875" style="2917" customWidth="1"/>
    <col min="6666" max="6666" width="10.5" style="2917" customWidth="1"/>
    <col min="6667" max="6667" width="9" style="2917" customWidth="1"/>
    <col min="6668" max="6668" width="21.75"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6" style="2917" customWidth="1"/>
    <col min="6914" max="6914" width="6.25" style="2917" customWidth="1"/>
    <col min="6915" max="6915" width="11.75" style="2917" customWidth="1"/>
    <col min="6916" max="6916" width="4.625" style="2917" customWidth="1"/>
    <col min="6917" max="6917" width="36" style="2917" customWidth="1"/>
    <col min="6918" max="6918" width="9" style="2917" customWidth="1"/>
    <col min="6919" max="6919" width="17.125" style="2917" customWidth="1"/>
    <col min="6920" max="6921" width="13.875" style="2917" customWidth="1"/>
    <col min="6922" max="6922" width="10.5" style="2917" customWidth="1"/>
    <col min="6923" max="6923" width="9" style="2917" customWidth="1"/>
    <col min="6924" max="6924" width="21.75"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6" style="2917" customWidth="1"/>
    <col min="7170" max="7170" width="6.25" style="2917" customWidth="1"/>
    <col min="7171" max="7171" width="11.75" style="2917" customWidth="1"/>
    <col min="7172" max="7172" width="4.625" style="2917" customWidth="1"/>
    <col min="7173" max="7173" width="36" style="2917" customWidth="1"/>
    <col min="7174" max="7174" width="9" style="2917" customWidth="1"/>
    <col min="7175" max="7175" width="17.125" style="2917" customWidth="1"/>
    <col min="7176" max="7177" width="13.875" style="2917" customWidth="1"/>
    <col min="7178" max="7178" width="10.5" style="2917" customWidth="1"/>
    <col min="7179" max="7179" width="9" style="2917" customWidth="1"/>
    <col min="7180" max="7180" width="21.75"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6" style="2917" customWidth="1"/>
    <col min="7426" max="7426" width="6.25" style="2917" customWidth="1"/>
    <col min="7427" max="7427" width="11.75" style="2917" customWidth="1"/>
    <col min="7428" max="7428" width="4.625" style="2917" customWidth="1"/>
    <col min="7429" max="7429" width="36" style="2917" customWidth="1"/>
    <col min="7430" max="7430" width="9" style="2917" customWidth="1"/>
    <col min="7431" max="7431" width="17.125" style="2917" customWidth="1"/>
    <col min="7432" max="7433" width="13.875" style="2917" customWidth="1"/>
    <col min="7434" max="7434" width="10.5" style="2917" customWidth="1"/>
    <col min="7435" max="7435" width="9" style="2917" customWidth="1"/>
    <col min="7436" max="7436" width="21.75"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6" style="2917" customWidth="1"/>
    <col min="7682" max="7682" width="6.25" style="2917" customWidth="1"/>
    <col min="7683" max="7683" width="11.75" style="2917" customWidth="1"/>
    <col min="7684" max="7684" width="4.625" style="2917" customWidth="1"/>
    <col min="7685" max="7685" width="36" style="2917" customWidth="1"/>
    <col min="7686" max="7686" width="9" style="2917" customWidth="1"/>
    <col min="7687" max="7687" width="17.125" style="2917" customWidth="1"/>
    <col min="7688" max="7689" width="13.875" style="2917" customWidth="1"/>
    <col min="7690" max="7690" width="10.5" style="2917" customWidth="1"/>
    <col min="7691" max="7691" width="9" style="2917" customWidth="1"/>
    <col min="7692" max="7692" width="21.75"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6" style="2917" customWidth="1"/>
    <col min="7938" max="7938" width="6.25" style="2917" customWidth="1"/>
    <col min="7939" max="7939" width="11.75" style="2917" customWidth="1"/>
    <col min="7940" max="7940" width="4.625" style="2917" customWidth="1"/>
    <col min="7941" max="7941" width="36" style="2917" customWidth="1"/>
    <col min="7942" max="7942" width="9" style="2917" customWidth="1"/>
    <col min="7943" max="7943" width="17.125" style="2917" customWidth="1"/>
    <col min="7944" max="7945" width="13.875" style="2917" customWidth="1"/>
    <col min="7946" max="7946" width="10.5" style="2917" customWidth="1"/>
    <col min="7947" max="7947" width="9" style="2917" customWidth="1"/>
    <col min="7948" max="7948" width="21.75"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6" style="2917" customWidth="1"/>
    <col min="8194" max="8194" width="6.25" style="2917" customWidth="1"/>
    <col min="8195" max="8195" width="11.75" style="2917" customWidth="1"/>
    <col min="8196" max="8196" width="4.625" style="2917" customWidth="1"/>
    <col min="8197" max="8197" width="36" style="2917" customWidth="1"/>
    <col min="8198" max="8198" width="9" style="2917" customWidth="1"/>
    <col min="8199" max="8199" width="17.125" style="2917" customWidth="1"/>
    <col min="8200" max="8201" width="13.875" style="2917" customWidth="1"/>
    <col min="8202" max="8202" width="10.5" style="2917" customWidth="1"/>
    <col min="8203" max="8203" width="9" style="2917" customWidth="1"/>
    <col min="8204" max="8204" width="21.75"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6" style="2917" customWidth="1"/>
    <col min="8450" max="8450" width="6.25" style="2917" customWidth="1"/>
    <col min="8451" max="8451" width="11.75" style="2917" customWidth="1"/>
    <col min="8452" max="8452" width="4.625" style="2917" customWidth="1"/>
    <col min="8453" max="8453" width="36" style="2917" customWidth="1"/>
    <col min="8454" max="8454" width="9" style="2917" customWidth="1"/>
    <col min="8455" max="8455" width="17.125" style="2917" customWidth="1"/>
    <col min="8456" max="8457" width="13.875" style="2917" customWidth="1"/>
    <col min="8458" max="8458" width="10.5" style="2917" customWidth="1"/>
    <col min="8459" max="8459" width="9" style="2917" customWidth="1"/>
    <col min="8460" max="8460" width="21.75"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6" style="2917" customWidth="1"/>
    <col min="8706" max="8706" width="6.25" style="2917" customWidth="1"/>
    <col min="8707" max="8707" width="11.75" style="2917" customWidth="1"/>
    <col min="8708" max="8708" width="4.625" style="2917" customWidth="1"/>
    <col min="8709" max="8709" width="36" style="2917" customWidth="1"/>
    <col min="8710" max="8710" width="9" style="2917" customWidth="1"/>
    <col min="8711" max="8711" width="17.125" style="2917" customWidth="1"/>
    <col min="8712" max="8713" width="13.875" style="2917" customWidth="1"/>
    <col min="8714" max="8714" width="10.5" style="2917" customWidth="1"/>
    <col min="8715" max="8715" width="9" style="2917" customWidth="1"/>
    <col min="8716" max="8716" width="21.75"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6" style="2917" customWidth="1"/>
    <col min="8962" max="8962" width="6.25" style="2917" customWidth="1"/>
    <col min="8963" max="8963" width="11.75" style="2917" customWidth="1"/>
    <col min="8964" max="8964" width="4.625" style="2917" customWidth="1"/>
    <col min="8965" max="8965" width="36" style="2917" customWidth="1"/>
    <col min="8966" max="8966" width="9" style="2917" customWidth="1"/>
    <col min="8967" max="8967" width="17.125" style="2917" customWidth="1"/>
    <col min="8968" max="8969" width="13.875" style="2917" customWidth="1"/>
    <col min="8970" max="8970" width="10.5" style="2917" customWidth="1"/>
    <col min="8971" max="8971" width="9" style="2917" customWidth="1"/>
    <col min="8972" max="8972" width="21.75"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6" style="2917" customWidth="1"/>
    <col min="9218" max="9218" width="6.25" style="2917" customWidth="1"/>
    <col min="9219" max="9219" width="11.75" style="2917" customWidth="1"/>
    <col min="9220" max="9220" width="4.625" style="2917" customWidth="1"/>
    <col min="9221" max="9221" width="36" style="2917" customWidth="1"/>
    <col min="9222" max="9222" width="9" style="2917" customWidth="1"/>
    <col min="9223" max="9223" width="17.125" style="2917" customWidth="1"/>
    <col min="9224" max="9225" width="13.875" style="2917" customWidth="1"/>
    <col min="9226" max="9226" width="10.5" style="2917" customWidth="1"/>
    <col min="9227" max="9227" width="9" style="2917" customWidth="1"/>
    <col min="9228" max="9228" width="21.75"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6" style="2917" customWidth="1"/>
    <col min="9474" max="9474" width="6.25" style="2917" customWidth="1"/>
    <col min="9475" max="9475" width="11.75" style="2917" customWidth="1"/>
    <col min="9476" max="9476" width="4.625" style="2917" customWidth="1"/>
    <col min="9477" max="9477" width="36" style="2917" customWidth="1"/>
    <col min="9478" max="9478" width="9" style="2917" customWidth="1"/>
    <col min="9479" max="9479" width="17.125" style="2917" customWidth="1"/>
    <col min="9480" max="9481" width="13.875" style="2917" customWidth="1"/>
    <col min="9482" max="9482" width="10.5" style="2917" customWidth="1"/>
    <col min="9483" max="9483" width="9" style="2917" customWidth="1"/>
    <col min="9484" max="9484" width="21.75"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6" style="2917" customWidth="1"/>
    <col min="9730" max="9730" width="6.25" style="2917" customWidth="1"/>
    <col min="9731" max="9731" width="11.75" style="2917" customWidth="1"/>
    <col min="9732" max="9732" width="4.625" style="2917" customWidth="1"/>
    <col min="9733" max="9733" width="36" style="2917" customWidth="1"/>
    <col min="9734" max="9734" width="9" style="2917" customWidth="1"/>
    <col min="9735" max="9735" width="17.125" style="2917" customWidth="1"/>
    <col min="9736" max="9737" width="13.875" style="2917" customWidth="1"/>
    <col min="9738" max="9738" width="10.5" style="2917" customWidth="1"/>
    <col min="9739" max="9739" width="9" style="2917" customWidth="1"/>
    <col min="9740" max="9740" width="21.75"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6" style="2917" customWidth="1"/>
    <col min="9986" max="9986" width="6.25" style="2917" customWidth="1"/>
    <col min="9987" max="9987" width="11.75" style="2917" customWidth="1"/>
    <col min="9988" max="9988" width="4.625" style="2917" customWidth="1"/>
    <col min="9989" max="9989" width="36" style="2917" customWidth="1"/>
    <col min="9990" max="9990" width="9" style="2917" customWidth="1"/>
    <col min="9991" max="9991" width="17.125" style="2917" customWidth="1"/>
    <col min="9992" max="9993" width="13.875" style="2917" customWidth="1"/>
    <col min="9994" max="9994" width="10.5" style="2917" customWidth="1"/>
    <col min="9995" max="9995" width="9" style="2917" customWidth="1"/>
    <col min="9996" max="9996" width="21.75"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6" style="2917" customWidth="1"/>
    <col min="10242" max="10242" width="6.25" style="2917" customWidth="1"/>
    <col min="10243" max="10243" width="11.75" style="2917" customWidth="1"/>
    <col min="10244" max="10244" width="4.625" style="2917" customWidth="1"/>
    <col min="10245" max="10245" width="36" style="2917" customWidth="1"/>
    <col min="10246" max="10246" width="9" style="2917" customWidth="1"/>
    <col min="10247" max="10247" width="17.125" style="2917" customWidth="1"/>
    <col min="10248" max="10249" width="13.875" style="2917" customWidth="1"/>
    <col min="10250" max="10250" width="10.5" style="2917" customWidth="1"/>
    <col min="10251" max="10251" width="9" style="2917" customWidth="1"/>
    <col min="10252" max="10252" width="21.75"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6" style="2917" customWidth="1"/>
    <col min="10498" max="10498" width="6.25" style="2917" customWidth="1"/>
    <col min="10499" max="10499" width="11.75" style="2917" customWidth="1"/>
    <col min="10500" max="10500" width="4.625" style="2917" customWidth="1"/>
    <col min="10501" max="10501" width="36" style="2917" customWidth="1"/>
    <col min="10502" max="10502" width="9" style="2917" customWidth="1"/>
    <col min="10503" max="10503" width="17.125" style="2917" customWidth="1"/>
    <col min="10504" max="10505" width="13.875" style="2917" customWidth="1"/>
    <col min="10506" max="10506" width="10.5" style="2917" customWidth="1"/>
    <col min="10507" max="10507" width="9" style="2917" customWidth="1"/>
    <col min="10508" max="10508" width="21.75"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6" style="2917" customWidth="1"/>
    <col min="10754" max="10754" width="6.25" style="2917" customWidth="1"/>
    <col min="10755" max="10755" width="11.75" style="2917" customWidth="1"/>
    <col min="10756" max="10756" width="4.625" style="2917" customWidth="1"/>
    <col min="10757" max="10757" width="36" style="2917" customWidth="1"/>
    <col min="10758" max="10758" width="9" style="2917" customWidth="1"/>
    <col min="10759" max="10759" width="17.125" style="2917" customWidth="1"/>
    <col min="10760" max="10761" width="13.875" style="2917" customWidth="1"/>
    <col min="10762" max="10762" width="10.5" style="2917" customWidth="1"/>
    <col min="10763" max="10763" width="9" style="2917" customWidth="1"/>
    <col min="10764" max="10764" width="21.75"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6" style="2917" customWidth="1"/>
    <col min="11010" max="11010" width="6.25" style="2917" customWidth="1"/>
    <col min="11011" max="11011" width="11.75" style="2917" customWidth="1"/>
    <col min="11012" max="11012" width="4.625" style="2917" customWidth="1"/>
    <col min="11013" max="11013" width="36" style="2917" customWidth="1"/>
    <col min="11014" max="11014" width="9" style="2917" customWidth="1"/>
    <col min="11015" max="11015" width="17.125" style="2917" customWidth="1"/>
    <col min="11016" max="11017" width="13.875" style="2917" customWidth="1"/>
    <col min="11018" max="11018" width="10.5" style="2917" customWidth="1"/>
    <col min="11019" max="11019" width="9" style="2917" customWidth="1"/>
    <col min="11020" max="11020" width="21.75"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6" style="2917" customWidth="1"/>
    <col min="11266" max="11266" width="6.25" style="2917" customWidth="1"/>
    <col min="11267" max="11267" width="11.75" style="2917" customWidth="1"/>
    <col min="11268" max="11268" width="4.625" style="2917" customWidth="1"/>
    <col min="11269" max="11269" width="36" style="2917" customWidth="1"/>
    <col min="11270" max="11270" width="9" style="2917" customWidth="1"/>
    <col min="11271" max="11271" width="17.125" style="2917" customWidth="1"/>
    <col min="11272" max="11273" width="13.875" style="2917" customWidth="1"/>
    <col min="11274" max="11274" width="10.5" style="2917" customWidth="1"/>
    <col min="11275" max="11275" width="9" style="2917" customWidth="1"/>
    <col min="11276" max="11276" width="21.75"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6" style="2917" customWidth="1"/>
    <col min="11522" max="11522" width="6.25" style="2917" customWidth="1"/>
    <col min="11523" max="11523" width="11.75" style="2917" customWidth="1"/>
    <col min="11524" max="11524" width="4.625" style="2917" customWidth="1"/>
    <col min="11525" max="11525" width="36" style="2917" customWidth="1"/>
    <col min="11526" max="11526" width="9" style="2917" customWidth="1"/>
    <col min="11527" max="11527" width="17.125" style="2917" customWidth="1"/>
    <col min="11528" max="11529" width="13.875" style="2917" customWidth="1"/>
    <col min="11530" max="11530" width="10.5" style="2917" customWidth="1"/>
    <col min="11531" max="11531" width="9" style="2917" customWidth="1"/>
    <col min="11532" max="11532" width="21.75"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6" style="2917" customWidth="1"/>
    <col min="11778" max="11778" width="6.25" style="2917" customWidth="1"/>
    <col min="11779" max="11779" width="11.75" style="2917" customWidth="1"/>
    <col min="11780" max="11780" width="4.625" style="2917" customWidth="1"/>
    <col min="11781" max="11781" width="36" style="2917" customWidth="1"/>
    <col min="11782" max="11782" width="9" style="2917" customWidth="1"/>
    <col min="11783" max="11783" width="17.125" style="2917" customWidth="1"/>
    <col min="11784" max="11785" width="13.875" style="2917" customWidth="1"/>
    <col min="11786" max="11786" width="10.5" style="2917" customWidth="1"/>
    <col min="11787" max="11787" width="9" style="2917" customWidth="1"/>
    <col min="11788" max="11788" width="21.75"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6" style="2917" customWidth="1"/>
    <col min="12034" max="12034" width="6.25" style="2917" customWidth="1"/>
    <col min="12035" max="12035" width="11.75" style="2917" customWidth="1"/>
    <col min="12036" max="12036" width="4.625" style="2917" customWidth="1"/>
    <col min="12037" max="12037" width="36" style="2917" customWidth="1"/>
    <col min="12038" max="12038" width="9" style="2917" customWidth="1"/>
    <col min="12039" max="12039" width="17.125" style="2917" customWidth="1"/>
    <col min="12040" max="12041" width="13.875" style="2917" customWidth="1"/>
    <col min="12042" max="12042" width="10.5" style="2917" customWidth="1"/>
    <col min="12043" max="12043" width="9" style="2917" customWidth="1"/>
    <col min="12044" max="12044" width="21.75"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6" style="2917" customWidth="1"/>
    <col min="12290" max="12290" width="6.25" style="2917" customWidth="1"/>
    <col min="12291" max="12291" width="11.75" style="2917" customWidth="1"/>
    <col min="12292" max="12292" width="4.625" style="2917" customWidth="1"/>
    <col min="12293" max="12293" width="36" style="2917" customWidth="1"/>
    <col min="12294" max="12294" width="9" style="2917" customWidth="1"/>
    <col min="12295" max="12295" width="17.125" style="2917" customWidth="1"/>
    <col min="12296" max="12297" width="13.875" style="2917" customWidth="1"/>
    <col min="12298" max="12298" width="10.5" style="2917" customWidth="1"/>
    <col min="12299" max="12299" width="9" style="2917" customWidth="1"/>
    <col min="12300" max="12300" width="21.75"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6" style="2917" customWidth="1"/>
    <col min="12546" max="12546" width="6.25" style="2917" customWidth="1"/>
    <col min="12547" max="12547" width="11.75" style="2917" customWidth="1"/>
    <col min="12548" max="12548" width="4.625" style="2917" customWidth="1"/>
    <col min="12549" max="12549" width="36" style="2917" customWidth="1"/>
    <col min="12550" max="12550" width="9" style="2917" customWidth="1"/>
    <col min="12551" max="12551" width="17.125" style="2917" customWidth="1"/>
    <col min="12552" max="12553" width="13.875" style="2917" customWidth="1"/>
    <col min="12554" max="12554" width="10.5" style="2917" customWidth="1"/>
    <col min="12555" max="12555" width="9" style="2917" customWidth="1"/>
    <col min="12556" max="12556" width="21.75"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6" style="2917" customWidth="1"/>
    <col min="12802" max="12802" width="6.25" style="2917" customWidth="1"/>
    <col min="12803" max="12803" width="11.75" style="2917" customWidth="1"/>
    <col min="12804" max="12804" width="4.625" style="2917" customWidth="1"/>
    <col min="12805" max="12805" width="36" style="2917" customWidth="1"/>
    <col min="12806" max="12806" width="9" style="2917" customWidth="1"/>
    <col min="12807" max="12807" width="17.125" style="2917" customWidth="1"/>
    <col min="12808" max="12809" width="13.875" style="2917" customWidth="1"/>
    <col min="12810" max="12810" width="10.5" style="2917" customWidth="1"/>
    <col min="12811" max="12811" width="9" style="2917" customWidth="1"/>
    <col min="12812" max="12812" width="21.75"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6" style="2917" customWidth="1"/>
    <col min="13058" max="13058" width="6.25" style="2917" customWidth="1"/>
    <col min="13059" max="13059" width="11.75" style="2917" customWidth="1"/>
    <col min="13060" max="13060" width="4.625" style="2917" customWidth="1"/>
    <col min="13061" max="13061" width="36" style="2917" customWidth="1"/>
    <col min="13062" max="13062" width="9" style="2917" customWidth="1"/>
    <col min="13063" max="13063" width="17.125" style="2917" customWidth="1"/>
    <col min="13064" max="13065" width="13.875" style="2917" customWidth="1"/>
    <col min="13066" max="13066" width="10.5" style="2917" customWidth="1"/>
    <col min="13067" max="13067" width="9" style="2917" customWidth="1"/>
    <col min="13068" max="13068" width="21.75"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6" style="2917" customWidth="1"/>
    <col min="13314" max="13314" width="6.25" style="2917" customWidth="1"/>
    <col min="13315" max="13315" width="11.75" style="2917" customWidth="1"/>
    <col min="13316" max="13316" width="4.625" style="2917" customWidth="1"/>
    <col min="13317" max="13317" width="36" style="2917" customWidth="1"/>
    <col min="13318" max="13318" width="9" style="2917" customWidth="1"/>
    <col min="13319" max="13319" width="17.125" style="2917" customWidth="1"/>
    <col min="13320" max="13321" width="13.875" style="2917" customWidth="1"/>
    <col min="13322" max="13322" width="10.5" style="2917" customWidth="1"/>
    <col min="13323" max="13323" width="9" style="2917" customWidth="1"/>
    <col min="13324" max="13324" width="21.75"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6" style="2917" customWidth="1"/>
    <col min="13570" max="13570" width="6.25" style="2917" customWidth="1"/>
    <col min="13571" max="13571" width="11.75" style="2917" customWidth="1"/>
    <col min="13572" max="13572" width="4.625" style="2917" customWidth="1"/>
    <col min="13573" max="13573" width="36" style="2917" customWidth="1"/>
    <col min="13574" max="13574" width="9" style="2917" customWidth="1"/>
    <col min="13575" max="13575" width="17.125" style="2917" customWidth="1"/>
    <col min="13576" max="13577" width="13.875" style="2917" customWidth="1"/>
    <col min="13578" max="13578" width="10.5" style="2917" customWidth="1"/>
    <col min="13579" max="13579" width="9" style="2917" customWidth="1"/>
    <col min="13580" max="13580" width="21.75"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6" style="2917" customWidth="1"/>
    <col min="13826" max="13826" width="6.25" style="2917" customWidth="1"/>
    <col min="13827" max="13827" width="11.75" style="2917" customWidth="1"/>
    <col min="13828" max="13828" width="4.625" style="2917" customWidth="1"/>
    <col min="13829" max="13829" width="36" style="2917" customWidth="1"/>
    <col min="13830" max="13830" width="9" style="2917" customWidth="1"/>
    <col min="13831" max="13831" width="17.125" style="2917" customWidth="1"/>
    <col min="13832" max="13833" width="13.875" style="2917" customWidth="1"/>
    <col min="13834" max="13834" width="10.5" style="2917" customWidth="1"/>
    <col min="13835" max="13835" width="9" style="2917" customWidth="1"/>
    <col min="13836" max="13836" width="21.75"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6" style="2917" customWidth="1"/>
    <col min="14082" max="14082" width="6.25" style="2917" customWidth="1"/>
    <col min="14083" max="14083" width="11.75" style="2917" customWidth="1"/>
    <col min="14084" max="14084" width="4.625" style="2917" customWidth="1"/>
    <col min="14085" max="14085" width="36" style="2917" customWidth="1"/>
    <col min="14086" max="14086" width="9" style="2917" customWidth="1"/>
    <col min="14087" max="14087" width="17.125" style="2917" customWidth="1"/>
    <col min="14088" max="14089" width="13.875" style="2917" customWidth="1"/>
    <col min="14090" max="14090" width="10.5" style="2917" customWidth="1"/>
    <col min="14091" max="14091" width="9" style="2917" customWidth="1"/>
    <col min="14092" max="14092" width="21.75"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6" style="2917" customWidth="1"/>
    <col min="14338" max="14338" width="6.25" style="2917" customWidth="1"/>
    <col min="14339" max="14339" width="11.75" style="2917" customWidth="1"/>
    <col min="14340" max="14340" width="4.625" style="2917" customWidth="1"/>
    <col min="14341" max="14341" width="36" style="2917" customWidth="1"/>
    <col min="14342" max="14342" width="9" style="2917" customWidth="1"/>
    <col min="14343" max="14343" width="17.125" style="2917" customWidth="1"/>
    <col min="14344" max="14345" width="13.875" style="2917" customWidth="1"/>
    <col min="14346" max="14346" width="10.5" style="2917" customWidth="1"/>
    <col min="14347" max="14347" width="9" style="2917" customWidth="1"/>
    <col min="14348" max="14348" width="21.75"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6" style="2917" customWidth="1"/>
    <col min="14594" max="14594" width="6.25" style="2917" customWidth="1"/>
    <col min="14595" max="14595" width="11.75" style="2917" customWidth="1"/>
    <col min="14596" max="14596" width="4.625" style="2917" customWidth="1"/>
    <col min="14597" max="14597" width="36" style="2917" customWidth="1"/>
    <col min="14598" max="14598" width="9" style="2917" customWidth="1"/>
    <col min="14599" max="14599" width="17.125" style="2917" customWidth="1"/>
    <col min="14600" max="14601" width="13.875" style="2917" customWidth="1"/>
    <col min="14602" max="14602" width="10.5" style="2917" customWidth="1"/>
    <col min="14603" max="14603" width="9" style="2917" customWidth="1"/>
    <col min="14604" max="14604" width="21.75"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6" style="2917" customWidth="1"/>
    <col min="14850" max="14850" width="6.25" style="2917" customWidth="1"/>
    <col min="14851" max="14851" width="11.75" style="2917" customWidth="1"/>
    <col min="14852" max="14852" width="4.625" style="2917" customWidth="1"/>
    <col min="14853" max="14853" width="36" style="2917" customWidth="1"/>
    <col min="14854" max="14854" width="9" style="2917" customWidth="1"/>
    <col min="14855" max="14855" width="17.125" style="2917" customWidth="1"/>
    <col min="14856" max="14857" width="13.875" style="2917" customWidth="1"/>
    <col min="14858" max="14858" width="10.5" style="2917" customWidth="1"/>
    <col min="14859" max="14859" width="9" style="2917" customWidth="1"/>
    <col min="14860" max="14860" width="21.75"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6" style="2917" customWidth="1"/>
    <col min="15106" max="15106" width="6.25" style="2917" customWidth="1"/>
    <col min="15107" max="15107" width="11.75" style="2917" customWidth="1"/>
    <col min="15108" max="15108" width="4.625" style="2917" customWidth="1"/>
    <col min="15109" max="15109" width="36" style="2917" customWidth="1"/>
    <col min="15110" max="15110" width="9" style="2917" customWidth="1"/>
    <col min="15111" max="15111" width="17.125" style="2917" customWidth="1"/>
    <col min="15112" max="15113" width="13.875" style="2917" customWidth="1"/>
    <col min="15114" max="15114" width="10.5" style="2917" customWidth="1"/>
    <col min="15115" max="15115" width="9" style="2917" customWidth="1"/>
    <col min="15116" max="15116" width="21.75"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6" style="2917" customWidth="1"/>
    <col min="15362" max="15362" width="6.25" style="2917" customWidth="1"/>
    <col min="15363" max="15363" width="11.75" style="2917" customWidth="1"/>
    <col min="15364" max="15364" width="4.625" style="2917" customWidth="1"/>
    <col min="15365" max="15365" width="36" style="2917" customWidth="1"/>
    <col min="15366" max="15366" width="9" style="2917" customWidth="1"/>
    <col min="15367" max="15367" width="17.125" style="2917" customWidth="1"/>
    <col min="15368" max="15369" width="13.875" style="2917" customWidth="1"/>
    <col min="15370" max="15370" width="10.5" style="2917" customWidth="1"/>
    <col min="15371" max="15371" width="9" style="2917" customWidth="1"/>
    <col min="15372" max="15372" width="21.75"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6" style="2917" customWidth="1"/>
    <col min="15618" max="15618" width="6.25" style="2917" customWidth="1"/>
    <col min="15619" max="15619" width="11.75" style="2917" customWidth="1"/>
    <col min="15620" max="15620" width="4.625" style="2917" customWidth="1"/>
    <col min="15621" max="15621" width="36" style="2917" customWidth="1"/>
    <col min="15622" max="15622" width="9" style="2917" customWidth="1"/>
    <col min="15623" max="15623" width="17.125" style="2917" customWidth="1"/>
    <col min="15624" max="15625" width="13.875" style="2917" customWidth="1"/>
    <col min="15626" max="15626" width="10.5" style="2917" customWidth="1"/>
    <col min="15627" max="15627" width="9" style="2917" customWidth="1"/>
    <col min="15628" max="15628" width="21.75"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6" style="2917" customWidth="1"/>
    <col min="15874" max="15874" width="6.25" style="2917" customWidth="1"/>
    <col min="15875" max="15875" width="11.75" style="2917" customWidth="1"/>
    <col min="15876" max="15876" width="4.625" style="2917" customWidth="1"/>
    <col min="15877" max="15877" width="36" style="2917" customWidth="1"/>
    <col min="15878" max="15878" width="9" style="2917" customWidth="1"/>
    <col min="15879" max="15879" width="17.125" style="2917" customWidth="1"/>
    <col min="15880" max="15881" width="13.875" style="2917" customWidth="1"/>
    <col min="15882" max="15882" width="10.5" style="2917" customWidth="1"/>
    <col min="15883" max="15883" width="9" style="2917" customWidth="1"/>
    <col min="15884" max="15884" width="21.75"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6" style="2917" customWidth="1"/>
    <col min="16130" max="16130" width="6.25" style="2917" customWidth="1"/>
    <col min="16131" max="16131" width="11.75" style="2917" customWidth="1"/>
    <col min="16132" max="16132" width="4.625" style="2917" customWidth="1"/>
    <col min="16133" max="16133" width="36" style="2917" customWidth="1"/>
    <col min="16134" max="16134" width="9" style="2917" customWidth="1"/>
    <col min="16135" max="16135" width="17.125" style="2917" customWidth="1"/>
    <col min="16136" max="16137" width="13.875" style="2917" customWidth="1"/>
    <col min="16138" max="16138" width="10.5" style="2917" customWidth="1"/>
    <col min="16139" max="16139" width="9" style="2917" customWidth="1"/>
    <col min="16140" max="16140" width="21.75"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2998</v>
      </c>
      <c r="B1" s="2917" t="s">
        <v>2999</v>
      </c>
      <c r="C1" s="2917" t="s">
        <v>3000</v>
      </c>
      <c r="D1" s="2917" t="s">
        <v>3001</v>
      </c>
      <c r="E1" s="2917" t="s">
        <v>3002</v>
      </c>
      <c r="F1" s="2917" t="s">
        <v>3003</v>
      </c>
      <c r="G1" s="2917" t="s">
        <v>3004</v>
      </c>
      <c r="H1" s="2917" t="s">
        <v>3005</v>
      </c>
      <c r="I1" s="2917" t="s">
        <v>3006</v>
      </c>
      <c r="J1" s="2917" t="s">
        <v>2032</v>
      </c>
      <c r="K1" s="2917" t="s">
        <v>3007</v>
      </c>
      <c r="L1" s="2917" t="s">
        <v>3008</v>
      </c>
      <c r="M1" s="2917" t="s">
        <v>3009</v>
      </c>
      <c r="N1" s="2917" t="s">
        <v>3010</v>
      </c>
      <c r="O1" s="2917" t="s">
        <v>3011</v>
      </c>
      <c r="P1" s="2917" t="s">
        <v>3012</v>
      </c>
      <c r="Q1" s="2917" t="s">
        <v>3013</v>
      </c>
      <c r="R1" s="2917" t="s">
        <v>3014</v>
      </c>
      <c r="S1" s="2917" t="s">
        <v>3015</v>
      </c>
    </row>
    <row r="2" spans="1:19">
      <c r="A2" s="3176" t="s">
        <v>3196</v>
      </c>
      <c r="B2" s="2917" t="s">
        <v>3017</v>
      </c>
      <c r="C2" s="2917" t="s">
        <v>3018</v>
      </c>
      <c r="D2" s="2917" t="s">
        <v>2815</v>
      </c>
      <c r="E2" s="2917" t="s">
        <v>3108</v>
      </c>
      <c r="F2" s="2917" t="s">
        <v>3109</v>
      </c>
      <c r="G2" s="2917" t="s">
        <v>3033</v>
      </c>
      <c r="H2" s="2917">
        <v>5777</v>
      </c>
      <c r="I2" s="2917">
        <v>7798.95</v>
      </c>
      <c r="J2" s="2917" t="s">
        <v>3073</v>
      </c>
      <c r="K2" s="2917" t="s">
        <v>3110</v>
      </c>
      <c r="L2" s="2917" t="s">
        <v>3111</v>
      </c>
      <c r="M2" s="2917" t="s">
        <v>3112</v>
      </c>
      <c r="N2" s="2917">
        <v>5233.1000000000004</v>
      </c>
      <c r="O2" s="2917">
        <v>603.9</v>
      </c>
      <c r="P2" s="2917">
        <v>6710.01</v>
      </c>
      <c r="Q2" s="2917">
        <v>162.56</v>
      </c>
      <c r="R2" s="2917" t="s">
        <v>3025</v>
      </c>
      <c r="S2" s="2917" t="s">
        <v>3082</v>
      </c>
    </row>
    <row r="3" spans="1:19">
      <c r="A3" s="3176" t="s">
        <v>3197</v>
      </c>
      <c r="B3" s="2917" t="s">
        <v>3017</v>
      </c>
      <c r="C3" s="2917" t="s">
        <v>3018</v>
      </c>
      <c r="D3" s="2917" t="s">
        <v>2815</v>
      </c>
      <c r="E3" s="2917" t="s">
        <v>3113</v>
      </c>
      <c r="F3" s="2917" t="s">
        <v>3114</v>
      </c>
      <c r="G3" s="2917" t="s">
        <v>3033</v>
      </c>
      <c r="H3" s="2917">
        <v>6048</v>
      </c>
      <c r="I3" s="2917">
        <v>16329.6</v>
      </c>
      <c r="J3" s="2917" t="s">
        <v>3115</v>
      </c>
      <c r="K3" s="2917" t="s">
        <v>3116</v>
      </c>
      <c r="L3" s="2917" t="s">
        <v>3117</v>
      </c>
      <c r="M3" s="2917" t="s">
        <v>3118</v>
      </c>
      <c r="N3" s="2917">
        <v>9275.2000000000007</v>
      </c>
      <c r="O3" s="2917">
        <v>1022.4</v>
      </c>
      <c r="P3" s="2917">
        <v>5680</v>
      </c>
      <c r="Q3" s="2917">
        <v>0</v>
      </c>
      <c r="R3" s="2917" t="s">
        <v>3025</v>
      </c>
      <c r="S3" s="2917" t="s">
        <v>3071</v>
      </c>
    </row>
    <row r="4" spans="1:19" s="3175" customFormat="1">
      <c r="A4" s="3175" t="s">
        <v>3205</v>
      </c>
      <c r="B4" s="3175" t="s">
        <v>3017</v>
      </c>
      <c r="C4" s="3175" t="s">
        <v>3018</v>
      </c>
      <c r="D4" s="3175" t="s">
        <v>2815</v>
      </c>
      <c r="E4" s="3175" t="s">
        <v>3034</v>
      </c>
      <c r="F4" s="3175" t="s">
        <v>3119</v>
      </c>
      <c r="G4" s="3175" t="s">
        <v>3033</v>
      </c>
      <c r="H4" s="3175">
        <v>14233</v>
      </c>
      <c r="I4" s="3175">
        <v>15656.3</v>
      </c>
      <c r="J4" s="3175" t="s">
        <v>3036</v>
      </c>
      <c r="K4" s="3175" t="s">
        <v>3116</v>
      </c>
      <c r="L4" s="3175" t="s">
        <v>3120</v>
      </c>
      <c r="M4" s="3175" t="s">
        <v>3118</v>
      </c>
      <c r="N4" s="3175">
        <v>5620.6</v>
      </c>
      <c r="O4" s="3175">
        <v>263.27</v>
      </c>
      <c r="P4" s="3175">
        <v>3590</v>
      </c>
      <c r="Q4" s="3175">
        <v>0</v>
      </c>
      <c r="R4" s="3175" t="s">
        <v>3025</v>
      </c>
      <c r="S4" s="3175" t="s">
        <v>3071</v>
      </c>
    </row>
    <row r="5" spans="1:19" s="3175" customFormat="1">
      <c r="A5" s="3175" t="s">
        <v>3198</v>
      </c>
      <c r="B5" s="3175" t="s">
        <v>3017</v>
      </c>
      <c r="C5" s="3175" t="s">
        <v>3018</v>
      </c>
      <c r="D5" s="3175" t="s">
        <v>2815</v>
      </c>
      <c r="E5" s="3175" t="s">
        <v>3121</v>
      </c>
      <c r="F5" s="3175" t="s">
        <v>3122</v>
      </c>
      <c r="G5" s="3175" t="s">
        <v>3033</v>
      </c>
      <c r="H5" s="3175">
        <v>5357</v>
      </c>
      <c r="I5" s="3175">
        <v>8571.2000000000007</v>
      </c>
      <c r="J5" s="3175" t="s">
        <v>3123</v>
      </c>
      <c r="K5" s="3175" t="s">
        <v>3124</v>
      </c>
      <c r="L5" s="3175" t="s">
        <v>3125</v>
      </c>
      <c r="M5" s="3175" t="s">
        <v>3118</v>
      </c>
      <c r="N5" s="3175">
        <v>2957.05</v>
      </c>
      <c r="O5" s="3175">
        <v>368</v>
      </c>
      <c r="P5" s="3175">
        <v>3450</v>
      </c>
      <c r="Q5" s="3175">
        <v>0</v>
      </c>
      <c r="R5" s="3175" t="s">
        <v>3025</v>
      </c>
      <c r="S5" s="3175" t="s">
        <v>3071</v>
      </c>
    </row>
    <row r="6" spans="1:19" s="3175" customFormat="1">
      <c r="A6" s="3175" t="s">
        <v>3206</v>
      </c>
      <c r="B6" s="3175" t="s">
        <v>3017</v>
      </c>
      <c r="C6" s="3175" t="s">
        <v>3018</v>
      </c>
      <c r="D6" s="3175" t="s">
        <v>2815</v>
      </c>
      <c r="E6" s="3175" t="s">
        <v>3034</v>
      </c>
      <c r="F6" s="3175" t="s">
        <v>3035</v>
      </c>
      <c r="G6" s="3175" t="s">
        <v>3033</v>
      </c>
      <c r="H6" s="3175">
        <v>1093</v>
      </c>
      <c r="I6" s="3175">
        <v>1202.3</v>
      </c>
      <c r="J6" s="3175" t="s">
        <v>3036</v>
      </c>
      <c r="K6" s="3175" t="s">
        <v>3037</v>
      </c>
      <c r="L6" s="3175" t="s">
        <v>3038</v>
      </c>
      <c r="M6" s="3175" t="s">
        <v>3039</v>
      </c>
      <c r="N6" s="3175">
        <v>407.68</v>
      </c>
      <c r="O6" s="3175">
        <v>248.66</v>
      </c>
      <c r="P6" s="3175">
        <v>3390.92</v>
      </c>
      <c r="Q6" s="3175">
        <v>0</v>
      </c>
      <c r="R6" s="3175" t="s">
        <v>3025</v>
      </c>
      <c r="S6" s="3175" t="s">
        <v>3026</v>
      </c>
    </row>
    <row r="7" spans="1:19" s="3175" customFormat="1">
      <c r="A7" s="3175" t="s">
        <v>3207</v>
      </c>
      <c r="B7" s="3175" t="s">
        <v>3017</v>
      </c>
      <c r="C7" s="3175" t="s">
        <v>3018</v>
      </c>
      <c r="D7" s="3175" t="s">
        <v>2815</v>
      </c>
      <c r="E7" s="3175" t="s">
        <v>3151</v>
      </c>
      <c r="F7" s="3175" t="s">
        <v>3152</v>
      </c>
      <c r="G7" s="3175" t="s">
        <v>3020</v>
      </c>
      <c r="H7" s="3175">
        <v>27890</v>
      </c>
      <c r="I7" s="3175">
        <v>44624</v>
      </c>
      <c r="J7" s="3175" t="s">
        <v>3123</v>
      </c>
      <c r="K7" s="3175" t="s">
        <v>3153</v>
      </c>
      <c r="L7" s="3175" t="s">
        <v>3154</v>
      </c>
      <c r="M7" s="3175" t="s">
        <v>3155</v>
      </c>
      <c r="N7" s="3175">
        <v>12132.14</v>
      </c>
      <c r="O7" s="3175">
        <v>290</v>
      </c>
      <c r="P7" s="3175">
        <v>2718.75</v>
      </c>
      <c r="Q7" s="3175">
        <v>11.4</v>
      </c>
      <c r="R7" s="3175" t="s">
        <v>3025</v>
      </c>
      <c r="S7" s="3175" t="s">
        <v>3071</v>
      </c>
    </row>
    <row r="8" spans="1:19" hidden="1">
      <c r="A8" s="2917" t="s">
        <v>3016</v>
      </c>
      <c r="B8" s="2917" t="s">
        <v>3017</v>
      </c>
      <c r="C8" s="2917" t="s">
        <v>3018</v>
      </c>
      <c r="D8" s="2917" t="s">
        <v>2815</v>
      </c>
      <c r="E8" s="2917" t="s">
        <v>3016</v>
      </c>
      <c r="F8" s="2917" t="s">
        <v>3092</v>
      </c>
      <c r="G8" s="2917" t="s">
        <v>3020</v>
      </c>
      <c r="H8" s="2917">
        <v>88525</v>
      </c>
      <c r="I8" s="2917">
        <v>50459.25</v>
      </c>
      <c r="J8" s="2917" t="s">
        <v>3093</v>
      </c>
      <c r="K8" s="2917" t="s">
        <v>3094</v>
      </c>
      <c r="L8" s="2917" t="s">
        <v>3095</v>
      </c>
      <c r="M8" s="2917" t="s">
        <v>3096</v>
      </c>
      <c r="N8" s="2917">
        <v>13278.75</v>
      </c>
      <c r="O8" s="2917">
        <v>100</v>
      </c>
      <c r="P8" s="2917">
        <v>2631.57</v>
      </c>
      <c r="Q8" s="2917">
        <v>0</v>
      </c>
      <c r="R8" s="2917" t="s">
        <v>3025</v>
      </c>
      <c r="S8" s="2917" t="s">
        <v>3062</v>
      </c>
    </row>
    <row r="9" spans="1:19">
      <c r="A9" s="3176" t="s">
        <v>3199</v>
      </c>
      <c r="B9" s="2917" t="s">
        <v>3017</v>
      </c>
      <c r="C9" s="2917" t="s">
        <v>3018</v>
      </c>
      <c r="D9" s="2917" t="s">
        <v>2815</v>
      </c>
      <c r="E9" s="2917" t="s">
        <v>3055</v>
      </c>
      <c r="F9" s="2917" t="s">
        <v>3056</v>
      </c>
      <c r="G9" s="2917" t="s">
        <v>3057</v>
      </c>
      <c r="H9" s="2917">
        <v>153</v>
      </c>
      <c r="I9" s="2917">
        <v>382.5</v>
      </c>
      <c r="J9" s="2917" t="s">
        <v>3058</v>
      </c>
      <c r="K9" s="2917" t="s">
        <v>3059</v>
      </c>
      <c r="L9" s="2917" t="s">
        <v>3060</v>
      </c>
      <c r="M9" s="2917" t="s">
        <v>3061</v>
      </c>
      <c r="N9" s="2917">
        <v>82.23</v>
      </c>
      <c r="O9" s="2917">
        <v>358.3</v>
      </c>
      <c r="P9" s="2917">
        <v>2150.0700000000002</v>
      </c>
      <c r="Q9" s="2917">
        <v>0</v>
      </c>
      <c r="R9" s="2917" t="s">
        <v>3025</v>
      </c>
      <c r="S9" s="2917" t="s">
        <v>3062</v>
      </c>
    </row>
    <row r="10" spans="1:19">
      <c r="A10" s="2917" t="s">
        <v>3055</v>
      </c>
      <c r="B10" s="2917" t="s">
        <v>3017</v>
      </c>
      <c r="C10" s="2917" t="s">
        <v>3018</v>
      </c>
      <c r="D10" s="2917" t="s">
        <v>2815</v>
      </c>
      <c r="E10" s="2917" t="s">
        <v>3055</v>
      </c>
      <c r="F10" s="2917" t="s">
        <v>3063</v>
      </c>
      <c r="G10" s="2917" t="s">
        <v>3057</v>
      </c>
      <c r="H10" s="2917">
        <v>1118</v>
      </c>
      <c r="I10" s="2917">
        <v>2795</v>
      </c>
      <c r="J10" s="2917" t="s">
        <v>3058</v>
      </c>
      <c r="K10" s="2917" t="s">
        <v>3059</v>
      </c>
      <c r="L10" s="2917" t="s">
        <v>3064</v>
      </c>
      <c r="M10" s="2917" t="s">
        <v>3061</v>
      </c>
      <c r="N10" s="2917">
        <v>600.91</v>
      </c>
      <c r="O10" s="2917">
        <v>358.32</v>
      </c>
      <c r="P10" s="2917">
        <v>2149.98</v>
      </c>
      <c r="Q10" s="2917">
        <v>0</v>
      </c>
      <c r="R10" s="2917" t="s">
        <v>3025</v>
      </c>
      <c r="S10" s="2917" t="s">
        <v>3062</v>
      </c>
    </row>
    <row r="11" spans="1:19">
      <c r="A11" s="2917" t="s">
        <v>3083</v>
      </c>
      <c r="B11" s="2917" t="s">
        <v>3017</v>
      </c>
      <c r="C11" s="2917" t="s">
        <v>3018</v>
      </c>
      <c r="D11" s="2917" t="s">
        <v>2815</v>
      </c>
      <c r="E11" s="2917" t="s">
        <v>3083</v>
      </c>
      <c r="F11" s="2917" t="s">
        <v>3084</v>
      </c>
      <c r="G11" s="2917" t="s">
        <v>3020</v>
      </c>
      <c r="H11" s="2917">
        <v>20000</v>
      </c>
      <c r="I11" s="2917">
        <v>21600</v>
      </c>
      <c r="J11" s="2917" t="s">
        <v>3085</v>
      </c>
      <c r="K11" s="2917" t="s">
        <v>3086</v>
      </c>
      <c r="L11" s="2917" t="s">
        <v>3087</v>
      </c>
      <c r="M11" s="2917" t="s">
        <v>3088</v>
      </c>
      <c r="N11" s="2917">
        <v>4500</v>
      </c>
      <c r="O11" s="2917">
        <v>150</v>
      </c>
      <c r="P11" s="2917">
        <v>2083.3200000000002</v>
      </c>
      <c r="Q11" s="2917">
        <v>0</v>
      </c>
      <c r="R11" s="2917" t="s">
        <v>3025</v>
      </c>
      <c r="S11" s="2917" t="s">
        <v>3062</v>
      </c>
    </row>
    <row r="12" spans="1:19">
      <c r="A12" s="2917" t="s">
        <v>3027</v>
      </c>
      <c r="B12" s="2917" t="s">
        <v>3017</v>
      </c>
      <c r="C12" s="2917" t="s">
        <v>3018</v>
      </c>
      <c r="D12" s="2917" t="s">
        <v>2815</v>
      </c>
      <c r="E12" s="2917" t="s">
        <v>3027</v>
      </c>
      <c r="F12" s="2917" t="s">
        <v>3089</v>
      </c>
      <c r="G12" s="2917" t="s">
        <v>3020</v>
      </c>
      <c r="H12" s="2917">
        <v>19677</v>
      </c>
      <c r="I12" s="2917">
        <v>23612.400000000001</v>
      </c>
      <c r="J12" s="2917" t="s">
        <v>3029</v>
      </c>
      <c r="K12" s="2917" t="s">
        <v>3086</v>
      </c>
      <c r="L12" s="2917" t="s">
        <v>3090</v>
      </c>
      <c r="M12" s="2917" t="s">
        <v>3091</v>
      </c>
      <c r="N12" s="2917">
        <v>4279.75</v>
      </c>
      <c r="O12" s="2917">
        <v>145</v>
      </c>
      <c r="P12" s="2917">
        <v>1812.5</v>
      </c>
      <c r="Q12" s="2917">
        <v>0</v>
      </c>
      <c r="R12" s="2917" t="s">
        <v>3025</v>
      </c>
      <c r="S12" s="2917" t="s">
        <v>3062</v>
      </c>
    </row>
    <row r="13" spans="1:19">
      <c r="A13" s="2917" t="s">
        <v>3016</v>
      </c>
      <c r="B13" s="2917" t="s">
        <v>3017</v>
      </c>
      <c r="C13" s="2917" t="s">
        <v>3018</v>
      </c>
      <c r="D13" s="2917" t="s">
        <v>2815</v>
      </c>
      <c r="E13" s="2917" t="s">
        <v>3016</v>
      </c>
      <c r="F13" s="2917" t="s">
        <v>3019</v>
      </c>
      <c r="G13" s="2917" t="s">
        <v>3020</v>
      </c>
      <c r="H13" s="2917">
        <v>5684</v>
      </c>
      <c r="I13" s="2917">
        <v>5968.2</v>
      </c>
      <c r="J13" s="2917" t="s">
        <v>3021</v>
      </c>
      <c r="K13" s="2917" t="s">
        <v>3022</v>
      </c>
      <c r="L13" s="2917" t="s">
        <v>3023</v>
      </c>
      <c r="M13" s="2917" t="s">
        <v>3024</v>
      </c>
      <c r="N13" s="2917">
        <v>989.01</v>
      </c>
      <c r="O13" s="2917">
        <v>116</v>
      </c>
      <c r="P13" s="2917">
        <v>1657.15</v>
      </c>
      <c r="Q13" s="2917">
        <v>0</v>
      </c>
      <c r="R13" s="2917" t="s">
        <v>3025</v>
      </c>
      <c r="S13" s="2917" t="s">
        <v>3026</v>
      </c>
    </row>
    <row r="14" spans="1:19">
      <c r="A14" s="2917" t="s">
        <v>3040</v>
      </c>
      <c r="B14" s="2917" t="s">
        <v>3017</v>
      </c>
      <c r="C14" s="2917" t="s">
        <v>3018</v>
      </c>
      <c r="D14" s="2917" t="s">
        <v>2815</v>
      </c>
      <c r="E14" s="2917" t="s">
        <v>3040</v>
      </c>
      <c r="F14" s="2917" t="s">
        <v>3072</v>
      </c>
      <c r="G14" s="2917" t="s">
        <v>3020</v>
      </c>
      <c r="H14" s="2917">
        <v>9574</v>
      </c>
      <c r="I14" s="2917">
        <v>12924.9</v>
      </c>
      <c r="J14" s="2917" t="s">
        <v>3073</v>
      </c>
      <c r="K14" s="2917" t="s">
        <v>3068</v>
      </c>
      <c r="L14" s="2917" t="s">
        <v>3074</v>
      </c>
      <c r="M14" s="2917" t="s">
        <v>3075</v>
      </c>
      <c r="N14" s="2917">
        <v>2010.53</v>
      </c>
      <c r="O14" s="2917">
        <v>140</v>
      </c>
      <c r="P14" s="2917">
        <v>1555.55</v>
      </c>
      <c r="Q14" s="2917">
        <v>0</v>
      </c>
      <c r="R14" s="2917" t="s">
        <v>3025</v>
      </c>
      <c r="S14" s="2917" t="s">
        <v>3062</v>
      </c>
    </row>
    <row r="15" spans="1:19">
      <c r="A15" s="2917" t="s">
        <v>3042</v>
      </c>
      <c r="B15" s="2917" t="s">
        <v>3017</v>
      </c>
      <c r="C15" s="2917" t="s">
        <v>3018</v>
      </c>
      <c r="D15" s="2917" t="s">
        <v>2815</v>
      </c>
      <c r="E15" s="2917" t="s">
        <v>3042</v>
      </c>
      <c r="F15" s="2917" t="s">
        <v>3043</v>
      </c>
      <c r="G15" s="2917" t="s">
        <v>3044</v>
      </c>
      <c r="H15" s="2917">
        <v>59662</v>
      </c>
      <c r="I15" s="2917">
        <v>178986</v>
      </c>
      <c r="J15" s="2917" t="s">
        <v>3045</v>
      </c>
      <c r="K15" s="2917" t="s">
        <v>3046</v>
      </c>
      <c r="L15" s="2917" t="s">
        <v>3047</v>
      </c>
      <c r="M15" s="2917" t="s">
        <v>3048</v>
      </c>
      <c r="N15" s="2917">
        <v>26430.27</v>
      </c>
      <c r="O15" s="2917">
        <v>295.33</v>
      </c>
      <c r="P15" s="2917">
        <v>1476.67</v>
      </c>
      <c r="Q15" s="2917">
        <v>0</v>
      </c>
      <c r="R15" s="2917" t="s">
        <v>3025</v>
      </c>
      <c r="S15" s="2917" t="s">
        <v>3026</v>
      </c>
    </row>
    <row r="16" spans="1:19">
      <c r="A16" s="2917" t="s">
        <v>3027</v>
      </c>
      <c r="B16" s="2917" t="s">
        <v>3017</v>
      </c>
      <c r="C16" s="2917" t="s">
        <v>3018</v>
      </c>
      <c r="D16" s="2917" t="s">
        <v>2815</v>
      </c>
      <c r="E16" s="2917" t="s">
        <v>3027</v>
      </c>
      <c r="F16" s="2917" t="s">
        <v>3028</v>
      </c>
      <c r="G16" s="2917" t="s">
        <v>3020</v>
      </c>
      <c r="H16" s="2917">
        <v>17908</v>
      </c>
      <c r="I16" s="2917">
        <v>21489.599999999999</v>
      </c>
      <c r="J16" s="2917" t="s">
        <v>3029</v>
      </c>
      <c r="K16" s="2917" t="s">
        <v>3030</v>
      </c>
      <c r="L16" s="2917" t="s">
        <v>3031</v>
      </c>
      <c r="M16" s="2917" t="s">
        <v>3032</v>
      </c>
      <c r="N16" s="2917">
        <v>3124.94</v>
      </c>
      <c r="O16" s="2917">
        <v>116.33</v>
      </c>
      <c r="P16" s="2917">
        <v>1454.17</v>
      </c>
      <c r="Q16" s="2917">
        <v>0</v>
      </c>
      <c r="R16" s="2917" t="s">
        <v>3025</v>
      </c>
      <c r="S16" s="2917" t="s">
        <v>3026</v>
      </c>
    </row>
    <row r="17" spans="1:19">
      <c r="A17" s="2917" t="s">
        <v>3065</v>
      </c>
      <c r="B17" s="2917" t="s">
        <v>3017</v>
      </c>
      <c r="C17" s="2917" t="s">
        <v>3018</v>
      </c>
      <c r="D17" s="2917" t="s">
        <v>2815</v>
      </c>
      <c r="E17" s="2917" t="s">
        <v>3065</v>
      </c>
      <c r="F17" s="2917" t="s">
        <v>3066</v>
      </c>
      <c r="G17" s="2917" t="s">
        <v>3033</v>
      </c>
      <c r="H17" s="2917">
        <v>16610</v>
      </c>
      <c r="I17" s="2917">
        <v>31559</v>
      </c>
      <c r="J17" s="2917" t="s">
        <v>3067</v>
      </c>
      <c r="K17" s="2917" t="s">
        <v>3068</v>
      </c>
      <c r="L17" s="2917" t="s">
        <v>3069</v>
      </c>
      <c r="M17" s="2917" t="s">
        <v>3070</v>
      </c>
      <c r="N17" s="2917">
        <v>4285.38</v>
      </c>
      <c r="O17" s="2917">
        <v>172</v>
      </c>
      <c r="P17" s="2917">
        <v>1357.89</v>
      </c>
      <c r="Q17" s="2917">
        <v>0</v>
      </c>
      <c r="R17" s="2917" t="s">
        <v>3025</v>
      </c>
      <c r="S17" s="2917" t="s">
        <v>3071</v>
      </c>
    </row>
    <row r="18" spans="1:19">
      <c r="A18" s="2917" t="s">
        <v>3098</v>
      </c>
      <c r="B18" s="2917" t="s">
        <v>3017</v>
      </c>
      <c r="C18" s="2917" t="s">
        <v>3018</v>
      </c>
      <c r="D18" s="2917" t="s">
        <v>2815</v>
      </c>
      <c r="E18" s="2917" t="s">
        <v>3098</v>
      </c>
      <c r="F18" s="2917" t="s">
        <v>3099</v>
      </c>
      <c r="G18" s="2917" t="s">
        <v>3020</v>
      </c>
      <c r="H18" s="2917">
        <v>12291</v>
      </c>
      <c r="I18" s="2917">
        <v>15978.3</v>
      </c>
      <c r="J18" s="2917" t="s">
        <v>3078</v>
      </c>
      <c r="K18" s="2917" t="s">
        <v>3097</v>
      </c>
      <c r="L18" s="2917" t="s">
        <v>3100</v>
      </c>
      <c r="M18" s="2917" t="s">
        <v>3101</v>
      </c>
      <c r="N18" s="2917">
        <v>2077.17</v>
      </c>
      <c r="O18" s="2917">
        <v>112.67</v>
      </c>
      <c r="P18" s="2917">
        <v>1300</v>
      </c>
      <c r="Q18" s="2917">
        <v>0</v>
      </c>
      <c r="R18" s="2917" t="s">
        <v>3025</v>
      </c>
      <c r="S18" s="2917" t="s">
        <v>3062</v>
      </c>
    </row>
    <row r="19" spans="1:19">
      <c r="A19" s="2917" t="s">
        <v>3076</v>
      </c>
      <c r="B19" s="2917" t="s">
        <v>3017</v>
      </c>
      <c r="C19" s="2917" t="s">
        <v>3018</v>
      </c>
      <c r="D19" s="2917" t="s">
        <v>2815</v>
      </c>
      <c r="E19" s="2917" t="s">
        <v>3076</v>
      </c>
      <c r="F19" s="2917" t="s">
        <v>3077</v>
      </c>
      <c r="G19" s="2917" t="s">
        <v>3020</v>
      </c>
      <c r="H19" s="2917">
        <v>5182</v>
      </c>
      <c r="I19" s="2917">
        <v>6736.6</v>
      </c>
      <c r="J19" s="2917" t="s">
        <v>3078</v>
      </c>
      <c r="K19" s="2917" t="s">
        <v>3079</v>
      </c>
      <c r="L19" s="2917" t="s">
        <v>3080</v>
      </c>
      <c r="M19" s="2917" t="s">
        <v>3081</v>
      </c>
      <c r="N19" s="2917">
        <v>855.02</v>
      </c>
      <c r="O19" s="2917">
        <v>110</v>
      </c>
      <c r="P19" s="2917">
        <v>1269.23</v>
      </c>
      <c r="Q19" s="2917">
        <v>0</v>
      </c>
      <c r="R19" s="2917" t="s">
        <v>3025</v>
      </c>
      <c r="S19" s="2917" t="s">
        <v>3082</v>
      </c>
    </row>
    <row r="20" spans="1:19">
      <c r="A20" s="2917" t="s">
        <v>3040</v>
      </c>
      <c r="B20" s="2917" t="s">
        <v>3017</v>
      </c>
      <c r="C20" s="2917" t="s">
        <v>3018</v>
      </c>
      <c r="D20" s="2917" t="s">
        <v>2815</v>
      </c>
      <c r="E20" s="2917" t="s">
        <v>3040</v>
      </c>
      <c r="F20" s="2917" t="s">
        <v>3135</v>
      </c>
      <c r="G20" s="2917" t="s">
        <v>3020</v>
      </c>
      <c r="H20" s="2917">
        <v>2836</v>
      </c>
      <c r="I20" s="2917">
        <v>3403.2</v>
      </c>
      <c r="J20" s="2917" t="s">
        <v>3136</v>
      </c>
      <c r="K20" s="2917" t="s">
        <v>3133</v>
      </c>
      <c r="L20" s="2917" t="s">
        <v>3137</v>
      </c>
      <c r="M20" s="2917" t="s">
        <v>3134</v>
      </c>
      <c r="N20" s="2917">
        <v>419.73</v>
      </c>
      <c r="O20" s="2917">
        <v>98.67</v>
      </c>
      <c r="P20" s="2917">
        <v>1233.33</v>
      </c>
      <c r="Q20" s="2917">
        <v>0</v>
      </c>
      <c r="R20" s="2917" t="s">
        <v>3025</v>
      </c>
      <c r="S20" s="2917" t="s">
        <v>3062</v>
      </c>
    </row>
    <row r="21" spans="1:19">
      <c r="A21" s="2917" t="s">
        <v>3126</v>
      </c>
      <c r="B21" s="2917" t="s">
        <v>3017</v>
      </c>
      <c r="C21" s="2917" t="s">
        <v>3018</v>
      </c>
      <c r="D21" s="2917" t="s">
        <v>2815</v>
      </c>
      <c r="E21" s="2917" t="s">
        <v>3126</v>
      </c>
      <c r="F21" s="2917" t="s">
        <v>3172</v>
      </c>
      <c r="G21" s="2917" t="s">
        <v>3020</v>
      </c>
      <c r="H21" s="2917">
        <v>3106</v>
      </c>
      <c r="I21" s="2917">
        <v>3727.2</v>
      </c>
      <c r="J21" s="2917" t="s">
        <v>3173</v>
      </c>
      <c r="K21" s="2917" t="s">
        <v>3158</v>
      </c>
      <c r="L21" s="2917" t="s">
        <v>3174</v>
      </c>
      <c r="M21" s="2917" t="s">
        <v>3175</v>
      </c>
      <c r="N21" s="2917">
        <v>445.7</v>
      </c>
      <c r="O21" s="2917">
        <v>95.66</v>
      </c>
      <c r="P21" s="2917">
        <v>1195.82</v>
      </c>
      <c r="Q21" s="2917">
        <v>0</v>
      </c>
      <c r="R21" s="2917" t="s">
        <v>3025</v>
      </c>
      <c r="S21" s="2917" t="s">
        <v>3062</v>
      </c>
    </row>
    <row r="22" spans="1:19">
      <c r="A22" s="2917" t="s">
        <v>3102</v>
      </c>
      <c r="B22" s="2917" t="s">
        <v>3017</v>
      </c>
      <c r="C22" s="2917" t="s">
        <v>3018</v>
      </c>
      <c r="D22" s="2917" t="s">
        <v>2815</v>
      </c>
      <c r="E22" s="2917" t="s">
        <v>3102</v>
      </c>
      <c r="F22" s="2917" t="s">
        <v>3103</v>
      </c>
      <c r="G22" s="2917" t="s">
        <v>3044</v>
      </c>
      <c r="H22" s="2917">
        <v>8726</v>
      </c>
      <c r="I22" s="2917">
        <v>26178</v>
      </c>
      <c r="J22" s="2917" t="s">
        <v>3104</v>
      </c>
      <c r="K22" s="2917" t="s">
        <v>3105</v>
      </c>
      <c r="L22" s="2917" t="s">
        <v>3106</v>
      </c>
      <c r="M22" s="2917" t="s">
        <v>3107</v>
      </c>
      <c r="N22" s="2917">
        <v>3089</v>
      </c>
      <c r="O22" s="2917">
        <v>236</v>
      </c>
      <c r="P22" s="2917">
        <v>1180</v>
      </c>
      <c r="Q22" s="2917">
        <v>0</v>
      </c>
      <c r="R22" s="2917" t="s">
        <v>3025</v>
      </c>
      <c r="S22" s="2917" t="s">
        <v>3071</v>
      </c>
    </row>
    <row r="23" spans="1:19">
      <c r="A23" s="2917" t="s">
        <v>3127</v>
      </c>
      <c r="B23" s="2917" t="s">
        <v>3017</v>
      </c>
      <c r="C23" s="2917" t="s">
        <v>3018</v>
      </c>
      <c r="D23" s="2917" t="s">
        <v>2815</v>
      </c>
      <c r="E23" s="2917" t="s">
        <v>3127</v>
      </c>
      <c r="F23" s="2917" t="s">
        <v>3128</v>
      </c>
      <c r="G23" s="2917" t="s">
        <v>3020</v>
      </c>
      <c r="H23" s="2917">
        <v>24667</v>
      </c>
      <c r="I23" s="2917">
        <v>22200.3</v>
      </c>
      <c r="J23" s="2917" t="s">
        <v>3129</v>
      </c>
      <c r="K23" s="2917" t="s">
        <v>3130</v>
      </c>
      <c r="L23" s="2917" t="s">
        <v>3131</v>
      </c>
      <c r="M23" s="2917" t="s">
        <v>3132</v>
      </c>
      <c r="N23" s="2917">
        <v>2540.69</v>
      </c>
      <c r="O23" s="2917">
        <v>68.67</v>
      </c>
      <c r="P23" s="2917">
        <v>1144.44</v>
      </c>
      <c r="Q23" s="2917">
        <v>0</v>
      </c>
      <c r="R23" s="2917" t="s">
        <v>3025</v>
      </c>
      <c r="S23" s="2917" t="s">
        <v>3062</v>
      </c>
    </row>
    <row r="24" spans="1:19">
      <c r="A24" s="2917" t="s">
        <v>3040</v>
      </c>
      <c r="B24" s="2917" t="s">
        <v>3017</v>
      </c>
      <c r="C24" s="2917" t="s">
        <v>3018</v>
      </c>
      <c r="D24" s="2917" t="s">
        <v>2815</v>
      </c>
      <c r="E24" s="2917" t="s">
        <v>3040</v>
      </c>
      <c r="F24" s="2917" t="s">
        <v>3184</v>
      </c>
      <c r="G24" s="2917" t="s">
        <v>3020</v>
      </c>
      <c r="H24" s="2917">
        <v>28012</v>
      </c>
      <c r="I24" s="2917">
        <v>33614.400000000001</v>
      </c>
      <c r="J24" s="2917" t="s">
        <v>3136</v>
      </c>
      <c r="K24" s="2917" t="s">
        <v>3180</v>
      </c>
      <c r="L24" s="2917" t="s">
        <v>3185</v>
      </c>
      <c r="M24" s="2917" t="s">
        <v>3134</v>
      </c>
      <c r="N24" s="2917">
        <v>3809.63</v>
      </c>
      <c r="O24" s="2917">
        <v>90.67</v>
      </c>
      <c r="P24" s="2917">
        <v>1133.32</v>
      </c>
      <c r="Q24" s="2917">
        <v>0</v>
      </c>
      <c r="R24" s="2917" t="s">
        <v>3025</v>
      </c>
      <c r="S24" s="2917" t="s">
        <v>3062</v>
      </c>
    </row>
    <row r="25" spans="1:19">
      <c r="A25" s="2917" t="s">
        <v>3167</v>
      </c>
      <c r="B25" s="2917" t="s">
        <v>3017</v>
      </c>
      <c r="C25" s="2917" t="s">
        <v>3018</v>
      </c>
      <c r="D25" s="2917" t="s">
        <v>2815</v>
      </c>
      <c r="E25" s="2917" t="s">
        <v>3167</v>
      </c>
      <c r="F25" s="2917" t="s">
        <v>3168</v>
      </c>
      <c r="G25" s="2917" t="s">
        <v>3020</v>
      </c>
      <c r="H25" s="2917">
        <v>1330</v>
      </c>
      <c r="I25" s="2917">
        <v>1463</v>
      </c>
      <c r="J25" s="2917" t="s">
        <v>3169</v>
      </c>
      <c r="K25" s="2917" t="s">
        <v>3158</v>
      </c>
      <c r="L25" s="2917" t="s">
        <v>3170</v>
      </c>
      <c r="M25" s="2917" t="s">
        <v>3171</v>
      </c>
      <c r="N25" s="2917">
        <v>139.65</v>
      </c>
      <c r="O25" s="2917">
        <v>70</v>
      </c>
      <c r="P25" s="2917">
        <v>954.54</v>
      </c>
      <c r="Q25" s="2917">
        <v>0</v>
      </c>
      <c r="R25" s="2917" t="s">
        <v>3025</v>
      </c>
      <c r="S25" s="2917" t="s">
        <v>3062</v>
      </c>
    </row>
    <row r="26" spans="1:19">
      <c r="A26" s="2917" t="s">
        <v>3190</v>
      </c>
      <c r="B26" s="2917" t="s">
        <v>3017</v>
      </c>
      <c r="C26" s="2917" t="s">
        <v>3018</v>
      </c>
      <c r="D26" s="2917" t="s">
        <v>2815</v>
      </c>
      <c r="E26" s="2917" t="s">
        <v>3190</v>
      </c>
      <c r="F26" s="2917" t="s">
        <v>3191</v>
      </c>
      <c r="G26" s="2917" t="s">
        <v>3057</v>
      </c>
      <c r="H26" s="2917">
        <v>2467</v>
      </c>
      <c r="I26" s="2917">
        <v>3947.2</v>
      </c>
      <c r="J26" s="2917" t="s">
        <v>3192</v>
      </c>
      <c r="K26" s="2917" t="s">
        <v>3193</v>
      </c>
      <c r="L26" s="2917" t="s">
        <v>3194</v>
      </c>
      <c r="M26" s="2917" t="s">
        <v>3195</v>
      </c>
      <c r="N26" s="2917">
        <v>340.44</v>
      </c>
      <c r="O26" s="2917">
        <v>92</v>
      </c>
      <c r="P26" s="2917">
        <v>862.5</v>
      </c>
      <c r="Q26" s="2917">
        <v>0</v>
      </c>
      <c r="R26" s="2917" t="s">
        <v>3025</v>
      </c>
      <c r="S26" s="2917" t="s">
        <v>3062</v>
      </c>
    </row>
    <row r="27" spans="1:19">
      <c r="A27" s="2917" t="s">
        <v>3139</v>
      </c>
      <c r="B27" s="2917" t="s">
        <v>3017</v>
      </c>
      <c r="C27" s="2917" t="s">
        <v>3018</v>
      </c>
      <c r="D27" s="2917" t="s">
        <v>2815</v>
      </c>
      <c r="E27" s="2917" t="s">
        <v>3139</v>
      </c>
      <c r="F27" s="2917" t="s">
        <v>3140</v>
      </c>
      <c r="G27" s="2917" t="s">
        <v>3020</v>
      </c>
      <c r="H27" s="2917">
        <v>52823</v>
      </c>
      <c r="I27" s="2917">
        <v>61274.68</v>
      </c>
      <c r="J27" s="2917" t="s">
        <v>3141</v>
      </c>
      <c r="K27" s="2917" t="s">
        <v>3142</v>
      </c>
      <c r="L27" s="2917" t="s">
        <v>3143</v>
      </c>
      <c r="M27" s="2917" t="s">
        <v>3144</v>
      </c>
      <c r="N27" s="2917">
        <v>5150.2299999999996</v>
      </c>
      <c r="O27" s="2917">
        <v>65</v>
      </c>
      <c r="P27" s="2917">
        <v>840.51</v>
      </c>
      <c r="Q27" s="2917">
        <v>0</v>
      </c>
      <c r="R27" s="2917" t="s">
        <v>3025</v>
      </c>
      <c r="S27" s="2917" t="s">
        <v>3062</v>
      </c>
    </row>
    <row r="28" spans="1:19">
      <c r="A28" s="2917" t="s">
        <v>3049</v>
      </c>
      <c r="B28" s="2917" t="s">
        <v>3017</v>
      </c>
      <c r="C28" s="2917" t="s">
        <v>3018</v>
      </c>
      <c r="D28" s="2917" t="s">
        <v>2815</v>
      </c>
      <c r="E28" s="2917" t="s">
        <v>3049</v>
      </c>
      <c r="F28" s="2917" t="s">
        <v>3050</v>
      </c>
      <c r="G28" s="2917" t="s">
        <v>3041</v>
      </c>
      <c r="H28" s="2917">
        <v>4667</v>
      </c>
      <c r="I28" s="2917">
        <v>11714.17</v>
      </c>
      <c r="J28" s="2917" t="s">
        <v>3051</v>
      </c>
      <c r="K28" s="2917" t="s">
        <v>3052</v>
      </c>
      <c r="L28" s="2917" t="s">
        <v>3053</v>
      </c>
      <c r="M28" s="2917" t="s">
        <v>3054</v>
      </c>
      <c r="N28" s="2917">
        <v>945.07</v>
      </c>
      <c r="O28" s="2917">
        <v>135</v>
      </c>
      <c r="P28" s="2917">
        <v>806.77</v>
      </c>
      <c r="Q28" s="2917">
        <v>0</v>
      </c>
      <c r="R28" s="2917" t="s">
        <v>3025</v>
      </c>
      <c r="S28" s="2917" t="s">
        <v>3026</v>
      </c>
    </row>
    <row r="29" spans="1:19">
      <c r="A29" s="2917" t="s">
        <v>3178</v>
      </c>
      <c r="B29" s="2917" t="s">
        <v>3017</v>
      </c>
      <c r="C29" s="2917" t="s">
        <v>3018</v>
      </c>
      <c r="D29" s="2917" t="s">
        <v>2815</v>
      </c>
      <c r="E29" s="2917" t="s">
        <v>3178</v>
      </c>
      <c r="F29" s="2917" t="s">
        <v>3182</v>
      </c>
      <c r="G29" s="2917" t="s">
        <v>3179</v>
      </c>
      <c r="H29" s="2917">
        <v>3891</v>
      </c>
      <c r="I29" s="2917">
        <v>4669.2</v>
      </c>
      <c r="J29" s="2917" t="s">
        <v>3029</v>
      </c>
      <c r="K29" s="2917" t="s">
        <v>3180</v>
      </c>
      <c r="L29" s="2917" t="s">
        <v>3183</v>
      </c>
      <c r="M29" s="2917" t="s">
        <v>3181</v>
      </c>
      <c r="N29" s="2917">
        <v>373.54</v>
      </c>
      <c r="O29" s="2917">
        <v>64</v>
      </c>
      <c r="P29" s="2917">
        <v>800</v>
      </c>
      <c r="Q29" s="2917">
        <v>0</v>
      </c>
      <c r="R29" s="2917" t="s">
        <v>3025</v>
      </c>
      <c r="S29" s="2917" t="s">
        <v>3062</v>
      </c>
    </row>
    <row r="30" spans="1:19">
      <c r="A30" s="2917" t="s">
        <v>3138</v>
      </c>
      <c r="B30" s="2917" t="s">
        <v>3017</v>
      </c>
      <c r="C30" s="2917" t="s">
        <v>3018</v>
      </c>
      <c r="D30" s="2917" t="s">
        <v>2815</v>
      </c>
      <c r="E30" s="2917" t="s">
        <v>3138</v>
      </c>
      <c r="F30" s="2917" t="s">
        <v>3186</v>
      </c>
      <c r="G30" s="2917" t="s">
        <v>3020</v>
      </c>
      <c r="H30" s="2917">
        <v>1453</v>
      </c>
      <c r="I30" s="2917">
        <v>1743.6</v>
      </c>
      <c r="J30" s="2917" t="s">
        <v>3136</v>
      </c>
      <c r="K30" s="2917" t="s">
        <v>3187</v>
      </c>
      <c r="L30" s="2917" t="s">
        <v>3188</v>
      </c>
      <c r="M30" s="2917" t="s">
        <v>3189</v>
      </c>
      <c r="N30" s="2917">
        <v>138.75</v>
      </c>
      <c r="O30" s="2917">
        <v>63.66</v>
      </c>
      <c r="P30" s="2917">
        <v>795.82</v>
      </c>
      <c r="Q30" s="2917">
        <v>0</v>
      </c>
      <c r="R30" s="2917" t="s">
        <v>3025</v>
      </c>
      <c r="S30" s="2917" t="s">
        <v>3082</v>
      </c>
    </row>
    <row r="31" spans="1:19">
      <c r="A31" s="2917" t="s">
        <v>3145</v>
      </c>
      <c r="B31" s="2917" t="s">
        <v>3017</v>
      </c>
      <c r="C31" s="2917" t="s">
        <v>3018</v>
      </c>
      <c r="D31" s="2917" t="s">
        <v>2815</v>
      </c>
      <c r="E31" s="2917" t="s">
        <v>3145</v>
      </c>
      <c r="F31" s="2917" t="s">
        <v>3161</v>
      </c>
      <c r="G31" s="2917" t="s">
        <v>3020</v>
      </c>
      <c r="H31" s="2917">
        <v>171</v>
      </c>
      <c r="I31" s="2917">
        <v>393.3</v>
      </c>
      <c r="J31" s="2917" t="s">
        <v>3162</v>
      </c>
      <c r="K31" s="2917" t="s">
        <v>3158</v>
      </c>
      <c r="L31" s="2917" t="s">
        <v>3163</v>
      </c>
      <c r="M31" s="2917" t="s">
        <v>3160</v>
      </c>
      <c r="N31" s="2917">
        <v>25.05</v>
      </c>
      <c r="O31" s="2917">
        <v>97.66</v>
      </c>
      <c r="P31" s="2917">
        <v>636.91</v>
      </c>
      <c r="Q31" s="2917">
        <v>0</v>
      </c>
      <c r="R31" s="2917" t="s">
        <v>3025</v>
      </c>
      <c r="S31" s="2917" t="s">
        <v>3062</v>
      </c>
    </row>
    <row r="32" spans="1:19">
      <c r="A32" s="2917" t="s">
        <v>3145</v>
      </c>
      <c r="B32" s="2917" t="s">
        <v>3017</v>
      </c>
      <c r="C32" s="2917" t="s">
        <v>3018</v>
      </c>
      <c r="D32" s="2917" t="s">
        <v>2815</v>
      </c>
      <c r="E32" s="2917" t="s">
        <v>3145</v>
      </c>
      <c r="F32" s="2917" t="s">
        <v>3176</v>
      </c>
      <c r="G32" s="2917" t="s">
        <v>3020</v>
      </c>
      <c r="H32" s="2917">
        <v>171</v>
      </c>
      <c r="I32" s="2917">
        <v>393.3</v>
      </c>
      <c r="J32" s="2917" t="s">
        <v>3162</v>
      </c>
      <c r="K32" s="2917" t="s">
        <v>3158</v>
      </c>
      <c r="L32" s="2917" t="s">
        <v>3177</v>
      </c>
      <c r="M32" s="2917" t="s">
        <v>3160</v>
      </c>
      <c r="N32" s="2917">
        <v>25.05</v>
      </c>
      <c r="O32" s="2917">
        <v>97.66</v>
      </c>
      <c r="P32" s="2917">
        <v>636.91</v>
      </c>
      <c r="Q32" s="2917">
        <v>0</v>
      </c>
      <c r="R32" s="2917" t="s">
        <v>3025</v>
      </c>
      <c r="S32" s="2917" t="s">
        <v>3062</v>
      </c>
    </row>
    <row r="33" spans="1:19">
      <c r="A33" s="2917" t="s">
        <v>3145</v>
      </c>
      <c r="B33" s="2917" t="s">
        <v>3017</v>
      </c>
      <c r="C33" s="2917" t="s">
        <v>3018</v>
      </c>
      <c r="D33" s="2917" t="s">
        <v>2815</v>
      </c>
      <c r="E33" s="2917" t="s">
        <v>3145</v>
      </c>
      <c r="F33" s="2917" t="s">
        <v>3164</v>
      </c>
      <c r="G33" s="2917" t="s">
        <v>3020</v>
      </c>
      <c r="H33" s="2917">
        <v>218</v>
      </c>
      <c r="I33" s="2917">
        <v>523.20000000000005</v>
      </c>
      <c r="J33" s="2917" t="s">
        <v>3165</v>
      </c>
      <c r="K33" s="2917" t="s">
        <v>3158</v>
      </c>
      <c r="L33" s="2917" t="s">
        <v>3166</v>
      </c>
      <c r="M33" s="2917" t="s">
        <v>3160</v>
      </c>
      <c r="N33" s="2917">
        <v>32.25</v>
      </c>
      <c r="O33" s="2917">
        <v>98.62</v>
      </c>
      <c r="P33" s="2917">
        <v>616.59</v>
      </c>
      <c r="Q33" s="2917">
        <v>0</v>
      </c>
      <c r="R33" s="2917" t="s">
        <v>3025</v>
      </c>
      <c r="S33" s="2917" t="s">
        <v>3062</v>
      </c>
    </row>
    <row r="34" spans="1:19">
      <c r="A34" s="2917" t="s">
        <v>3145</v>
      </c>
      <c r="B34" s="2917" t="s">
        <v>3017</v>
      </c>
      <c r="C34" s="2917" t="s">
        <v>3018</v>
      </c>
      <c r="D34" s="2917" t="s">
        <v>2815</v>
      </c>
      <c r="E34" s="2917" t="s">
        <v>3145</v>
      </c>
      <c r="F34" s="2917" t="s">
        <v>3146</v>
      </c>
      <c r="G34" s="2917" t="s">
        <v>3020</v>
      </c>
      <c r="H34" s="2917">
        <v>44725</v>
      </c>
      <c r="I34" s="2917">
        <v>80505</v>
      </c>
      <c r="J34" s="2917" t="s">
        <v>3147</v>
      </c>
      <c r="K34" s="2917" t="s">
        <v>3148</v>
      </c>
      <c r="L34" s="2917" t="s">
        <v>3149</v>
      </c>
      <c r="M34" s="2917" t="s">
        <v>3150</v>
      </c>
      <c r="N34" s="2917">
        <v>4561.9399999999996</v>
      </c>
      <c r="O34" s="2917">
        <v>68</v>
      </c>
      <c r="P34" s="2917">
        <v>566.66</v>
      </c>
      <c r="Q34" s="2917">
        <v>0</v>
      </c>
      <c r="R34" s="2917" t="s">
        <v>3025</v>
      </c>
      <c r="S34" s="2917" t="s">
        <v>3062</v>
      </c>
    </row>
    <row r="35" spans="1:19">
      <c r="A35" s="2917" t="s">
        <v>3145</v>
      </c>
      <c r="B35" s="2917" t="s">
        <v>3017</v>
      </c>
      <c r="C35" s="2917" t="s">
        <v>3018</v>
      </c>
      <c r="D35" s="2917" t="s">
        <v>2815</v>
      </c>
      <c r="E35" s="2917" t="s">
        <v>3145</v>
      </c>
      <c r="F35" s="2917" t="s">
        <v>3156</v>
      </c>
      <c r="G35" s="2917" t="s">
        <v>3020</v>
      </c>
      <c r="H35" s="2917">
        <v>571</v>
      </c>
      <c r="I35" s="2917">
        <v>1598.8</v>
      </c>
      <c r="J35" s="2917" t="s">
        <v>3157</v>
      </c>
      <c r="K35" s="2917" t="s">
        <v>3158</v>
      </c>
      <c r="L35" s="2917" t="s">
        <v>3159</v>
      </c>
      <c r="M35" s="2917" t="s">
        <v>3160</v>
      </c>
      <c r="N35" s="2917">
        <v>86.21</v>
      </c>
      <c r="O35" s="2917">
        <v>100.65</v>
      </c>
      <c r="P35" s="2917">
        <v>539.27</v>
      </c>
      <c r="Q35" s="2917">
        <v>0</v>
      </c>
      <c r="R35" s="2917" t="s">
        <v>3025</v>
      </c>
      <c r="S35" s="2917" t="s">
        <v>3062</v>
      </c>
    </row>
  </sheetData>
  <sortState ref="A2:S51">
    <sortCondition descending="1" ref="P1"/>
  </sortState>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2038</v>
      </c>
      <c r="B1" s="3183"/>
      <c r="C1" s="3183"/>
      <c r="D1" s="3183"/>
      <c r="E1" s="3183"/>
      <c r="F1" s="3183"/>
      <c r="G1" s="3183"/>
      <c r="H1" s="3183"/>
      <c r="I1" s="3183"/>
      <c r="J1" s="3183"/>
      <c r="K1" s="3183"/>
      <c r="L1" s="3183"/>
      <c r="M1" s="3183"/>
      <c r="N1" s="3183"/>
      <c r="O1" s="3183"/>
      <c r="P1" s="3183"/>
      <c r="Q1" s="3183"/>
      <c r="R1" s="3183"/>
    </row>
    <row r="2" spans="1:18">
      <c r="A2" s="1808" t="s">
        <v>2040</v>
      </c>
      <c r="B2" s="1808"/>
      <c r="C2" s="1808"/>
      <c r="D2" s="1808"/>
      <c r="E2" s="1808"/>
      <c r="F2" s="1808"/>
      <c r="G2" s="1808"/>
      <c r="H2" s="1808"/>
      <c r="I2" s="1809"/>
      <c r="J2" s="1809"/>
      <c r="K2" s="1810" t="str">
        <f>"估价期日："&amp;TEXT(项目基本情况!D3,"yyyy年m月d日;;")</f>
        <v>估价期日：2019年1月21日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4" t="s">
        <v>2029</v>
      </c>
      <c r="B3" s="3184" t="s">
        <v>2728</v>
      </c>
      <c r="C3" s="3185" t="s">
        <v>2030</v>
      </c>
      <c r="D3" s="3184" t="s">
        <v>2732</v>
      </c>
      <c r="E3" s="3179" t="s">
        <v>2031</v>
      </c>
      <c r="F3" s="3179"/>
      <c r="G3" s="3179"/>
      <c r="H3" s="3179" t="s">
        <v>2032</v>
      </c>
      <c r="I3" s="3179"/>
      <c r="J3" s="3179"/>
      <c r="K3" s="3185" t="s">
        <v>2033</v>
      </c>
      <c r="L3" s="3185" t="s">
        <v>2034</v>
      </c>
      <c r="M3" s="3184" t="s">
        <v>2729</v>
      </c>
      <c r="N3" s="3186" t="str">
        <f>"（分摊）"&amp;项目基本情况!B16&amp;"国有建设用地使用权面积/㎡"</f>
        <v>（分摊）出让国有建设用地使用权面积/㎡</v>
      </c>
      <c r="O3" s="3184" t="s">
        <v>2063</v>
      </c>
      <c r="P3" s="3185" t="s">
        <v>2043</v>
      </c>
      <c r="Q3" s="3185" t="s">
        <v>2064</v>
      </c>
      <c r="R3" s="3185" t="s">
        <v>2035</v>
      </c>
    </row>
    <row r="4" spans="1:18" ht="36.75" customHeight="1">
      <c r="A4" s="3184"/>
      <c r="B4" s="3184"/>
      <c r="C4" s="3185"/>
      <c r="D4" s="3184"/>
      <c r="E4" s="2628" t="s">
        <v>2042</v>
      </c>
      <c r="F4" s="2628" t="s">
        <v>2741</v>
      </c>
      <c r="G4" s="2628" t="s">
        <v>2036</v>
      </c>
      <c r="H4" s="2628" t="s">
        <v>2037</v>
      </c>
      <c r="I4" s="2628" t="s">
        <v>2742</v>
      </c>
      <c r="J4" s="2628" t="s">
        <v>2036</v>
      </c>
      <c r="K4" s="3185"/>
      <c r="L4" s="3185"/>
      <c r="M4" s="3184"/>
      <c r="N4" s="3186"/>
      <c r="O4" s="3184"/>
      <c r="P4" s="3185"/>
      <c r="Q4" s="3185"/>
      <c r="R4" s="3185"/>
    </row>
    <row r="5" spans="1:18" ht="135" customHeight="1">
      <c r="A5" s="1944" t="s">
        <v>2652</v>
      </c>
      <c r="B5" s="2845" t="s">
        <v>2650</v>
      </c>
      <c r="C5" s="2627">
        <v>22</v>
      </c>
      <c r="D5" s="2626" t="s">
        <v>2651</v>
      </c>
      <c r="E5" s="1811">
        <f>项目基本情况!B12</f>
        <v>0</v>
      </c>
      <c r="F5" s="2626">
        <v>258</v>
      </c>
      <c r="G5" s="1811">
        <f>项目基本情况!B13</f>
        <v>0</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13862</v>
      </c>
      <c r="O5" s="1811">
        <f>项目基本情况!C21</f>
        <v>33268.799999999996</v>
      </c>
      <c r="P5" s="1811">
        <f ca="1">结果表!E42</f>
        <v>14589</v>
      </c>
      <c r="Q5" s="1811">
        <f ca="1">结果表!D42</f>
        <v>6079</v>
      </c>
      <c r="R5" s="1812">
        <f ca="1">结果表!C42</f>
        <v>20223</v>
      </c>
    </row>
    <row r="6" spans="1:18">
      <c r="A6" s="3180" t="str">
        <f>IF(项目基本情况!B9="市场价格","——","抵押价格")</f>
        <v>——</v>
      </c>
      <c r="B6" s="3181"/>
      <c r="C6" s="3181"/>
      <c r="D6" s="3181"/>
      <c r="E6" s="3181"/>
      <c r="F6" s="3181"/>
      <c r="G6" s="3181"/>
      <c r="H6" s="3181"/>
      <c r="I6" s="3181"/>
      <c r="J6" s="3181"/>
      <c r="K6" s="3181"/>
      <c r="L6" s="3181"/>
      <c r="M6" s="3181"/>
      <c r="N6" s="3181"/>
      <c r="O6" s="3181"/>
      <c r="P6" s="3181"/>
      <c r="Q6" s="3182"/>
      <c r="R6" s="1813" t="str">
        <f>结果表!O39</f>
        <v>——</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13" t="str">
        <f>结果表!O40</f>
        <v>——</v>
      </c>
    </row>
    <row r="8" spans="1:18">
      <c r="A8" s="3180" t="str">
        <f>IF(项目基本情况!B9="市场价格","——",项目基本情况!E9)</f>
        <v>——</v>
      </c>
      <c r="B8" s="3181"/>
      <c r="C8" s="3181"/>
      <c r="D8" s="3181"/>
      <c r="E8" s="3181"/>
      <c r="F8" s="3181"/>
      <c r="G8" s="3181"/>
      <c r="H8" s="3181"/>
      <c r="I8" s="3181"/>
      <c r="J8" s="3181"/>
      <c r="K8" s="3181"/>
      <c r="L8" s="3181"/>
      <c r="M8" s="3181"/>
      <c r="N8" s="3181"/>
      <c r="O8" s="3181"/>
      <c r="P8" s="3181"/>
      <c r="Q8" s="3182"/>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8" t="s">
        <v>2065</v>
      </c>
      <c r="B1" s="3188"/>
      <c r="C1" s="3188"/>
      <c r="D1" s="3188"/>
    </row>
    <row r="2" spans="1:4" ht="47.25" customHeight="1">
      <c r="A2" s="3189" t="str">
        <f>"1.权利限制："&amp;项目基本情况!L24&amp;"未设定租赁等其他他项权利。"</f>
        <v>1.权利限制：根据估价对象、《国有土地使用权》原件，截至估价期日，估价对象抵押权未见登记。未设定租赁等其他他项权利。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87" t="s">
        <v>2066</v>
      </c>
      <c r="B5" s="3187"/>
      <c r="C5" s="3187"/>
      <c r="D5" s="3187"/>
    </row>
    <row r="6" spans="1:4">
      <c r="A6" s="3188" t="s">
        <v>2044</v>
      </c>
      <c r="B6" s="3188"/>
      <c r="C6" s="3188"/>
      <c r="D6" s="3188"/>
    </row>
    <row r="7" spans="1:4" ht="33" customHeight="1">
      <c r="A7" s="3188" t="s">
        <v>2572</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88"/>
      <c r="C8" s="3188"/>
      <c r="D8" s="3188"/>
    </row>
    <row r="9" spans="1:4" ht="33.75" customHeight="1">
      <c r="A9" s="3188" t="str">
        <f>IF(项目基本情况!B8="抵押","3.抵押双方在办理抵押登记手续时，应使用本公司出具的正式《土地估价报告》，特提请报告使用者注意。","——")</f>
        <v>——</v>
      </c>
      <c r="B9" s="3188"/>
      <c r="C9" s="3188"/>
      <c r="D9" s="3188"/>
    </row>
    <row r="10" spans="1:4">
      <c r="A10" s="3188" t="str">
        <f>IF(项目基本情况!B8="抵押","4.估价师所知悉的法定优先受偿款情况为：","——")</f>
        <v>——</v>
      </c>
      <c r="B10" s="3188"/>
      <c r="C10" s="3188"/>
      <c r="D10" s="3188"/>
    </row>
    <row r="11" spans="1:4" ht="37.5" customHeight="1">
      <c r="A11" s="3190" t="str">
        <f>IF(项目基本情况!B8="抵押","（1）"&amp;CONCATENATE(项目基本情况!L24,项目基本情况!L25,项目基本情况!L26),"——")</f>
        <v>——</v>
      </c>
      <c r="B11" s="3190"/>
      <c r="C11" s="3190"/>
      <c r="D11" s="3190"/>
    </row>
    <row r="12" spans="1:4" ht="168" customHeight="1">
      <c r="A12" s="3187" t="s">
        <v>2068</v>
      </c>
      <c r="B12" s="3187"/>
      <c r="C12" s="3187"/>
      <c r="D12" s="3187"/>
    </row>
    <row r="13" spans="1:4">
      <c r="A13" s="3191" t="s">
        <v>2743</v>
      </c>
      <c r="B13" s="3191"/>
      <c r="C13" s="3191"/>
      <c r="D13" s="3191"/>
    </row>
    <row r="14" spans="1:4">
      <c r="A14" s="3190" t="str">
        <f>IF(项目基本情况!B8="抵押","综上，"&amp;结果表!K47,"——")</f>
        <v>——</v>
      </c>
      <c r="B14" s="3190"/>
      <c r="C14" s="3190"/>
      <c r="D14" s="3190"/>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2699</v>
      </c>
      <c r="B17" s="3188"/>
      <c r="C17" s="3188"/>
      <c r="D17" s="3188"/>
    </row>
    <row r="18" spans="1:4">
      <c r="A18" s="3188" t="s">
        <v>2691</v>
      </c>
      <c r="B18" s="3188"/>
      <c r="C18" s="3188"/>
      <c r="D18" s="3188"/>
    </row>
    <row r="19" spans="1:4">
      <c r="A19" s="2846" t="s">
        <v>2692</v>
      </c>
      <c r="B19" s="2846" t="s">
        <v>2693</v>
      </c>
      <c r="C19" s="2846" t="s">
        <v>2694</v>
      </c>
      <c r="D19" s="2846" t="s">
        <v>2695</v>
      </c>
    </row>
    <row r="20" spans="1:4">
      <c r="A20" s="2846" t="str">
        <f>项目基本情况!B4</f>
        <v>王鹏</v>
      </c>
      <c r="B20" s="2846">
        <f ca="1">项目基本情况!C4</f>
        <v>2002110030</v>
      </c>
      <c r="C20" s="2848"/>
      <c r="D20" s="1801" t="s">
        <v>2700</v>
      </c>
    </row>
    <row r="21" spans="1:4">
      <c r="A21" s="2846" t="str">
        <f>项目基本情况!D4</f>
        <v>郑燚</v>
      </c>
      <c r="B21" s="2846">
        <f ca="1">项目基本情况!E4</f>
        <v>2014110011</v>
      </c>
      <c r="C21" s="2848"/>
      <c r="D21" s="1801" t="s">
        <v>2701</v>
      </c>
    </row>
    <row r="23" spans="1:4">
      <c r="A23" s="3188" t="s">
        <v>2696</v>
      </c>
      <c r="B23" s="3188"/>
      <c r="C23" s="3188"/>
      <c r="D23" s="3188"/>
    </row>
    <row r="24" spans="1:4">
      <c r="A24" s="2846" t="s">
        <v>2692</v>
      </c>
      <c r="B24" s="2846" t="s">
        <v>2697</v>
      </c>
      <c r="C24" s="2846" t="s">
        <v>2694</v>
      </c>
      <c r="D24" s="2846" t="s">
        <v>2695</v>
      </c>
    </row>
    <row r="25" spans="1:4">
      <c r="A25" s="2849" t="s">
        <v>2698</v>
      </c>
      <c r="B25" s="2846" t="s">
        <v>951</v>
      </c>
      <c r="C25" s="2848"/>
      <c r="D25" s="1801" t="s">
        <v>2701</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199" t="s">
        <v>53</v>
      </c>
      <c r="B15" s="3200" t="s">
        <v>845</v>
      </c>
      <c r="C15" s="3196"/>
    </row>
    <row r="16" spans="1:7" ht="14.25">
      <c r="A16" s="3199"/>
      <c r="B16" s="3197" t="s">
        <v>54</v>
      </c>
      <c r="C16" s="1172" t="s">
        <v>53</v>
      </c>
    </row>
    <row r="17" spans="1:3" ht="14.25">
      <c r="A17" s="3199"/>
      <c r="B17" s="3197"/>
      <c r="C17" s="1172" t="s">
        <v>55</v>
      </c>
    </row>
    <row r="18" spans="1:3" ht="14.25">
      <c r="A18" s="3199"/>
      <c r="B18" s="3197"/>
      <c r="C18" s="1172" t="s">
        <v>56</v>
      </c>
    </row>
    <row r="19" spans="1:3" ht="14.25">
      <c r="A19" s="3199"/>
      <c r="B19" s="3195" t="s">
        <v>57</v>
      </c>
      <c r="C19" s="3196"/>
    </row>
    <row r="20" spans="1:3" ht="14.25">
      <c r="A20" s="1173" t="s">
        <v>58</v>
      </c>
      <c r="B20" s="1174"/>
      <c r="C20" s="1175"/>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6" t="s">
        <v>836</v>
      </c>
    </row>
    <row r="25" spans="1:3" ht="14.25">
      <c r="A25" s="3198"/>
      <c r="B25" s="3202"/>
      <c r="C25" s="1176" t="s">
        <v>837</v>
      </c>
    </row>
    <row r="26" spans="1:3" ht="14.25">
      <c r="A26" s="3198"/>
      <c r="B26" s="3202"/>
      <c r="C26" s="1176" t="s">
        <v>838</v>
      </c>
    </row>
    <row r="27" spans="1:3" ht="14.25">
      <c r="A27" s="3198"/>
      <c r="B27" s="3202"/>
      <c r="C27" s="1176" t="s">
        <v>839</v>
      </c>
    </row>
    <row r="28" spans="1:3" ht="14.25">
      <c r="A28" s="3198"/>
      <c r="B28" s="3202"/>
      <c r="C28" s="1176" t="s">
        <v>840</v>
      </c>
    </row>
    <row r="29" spans="1:3" ht="14.25">
      <c r="A29" s="3198"/>
      <c r="B29" s="3202"/>
      <c r="C29" s="1176" t="s">
        <v>841</v>
      </c>
    </row>
    <row r="30" spans="1:3" ht="14.25">
      <c r="A30" s="3198"/>
      <c r="B30" s="3202"/>
      <c r="C30" s="1176" t="s">
        <v>842</v>
      </c>
    </row>
    <row r="31" spans="1:3" ht="14.25">
      <c r="A31" s="3198"/>
      <c r="B31" s="3202"/>
      <c r="C31" s="1176" t="s">
        <v>843</v>
      </c>
    </row>
    <row r="32" spans="1:3" ht="14.25">
      <c r="A32" s="3198"/>
      <c r="B32" s="3202"/>
      <c r="C32" s="1176" t="s">
        <v>1646</v>
      </c>
    </row>
    <row r="33" spans="1:3" ht="14.25">
      <c r="A33" s="3198"/>
      <c r="B33" s="3192" t="s">
        <v>1652</v>
      </c>
      <c r="C33" s="1176" t="s">
        <v>1647</v>
      </c>
    </row>
    <row r="34" spans="1:3" ht="14.25">
      <c r="A34" s="3198"/>
      <c r="B34" s="3193"/>
      <c r="C34" s="1181" t="s">
        <v>1648</v>
      </c>
    </row>
    <row r="35" spans="1:3" ht="14.25">
      <c r="A35" s="3198"/>
      <c r="B35" s="3193"/>
      <c r="C35" s="1182" t="s">
        <v>1649</v>
      </c>
    </row>
    <row r="36" spans="1:3" ht="14.25">
      <c r="A36" s="3198"/>
      <c r="B36" s="3193"/>
      <c r="C36" s="1182" t="s">
        <v>1650</v>
      </c>
    </row>
    <row r="37" spans="1:3" ht="14.25">
      <c r="A37" s="3198"/>
      <c r="B37" s="319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1907</v>
      </c>
      <c r="B2" s="3152">
        <f ca="1">TODAY()</f>
        <v>43493</v>
      </c>
      <c r="C2" s="3153" t="s">
        <v>1908</v>
      </c>
      <c r="D2" s="3153"/>
    </row>
    <row r="3" spans="1:6" ht="20.25" customHeight="1">
      <c r="A3" s="3155" t="s">
        <v>1909</v>
      </c>
      <c r="B3" s="3156" t="s">
        <v>1910</v>
      </c>
      <c r="C3" s="3156" t="s">
        <v>1911</v>
      </c>
      <c r="D3" s="3157" t="s">
        <v>1912</v>
      </c>
      <c r="E3" s="3156" t="s">
        <v>1913</v>
      </c>
      <c r="F3" s="3156" t="s">
        <v>1911</v>
      </c>
    </row>
    <row r="4" spans="1:6" ht="20.25" customHeight="1">
      <c r="A4" s="3156" t="s">
        <v>1914</v>
      </c>
      <c r="B4" s="3156">
        <f ca="1">IF(C4&lt;B2,"已过期",1119970066)</f>
        <v>1119970066</v>
      </c>
      <c r="C4" s="3158">
        <v>43849</v>
      </c>
      <c r="D4" s="3156" t="s">
        <v>1914</v>
      </c>
      <c r="E4" s="3156">
        <f ca="1">IF(F4&lt;B2,"已过期",96010014)</f>
        <v>96010014</v>
      </c>
      <c r="F4" s="3159">
        <v>47118</v>
      </c>
    </row>
    <row r="5" spans="1:6" ht="20.25" customHeight="1">
      <c r="A5" s="3156" t="s">
        <v>1915</v>
      </c>
      <c r="B5" s="3156">
        <f ca="1">IF(C5&lt;B2,"已过期",1119970074)</f>
        <v>1119970074</v>
      </c>
      <c r="C5" s="3158">
        <v>43849</v>
      </c>
      <c r="D5" s="3156" t="s">
        <v>1915</v>
      </c>
      <c r="E5" s="3156">
        <f ca="1">IF(F5&lt;B2,"已过期",2002110027)</f>
        <v>2002110027</v>
      </c>
      <c r="F5" s="3159">
        <v>46752</v>
      </c>
    </row>
    <row r="6" spans="1:6" ht="20.25" customHeight="1">
      <c r="A6" s="3156" t="s">
        <v>1916</v>
      </c>
      <c r="B6" s="3156">
        <f ca="1">IF(C6&lt;B2,"已过期",1119970111)</f>
        <v>1119970111</v>
      </c>
      <c r="C6" s="3158">
        <v>43849</v>
      </c>
      <c r="D6" s="3156" t="s">
        <v>1916</v>
      </c>
      <c r="E6" s="3156">
        <f ca="1">IF(F6&lt;B2,"已过期",94010078)</f>
        <v>94010078</v>
      </c>
      <c r="F6" s="3159">
        <v>46387</v>
      </c>
    </row>
    <row r="7" spans="1:6" ht="20.25" customHeight="1">
      <c r="A7" s="3156" t="s">
        <v>1917</v>
      </c>
      <c r="B7" s="3156">
        <f ca="1">IF(C7&lt;B2,"已过期",1120050019)</f>
        <v>1120050019</v>
      </c>
      <c r="C7" s="3158">
        <v>44395</v>
      </c>
      <c r="D7" s="3156" t="s">
        <v>1917</v>
      </c>
      <c r="E7" s="3156">
        <f ca="1">IF(F7&lt;B2,"已过期",2002110030)</f>
        <v>2002110030</v>
      </c>
      <c r="F7" s="3159">
        <v>46387</v>
      </c>
    </row>
    <row r="8" spans="1:6" ht="20.25" customHeight="1">
      <c r="A8" s="3156" t="s">
        <v>1918</v>
      </c>
      <c r="B8" s="3156">
        <f ca="1">IF(C8&lt;B2,"已过期",1120000080)</f>
        <v>1120000080</v>
      </c>
      <c r="C8" s="3158">
        <v>43849</v>
      </c>
      <c r="D8" s="3156" t="s">
        <v>1918</v>
      </c>
      <c r="E8" s="3156">
        <f ca="1">IF(F8&lt;B2,"已过期",2000110082)</f>
        <v>2000110082</v>
      </c>
      <c r="F8" s="3159">
        <v>46387</v>
      </c>
    </row>
    <row r="9" spans="1:6" ht="20.25" customHeight="1">
      <c r="A9" s="3156" t="s">
        <v>1919</v>
      </c>
      <c r="B9" s="3156">
        <f ca="1">IF(C9&lt;B2,"已过期",1419970001)</f>
        <v>1419970001</v>
      </c>
      <c r="C9" s="3158">
        <v>43867</v>
      </c>
      <c r="D9" s="3156" t="s">
        <v>1919</v>
      </c>
      <c r="E9" s="3156">
        <f ca="1">IF(F9&lt;B2,"已过期",2002110125)</f>
        <v>2002110125</v>
      </c>
      <c r="F9" s="3159">
        <v>47118</v>
      </c>
    </row>
    <row r="10" spans="1:6" ht="20.25" customHeight="1">
      <c r="A10" s="3156" t="s">
        <v>1920</v>
      </c>
      <c r="B10" s="3156" t="str">
        <f ca="1">IF(C10&lt;B2,"已过期",1120060040)</f>
        <v>已过期</v>
      </c>
      <c r="C10" s="3158">
        <v>43483</v>
      </c>
      <c r="D10" s="3156" t="s">
        <v>1920</v>
      </c>
      <c r="E10" s="3156">
        <f ca="1">IF(F10&lt;B2,"已过期",2004110096)</f>
        <v>2004110096</v>
      </c>
      <c r="F10" s="3159">
        <v>47118</v>
      </c>
    </row>
    <row r="11" spans="1:6" ht="20.25" customHeight="1">
      <c r="A11" s="3156" t="s">
        <v>1921</v>
      </c>
      <c r="B11" s="3156">
        <f ca="1">IF(C11&lt;B2,"已过期",1120100036)</f>
        <v>1120100036</v>
      </c>
      <c r="C11" s="3158">
        <v>43622</v>
      </c>
      <c r="D11" s="3156" t="s">
        <v>1921</v>
      </c>
      <c r="E11" s="3156">
        <f ca="1">IF(F11&lt;B2,"已过期",2010110070)</f>
        <v>2010110070</v>
      </c>
      <c r="F11" s="3159">
        <v>47907</v>
      </c>
    </row>
    <row r="12" spans="1:6" ht="20.25" customHeight="1">
      <c r="A12" s="3156"/>
      <c r="B12" s="3156"/>
      <c r="C12" s="3158"/>
      <c r="D12" s="3156"/>
      <c r="E12" s="3156"/>
      <c r="F12" s="3159"/>
    </row>
    <row r="13" spans="1:6" ht="20.25" customHeight="1">
      <c r="A13" s="3156" t="s">
        <v>1922</v>
      </c>
      <c r="B13" s="3156">
        <f ca="1">IF(C13&lt;B2,"已过期",1120070131)</f>
        <v>1120070131</v>
      </c>
      <c r="C13" s="3158">
        <v>43814</v>
      </c>
      <c r="D13" s="3156" t="s">
        <v>1922</v>
      </c>
      <c r="E13" s="3156">
        <f ca="1">IF(F13&lt;B2,"已过期",2014110011)</f>
        <v>2014110011</v>
      </c>
      <c r="F13" s="3159">
        <v>49302</v>
      </c>
    </row>
    <row r="14" spans="1:6" ht="20.25" customHeight="1">
      <c r="A14" s="3156" t="s">
        <v>2980</v>
      </c>
      <c r="B14" s="3156">
        <f ca="1">IF(C14&lt;B2,"已过期",1120040230)</f>
        <v>1120040230</v>
      </c>
      <c r="C14" s="3160">
        <v>43835</v>
      </c>
      <c r="D14" s="3161" t="s">
        <v>2981</v>
      </c>
      <c r="E14" s="3156">
        <f ca="1">IF(F14&lt;B2,"已过期",98030020)</f>
        <v>98030020</v>
      </c>
      <c r="F14" s="3159">
        <v>47118</v>
      </c>
    </row>
    <row r="15" spans="1:6" ht="20.25" customHeight="1">
      <c r="A15" s="3156" t="s">
        <v>2571</v>
      </c>
      <c r="B15" s="3156">
        <f ca="1">IF(C15&lt;B2,"已过期",1120070085)</f>
        <v>1120070085</v>
      </c>
      <c r="C15" s="3160">
        <v>43814</v>
      </c>
      <c r="D15" s="3156" t="s">
        <v>2982</v>
      </c>
      <c r="E15" s="3156">
        <f ca="1">IF(F15&lt;B2,"已过期",2004110128)</f>
        <v>2004110128</v>
      </c>
      <c r="F15" s="3162">
        <v>47118</v>
      </c>
    </row>
    <row r="16" spans="1:6" ht="20.25" customHeight="1">
      <c r="A16" s="3156" t="s">
        <v>1923</v>
      </c>
      <c r="B16" s="3156">
        <f ca="1">IF(C16&lt;B2,"已过期",1120140022)</f>
        <v>1120140022</v>
      </c>
      <c r="C16" s="3158">
        <v>44029</v>
      </c>
      <c r="D16" s="3156" t="s">
        <v>2983</v>
      </c>
      <c r="E16" s="3156">
        <f ca="1">IF(F16&lt;B2,"已过期",2008110059)</f>
        <v>2008110059</v>
      </c>
      <c r="F16" s="3159">
        <v>47177</v>
      </c>
    </row>
    <row r="17" spans="1:7" ht="20.25" customHeight="1">
      <c r="A17" s="3156"/>
      <c r="B17" s="3156"/>
      <c r="C17" s="3158"/>
      <c r="D17" s="3161" t="s">
        <v>2984</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1924</v>
      </c>
      <c r="E21" s="3156">
        <f ca="1">IF(F21&lt;B2,"已过期",2011110090)</f>
        <v>2011110090</v>
      </c>
      <c r="F21" s="3159">
        <v>48302</v>
      </c>
    </row>
    <row r="22" spans="1:7" ht="20.25" customHeight="1">
      <c r="A22" s="3156" t="s">
        <v>1925</v>
      </c>
      <c r="B22" s="3156">
        <f ca="1">IF(C22&lt;B2,"已过期",1120020033)</f>
        <v>1120020033</v>
      </c>
      <c r="C22" s="3158">
        <v>44339</v>
      </c>
      <c r="D22" s="3156" t="s">
        <v>1925</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2053</v>
      </c>
      <c r="B24" s="3155" t="s">
        <v>2053</v>
      </c>
      <c r="C24" s="3158"/>
      <c r="D24" s="3163" t="s">
        <v>2053</v>
      </c>
      <c r="E24" s="3155" t="s">
        <v>2053</v>
      </c>
      <c r="F24" s="3162"/>
    </row>
    <row r="25" spans="1:7" ht="20.25" customHeight="1">
      <c r="A25" s="3203" t="s">
        <v>1926</v>
      </c>
      <c r="B25" s="3203"/>
      <c r="C25" s="3203"/>
      <c r="D25" s="3203"/>
      <c r="E25" s="3203"/>
      <c r="F25" s="3203"/>
      <c r="G25" s="3203"/>
    </row>
    <row r="26" spans="1:7" ht="20.25" customHeight="1">
      <c r="A26" s="3204" t="s">
        <v>1927</v>
      </c>
      <c r="B26" s="3204"/>
      <c r="C26" s="3204"/>
      <c r="D26" s="3204" t="s">
        <v>1928</v>
      </c>
      <c r="E26" s="3204"/>
      <c r="F26" s="3204"/>
    </row>
    <row r="27" spans="1:7" s="3151" customFormat="1" ht="20.25" customHeight="1">
      <c r="A27" s="3165" t="s">
        <v>1929</v>
      </c>
      <c r="B27" s="3166" t="s">
        <v>1930</v>
      </c>
      <c r="C27" s="3166" t="s">
        <v>1931</v>
      </c>
      <c r="D27" s="3156" t="s">
        <v>1929</v>
      </c>
      <c r="E27" s="3166" t="s">
        <v>1930</v>
      </c>
      <c r="F27" s="3166" t="s">
        <v>1931</v>
      </c>
    </row>
    <row r="28" spans="1:7" s="3151" customFormat="1" ht="20.25" customHeight="1">
      <c r="A28" s="3167" t="s">
        <v>1932</v>
      </c>
      <c r="B28" s="3167" t="s">
        <v>1933</v>
      </c>
      <c r="C28" s="3159">
        <v>43725</v>
      </c>
      <c r="D28" s="3167" t="s">
        <v>1934</v>
      </c>
      <c r="E28" s="3167" t="s">
        <v>1935</v>
      </c>
      <c r="F28" s="3168">
        <v>44377</v>
      </c>
    </row>
    <row r="29" spans="1:7" s="3151" customFormat="1" ht="20.25" customHeight="1">
      <c r="A29" s="3167"/>
      <c r="B29" s="3167"/>
      <c r="C29" s="3169"/>
      <c r="D29" s="3167" t="s">
        <v>1936</v>
      </c>
      <c r="E29" s="3170" t="s">
        <v>2942</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88" t="s">
        <v>2954</v>
      </c>
      <c r="C18" s="1555"/>
    </row>
    <row r="19" spans="1:3">
      <c r="A19" s="8" t="s">
        <v>120</v>
      </c>
      <c r="B19" s="3088" t="s">
        <v>2962</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05"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c r="D53" s="1768"/>
      <c r="E53" s="1768"/>
    </row>
    <row r="54" spans="1:5">
      <c r="A54" s="3205"/>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5"/>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5"/>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5"/>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2019-01-28T08:47:15Z</dcterms:modified>
</cp:coreProperties>
</file>