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5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7.20 (2)" sheetId="87"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系统读取表" sheetId="74" r:id="rId19"/>
    <sheet name="成本法" sheetId="68" r:id="rId20"/>
    <sheet name="成本法 (元)" sheetId="69" state="hidden" r:id="rId21"/>
    <sheet name="土地比较法-住宅、综合" sheetId="39" r:id="rId22"/>
    <sheet name="土地案例" sheetId="77" r:id="rId23"/>
    <sheet name="假设开发法" sheetId="12" r:id="rId24"/>
    <sheet name="比较法-住宅" sheetId="21" r:id="rId25"/>
    <sheet name="收益法" sheetId="15" r:id="rId26"/>
    <sheet name="收益法 (元)" sheetId="67" state="hidden" r:id="rId27"/>
    <sheet name="收益法（汇总）" sheetId="70" state="hidden" r:id="rId28"/>
    <sheet name="酒店收入计算" sheetId="66" state="hidden" r:id="rId29"/>
    <sheet name="收益法会所"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已投" sheetId="83" r:id="rId48"/>
    <sheet name="抵押物清单" sheetId="84" state="hidden" r:id="rId49"/>
    <sheet name="抵押物清单 (2)" sheetId="85" state="hidden" r:id="rId50"/>
    <sheet name="抵押物清单7.20" sheetId="86" state="hidden" r:id="rId51"/>
    <sheet name="抵押物清单9.18" sheetId="88" state="hidden" r:id="rId52"/>
    <sheet name="抵押物清单9.26" sheetId="89" r:id="rId53"/>
    <sheet name="10.26新增" sheetId="90" r:id="rId54"/>
    <sheet name="抵押物清单10.26" sheetId="91" r:id="rId55"/>
  </sheets>
  <externalReferences>
    <externalReference r:id="rId56"/>
  </externalReferences>
  <definedNames>
    <definedName name="_xlnm._FilterDatabase" localSheetId="53" hidden="1">'10.26新增'!$A$1:$G$174</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48" hidden="1">抵押物清单!$A$1:$K$726</definedName>
    <definedName name="_xlnm._FilterDatabase" localSheetId="49" hidden="1">'抵押物清单 (2)'!$A$1:$K$726</definedName>
    <definedName name="_xlnm._FilterDatabase" localSheetId="54" hidden="1">抵押物清单10.26!$A$1:$H$923</definedName>
    <definedName name="_xlnm._FilterDatabase" localSheetId="9" hidden="1">'抵押物清单7.20 (2)'!$A$1:$H$739</definedName>
    <definedName name="_xlnm._FilterDatabase" localSheetId="51" hidden="1">抵押物清单9.18!$A$1:$G$740</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19">成本法!$A$4:$G$52</definedName>
    <definedName name="_xlnm.Print_Area" localSheetId="8">估价师及机构信息!$A$1:$F$29</definedName>
    <definedName name="_xlnm.Print_Area" localSheetId="23">假设开发法!$A$4:$F$32</definedName>
    <definedName name="_xlnm.Print_Area" localSheetId="25">收益法!$A$1:$AK$69</definedName>
    <definedName name="_xlnm.Print_Area" localSheetId="26">'收益法 (元)'!$A$1:$AK$69</definedName>
    <definedName name="_xlnm.Print_Area" localSheetId="29">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924" i="91" l="1"/>
  <c r="A175" i="90"/>
  <c r="F174" i="90" l="1"/>
  <c r="I13" i="3" s="1"/>
  <c r="B23" i="1" l="1"/>
  <c r="B24" i="1"/>
  <c r="F50" i="68" s="1"/>
  <c r="F19" i="6"/>
  <c r="E19" i="6" s="1"/>
  <c r="K7" i="1"/>
  <c r="M7" i="1" s="1"/>
  <c r="K8" i="1"/>
  <c r="M8" i="1" s="1"/>
  <c r="O8" i="1" s="1"/>
  <c r="P8" i="1" s="1"/>
  <c r="K9" i="1"/>
  <c r="M9" i="1" s="1"/>
  <c r="K10" i="1"/>
  <c r="M10" i="1" s="1"/>
  <c r="O10" i="1" s="1"/>
  <c r="P10" i="1" s="1"/>
  <c r="K11" i="1"/>
  <c r="M11" i="1" s="1"/>
  <c r="K12" i="1"/>
  <c r="M12" i="1" s="1"/>
  <c r="O12" i="1" s="1"/>
  <c r="P12" i="1" s="1"/>
  <c r="K13" i="1"/>
  <c r="M13" i="1" s="1"/>
  <c r="K14" i="1"/>
  <c r="M14" i="1"/>
  <c r="O14" i="1" s="1"/>
  <c r="P14" i="1" s="1"/>
  <c r="BB13" i="3"/>
  <c r="BB5" i="3" s="1"/>
  <c r="BA13" i="3"/>
  <c r="AZ13" i="3" s="1"/>
  <c r="AZ5" i="3" s="1"/>
  <c r="E3" i="6" s="1"/>
  <c r="H13" i="3"/>
  <c r="G13" i="3" s="1"/>
  <c r="G5" i="3" s="1"/>
  <c r="B3" i="3" s="1"/>
  <c r="A3" i="3" s="1"/>
  <c r="BA5" i="3"/>
  <c r="E27" i="6" s="1"/>
  <c r="L20" i="6"/>
  <c r="L21" i="6"/>
  <c r="I5" i="3"/>
  <c r="F758" i="89"/>
  <c r="M13" i="3"/>
  <c r="K13" i="3"/>
  <c r="F756" i="89"/>
  <c r="F757" i="89"/>
  <c r="F755" i="89"/>
  <c r="F752" i="89"/>
  <c r="F757" i="88"/>
  <c r="F744" i="88"/>
  <c r="F743" i="88"/>
  <c r="F742" i="88"/>
  <c r="F740" i="88"/>
  <c r="G743" i="87"/>
  <c r="G742" i="87"/>
  <c r="G741" i="87"/>
  <c r="G744" i="87"/>
  <c r="G739" i="87"/>
  <c r="F744" i="86"/>
  <c r="F742" i="86"/>
  <c r="F743" i="86"/>
  <c r="F741" i="86"/>
  <c r="F739" i="86"/>
  <c r="D731" i="85"/>
  <c r="D730" i="85"/>
  <c r="D729" i="85"/>
  <c r="K726" i="85"/>
  <c r="H726" i="85"/>
  <c r="K515" i="85"/>
  <c r="D732" i="85"/>
  <c r="D731" i="84"/>
  <c r="D730" i="84"/>
  <c r="D729" i="84"/>
  <c r="D732" i="84"/>
  <c r="K515" i="84"/>
  <c r="H726" i="84"/>
  <c r="K726" i="84"/>
  <c r="B41" i="83"/>
  <c r="B40" i="83"/>
  <c r="C39" i="83"/>
  <c r="B39" i="83"/>
  <c r="H14" i="83"/>
  <c r="C14" i="83"/>
  <c r="H13" i="83"/>
  <c r="D12" i="83"/>
  <c r="C12" i="83"/>
  <c r="C11" i="83"/>
  <c r="H5" i="83"/>
  <c r="C40" i="83"/>
  <c r="D5" i="83"/>
  <c r="H4" i="83"/>
  <c r="C41" i="83"/>
  <c r="D3" i="83"/>
  <c r="C3" i="83"/>
  <c r="C2" i="83"/>
  <c r="Q72" i="78"/>
  <c r="F60" i="78"/>
  <c r="Q59" i="78"/>
  <c r="K59" i="78"/>
  <c r="P74" i="78"/>
  <c r="F59" i="78"/>
  <c r="Q58" i="78"/>
  <c r="Q51" i="78"/>
  <c r="J50" i="78"/>
  <c r="M47" i="78"/>
  <c r="D46" i="78"/>
  <c r="F33" i="78"/>
  <c r="F61" i="78"/>
  <c r="F32" i="78"/>
  <c r="F31" i="78"/>
  <c r="F28" i="78"/>
  <c r="F23" i="78"/>
  <c r="F21" i="78"/>
  <c r="F20" i="78"/>
  <c r="M19" i="78"/>
  <c r="M18" i="78"/>
  <c r="F18" i="78"/>
  <c r="M17" i="78"/>
  <c r="F17" i="78"/>
  <c r="F15" i="78"/>
  <c r="G1" i="78"/>
  <c r="C21" i="6"/>
  <c r="F21" i="6"/>
  <c r="F20" i="6"/>
  <c r="D23" i="78"/>
  <c r="D22" i="78"/>
  <c r="D24" i="78"/>
  <c r="P61" i="78"/>
  <c r="C20" i="6"/>
  <c r="C19" i="6"/>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74" i="67"/>
  <c r="D116" i="39"/>
  <c r="E116" i="39"/>
  <c r="F116" i="39"/>
  <c r="G116" i="39"/>
  <c r="H116" i="39"/>
  <c r="I116" i="39"/>
  <c r="J116" i="39"/>
  <c r="K116" i="39"/>
  <c r="L116" i="39"/>
  <c r="M116" i="39"/>
  <c r="C116" i="39"/>
  <c r="A21" i="62"/>
  <c r="B67" i="72"/>
  <c r="A20" i="62"/>
  <c r="A22" i="51"/>
  <c r="A21" i="51"/>
  <c r="A20" i="51"/>
  <c r="B15" i="72"/>
  <c r="A15" i="62"/>
  <c r="A14" i="62"/>
  <c r="A13" i="62"/>
  <c r="A19" i="62"/>
  <c r="A12" i="62"/>
  <c r="B58" i="72"/>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U29" i="39"/>
  <c r="J29" i="39"/>
  <c r="W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c r="H21" i="21"/>
  <c r="F38" i="69"/>
  <c r="E37" i="69"/>
  <c r="F36" i="69"/>
  <c r="F35" i="69"/>
  <c r="F21" i="69"/>
  <c r="C21" i="69"/>
  <c r="F20" i="69"/>
  <c r="E10" i="69"/>
  <c r="E9" i="69"/>
  <c r="F7" i="69"/>
  <c r="C7" i="69"/>
  <c r="AC21" i="37"/>
  <c r="W21" i="37"/>
  <c r="AC21" i="34"/>
  <c r="W21" i="34"/>
  <c r="AC21" i="33"/>
  <c r="W21" i="33"/>
  <c r="AB21" i="21"/>
  <c r="U21" i="21"/>
  <c r="J21" i="21"/>
  <c r="W21" i="21"/>
  <c r="F38" i="68"/>
  <c r="E37" i="68"/>
  <c r="F36" i="68"/>
  <c r="F35" i="68"/>
  <c r="F21" i="68"/>
  <c r="C21" i="68"/>
  <c r="F20" i="68"/>
  <c r="E10" i="68"/>
  <c r="E9" i="68"/>
  <c r="F7" i="68"/>
  <c r="Q72" i="67"/>
  <c r="Q59" i="67"/>
  <c r="Q58" i="67"/>
  <c r="Q51" i="67"/>
  <c r="J50" i="67"/>
  <c r="M47" i="67"/>
  <c r="D46" i="67"/>
  <c r="F33" i="67"/>
  <c r="F61" i="67"/>
  <c r="F23" i="67"/>
  <c r="D24" i="67" s="1"/>
  <c r="F21" i="67"/>
  <c r="F20" i="67"/>
  <c r="M19" i="67"/>
  <c r="F18" i="67"/>
  <c r="F17" i="67"/>
  <c r="F15"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9" i="1"/>
  <c r="F10" i="1"/>
  <c r="F11" i="1"/>
  <c r="F12" i="1"/>
  <c r="F13" i="1"/>
  <c r="D6" i="1"/>
  <c r="D9" i="1"/>
  <c r="D10" i="1"/>
  <c r="D11" i="1"/>
  <c r="D12" i="1"/>
  <c r="D13" i="1"/>
  <c r="D7" i="1"/>
  <c r="D8" i="1"/>
  <c r="A7" i="1"/>
  <c r="B7" i="1"/>
  <c r="E7" i="1"/>
  <c r="A8" i="1"/>
  <c r="B8" i="1"/>
  <c r="E8" i="1"/>
  <c r="A9" i="1"/>
  <c r="A10" i="1"/>
  <c r="A11" i="1"/>
  <c r="A12" i="1"/>
  <c r="A13" i="1"/>
  <c r="A6" i="1"/>
  <c r="F3" i="35"/>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G11" i="1"/>
  <c r="I15" i="4"/>
  <c r="H15" i="4"/>
  <c r="G15" i="4"/>
  <c r="E15" i="4"/>
  <c r="F8" i="1"/>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D7" i="12"/>
  <c r="E21" i="6"/>
  <c r="F23" i="15"/>
  <c r="D24" i="15" s="1"/>
  <c r="E22" i="6"/>
  <c r="E23" i="6"/>
  <c r="E24" i="6"/>
  <c r="E25" i="6"/>
  <c r="E26" i="6"/>
  <c r="BC13" i="3"/>
  <c r="BC5" i="3"/>
  <c r="BD13" i="3"/>
  <c r="BD5"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5"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G12" i="1"/>
  <c r="J55" i="9"/>
  <c r="B31" i="1"/>
  <c r="E19" i="68"/>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1" i="21"/>
  <c r="F81" i="21"/>
  <c r="H19" i="21"/>
  <c r="D77" i="21"/>
  <c r="E77" i="21"/>
  <c r="F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c r="AC37" i="39"/>
  <c r="W37" i="39"/>
  <c r="H41" i="39"/>
  <c r="AB41" i="39"/>
  <c r="AB34" i="39"/>
  <c r="W14" i="39"/>
  <c r="W9" i="39"/>
  <c r="W8" i="39"/>
  <c r="J19" i="40"/>
  <c r="AC19" i="40"/>
  <c r="J50" i="40"/>
  <c r="H103" i="9"/>
  <c r="D8" i="53"/>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S13" i="1"/>
  <c r="AR13" i="1" s="1"/>
  <c r="R13" i="1"/>
  <c r="S11" i="1"/>
  <c r="AQ11" i="1" s="1"/>
  <c r="R11" i="1"/>
  <c r="S9" i="1"/>
  <c r="AR9" i="1" s="1"/>
  <c r="R9" i="1"/>
  <c r="J51" i="67"/>
  <c r="C42" i="1"/>
  <c r="C28" i="78"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W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c r="S23" i="21"/>
  <c r="AA14" i="21"/>
  <c r="AB8" i="21"/>
  <c r="S8" i="21"/>
  <c r="M3" i="43"/>
  <c r="N10" i="43"/>
  <c r="M1" i="43"/>
  <c r="M8" i="43"/>
  <c r="N8" i="43"/>
  <c r="N9" i="43"/>
  <c r="D120" i="9"/>
  <c r="C18" i="9"/>
  <c r="D18" i="9"/>
  <c r="F34" i="67"/>
  <c r="F62" i="67"/>
  <c r="M20" i="67"/>
  <c r="F34" i="15"/>
  <c r="F62" i="15"/>
  <c r="BL17" i="3"/>
  <c r="AZ17" i="3"/>
  <c r="BL13" i="3"/>
  <c r="G30" i="6"/>
  <c r="G31" i="6"/>
  <c r="J56" i="9"/>
  <c r="J57" i="9"/>
  <c r="J59" i="9"/>
  <c r="J61" i="9"/>
  <c r="A24" i="51"/>
  <c r="B18" i="72"/>
  <c r="U29" i="34"/>
  <c r="E32" i="6"/>
  <c r="L19" i="6"/>
  <c r="G1" i="68"/>
  <c r="K1" i="12"/>
  <c r="E28" i="6"/>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T35" i="4"/>
  <c r="A19" i="51"/>
  <c r="B14" i="72"/>
  <c r="C46" i="36"/>
  <c r="D46" i="36" s="1"/>
  <c r="E46" i="36" s="1"/>
  <c r="F46" i="36" s="1"/>
  <c r="G46" i="36" s="1"/>
  <c r="C59" i="34"/>
  <c r="D59" i="34" s="1"/>
  <c r="E59" i="34" s="1"/>
  <c r="C52" i="37"/>
  <c r="D52" i="37" s="1"/>
  <c r="E52" i="37" s="1"/>
  <c r="F52" i="37" s="1"/>
  <c r="G52" i="37" s="1"/>
  <c r="H52" i="37" s="1"/>
  <c r="I52" i="37" s="1"/>
  <c r="J52" i="37" s="1"/>
  <c r="K52" i="37" s="1"/>
  <c r="L52" i="37" s="1"/>
  <c r="M52" i="37" s="1"/>
  <c r="A4" i="51"/>
  <c r="B6" i="72"/>
  <c r="C48" i="35"/>
  <c r="D48" i="35" s="1"/>
  <c r="E48" i="35" s="1"/>
  <c r="F48" i="35" s="1"/>
  <c r="G48" i="35" s="1"/>
  <c r="H48" i="35" s="1"/>
  <c r="I48" i="35" s="1"/>
  <c r="J48" i="35" s="1"/>
  <c r="K48" i="35" s="1"/>
  <c r="L48" i="35" s="1"/>
  <c r="H62" i="43"/>
  <c r="H66" i="43"/>
  <c r="H61" i="43"/>
  <c r="H65" i="43"/>
  <c r="H60" i="43"/>
  <c r="H64" i="43"/>
  <c r="H59" i="43"/>
  <c r="H63" i="43"/>
  <c r="H67" i="43"/>
  <c r="H55" i="43"/>
  <c r="H51" i="43"/>
  <c r="H56" i="43"/>
  <c r="H76" i="43"/>
  <c r="H72" i="43"/>
  <c r="H77" i="43"/>
  <c r="B6" i="1"/>
  <c r="E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c r="AA26" i="21"/>
  <c r="AB14" i="21"/>
  <c r="AB46" i="21"/>
  <c r="U40" i="21"/>
  <c r="AB31" i="21"/>
  <c r="U31" i="21"/>
  <c r="U13" i="21"/>
  <c r="AB13" i="21"/>
  <c r="W8" i="21"/>
  <c r="S35" i="21"/>
  <c r="AC19" i="21"/>
  <c r="W39" i="21"/>
  <c r="AC14" i="21"/>
  <c r="W30" i="21"/>
  <c r="S46" i="21"/>
  <c r="H45" i="21"/>
  <c r="U45" i="21"/>
  <c r="F29" i="21"/>
  <c r="S29" i="21"/>
  <c r="F13" i="21"/>
  <c r="AA13" i="21"/>
  <c r="AC38" i="21"/>
  <c r="H32" i="21"/>
  <c r="AB32" i="21"/>
  <c r="H9" i="21"/>
  <c r="AB9" i="21"/>
  <c r="J9" i="21"/>
  <c r="J32" i="21"/>
  <c r="W32" i="21"/>
  <c r="F32" i="21"/>
  <c r="AA32" i="21"/>
  <c r="AA31" i="21"/>
  <c r="W29" i="21"/>
  <c r="S9" i="21"/>
  <c r="AA9" i="21"/>
  <c r="K141" i="21"/>
  <c r="K144" i="21"/>
  <c r="K143" i="21"/>
  <c r="U27" i="21"/>
  <c r="AB25" i="21"/>
  <c r="AB44" i="21"/>
  <c r="AA30" i="21"/>
  <c r="W13" i="21"/>
  <c r="W42" i="21"/>
  <c r="AC45" i="21"/>
  <c r="F10" i="21"/>
  <c r="S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11"/>
  <c r="C48" i="11"/>
  <c r="F31" i="12"/>
  <c r="F32" i="67"/>
  <c r="F60" i="67"/>
  <c r="F32" i="15"/>
  <c r="F60" i="15"/>
  <c r="F28" i="15"/>
  <c r="C24" i="12"/>
  <c r="AA39" i="40"/>
  <c r="S39" i="40"/>
  <c r="S12" i="33"/>
  <c r="AA12" i="33"/>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c r="S13" i="21"/>
  <c r="D6" i="52"/>
  <c r="D121" i="9"/>
  <c r="D7" i="52"/>
  <c r="K120" i="9"/>
  <c r="BL5" i="3"/>
  <c r="R22" i="31"/>
  <c r="B21" i="31"/>
  <c r="O19" i="43"/>
  <c r="AP7" i="1"/>
  <c r="AB45" i="21"/>
  <c r="AC33" i="21"/>
  <c r="W33" i="21"/>
  <c r="S33" i="21"/>
  <c r="AA33" i="21"/>
  <c r="AC32" i="21"/>
  <c r="U9" i="21"/>
  <c r="W9" i="21"/>
  <c r="AC9" i="21"/>
  <c r="AA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F1" i="67"/>
  <c r="Q52" i="67"/>
  <c r="AC11" i="37"/>
  <c r="W11" i="37"/>
  <c r="W11" i="34"/>
  <c r="AC11" i="34"/>
  <c r="AE6" i="1"/>
  <c r="AG6" i="1"/>
  <c r="H109" i="9"/>
  <c r="D124" i="9"/>
  <c r="H110" i="9"/>
  <c r="D18" i="53" s="1"/>
  <c r="B35" i="72" s="1"/>
  <c r="D16" i="53"/>
  <c r="B34" i="72"/>
  <c r="F7" i="33"/>
  <c r="S7" i="33" s="1"/>
  <c r="H7" i="33"/>
  <c r="AB7" i="33" s="1"/>
  <c r="T48" i="33"/>
  <c r="G48" i="33" s="1"/>
  <c r="D59" i="9"/>
  <c r="M55" i="9"/>
  <c r="AD3" i="71"/>
  <c r="C65" i="40"/>
  <c r="G8" i="1"/>
  <c r="J51" i="15"/>
  <c r="T11" i="1"/>
  <c r="AQ12" i="1"/>
  <c r="AA41" i="39"/>
  <c r="F34" i="78"/>
  <c r="F62" i="78"/>
  <c r="M20" i="78"/>
  <c r="M20" i="15"/>
  <c r="P61" i="15"/>
  <c r="G17" i="43"/>
  <c r="C16" i="43"/>
  <c r="T13" i="1"/>
  <c r="AQ13" i="1"/>
  <c r="AR10" i="1"/>
  <c r="L27" i="6"/>
  <c r="T10" i="1"/>
  <c r="T12" i="1"/>
  <c r="AB29" i="39"/>
  <c r="H27" i="39"/>
  <c r="U27" i="39"/>
  <c r="J27" i="39"/>
  <c r="AC27" i="39"/>
  <c r="G101" i="39"/>
  <c r="F27" i="39"/>
  <c r="F99" i="39"/>
  <c r="G99" i="39"/>
  <c r="H25" i="39"/>
  <c r="F25" i="39"/>
  <c r="J25" i="39"/>
  <c r="AC23" i="39"/>
  <c r="W23" i="39"/>
  <c r="F21" i="39"/>
  <c r="AA21" i="39"/>
  <c r="F95" i="39"/>
  <c r="F91" i="39"/>
  <c r="F17" i="39"/>
  <c r="F89" i="39"/>
  <c r="F15" i="39"/>
  <c r="AA15" i="39"/>
  <c r="U42" i="39"/>
  <c r="W42" i="39"/>
  <c r="U40" i="39"/>
  <c r="AB39" i="39"/>
  <c r="S42" i="39"/>
  <c r="W39" i="39"/>
  <c r="AC29" i="39"/>
  <c r="S29" i="39"/>
  <c r="AB27" i="39"/>
  <c r="S23" i="39"/>
  <c r="U19" i="39"/>
  <c r="S19" i="39"/>
  <c r="S9" i="39"/>
  <c r="E29" i="6"/>
  <c r="F30" i="6"/>
  <c r="D68" i="9"/>
  <c r="M18" i="15"/>
  <c r="F30" i="69"/>
  <c r="C48" i="69"/>
  <c r="M18" i="67"/>
  <c r="F52" i="9"/>
  <c r="F28" i="67"/>
  <c r="C28" i="67"/>
  <c r="F30" i="68"/>
  <c r="C30" i="68"/>
  <c r="C28" i="15"/>
  <c r="D93" i="9"/>
  <c r="C30" i="11"/>
  <c r="C77" i="9"/>
  <c r="C74" i="9"/>
  <c r="C40" i="68"/>
  <c r="C40" i="69"/>
  <c r="F85" i="21"/>
  <c r="AC21" i="21"/>
  <c r="U19" i="21"/>
  <c r="AB19" i="21"/>
  <c r="F19" i="21"/>
  <c r="G81" i="21"/>
  <c r="G79" i="21"/>
  <c r="H17" i="21"/>
  <c r="F17" i="21"/>
  <c r="J17" i="21"/>
  <c r="F15" i="21"/>
  <c r="J15" i="21"/>
  <c r="G77" i="21"/>
  <c r="H15" i="21"/>
  <c r="U15" i="21"/>
  <c r="S40" i="21"/>
  <c r="H37" i="21"/>
  <c r="F37" i="21"/>
  <c r="J37" i="21"/>
  <c r="H113" i="21"/>
  <c r="G123" i="21"/>
  <c r="H123" i="21"/>
  <c r="I123" i="21"/>
  <c r="J123" i="21"/>
  <c r="K123" i="21"/>
  <c r="L123" i="21"/>
  <c r="M123" i="21"/>
  <c r="H42" i="21"/>
  <c r="AB38" i="21"/>
  <c r="S21" i="21"/>
  <c r="AA36" i="21"/>
  <c r="W36" i="21"/>
  <c r="U32" i="21"/>
  <c r="S32" i="21"/>
  <c r="AA23" i="21"/>
  <c r="U10" i="21"/>
  <c r="D10" i="52"/>
  <c r="D125" i="9"/>
  <c r="D11" i="52"/>
  <c r="H14" i="74"/>
  <c r="B7" i="74"/>
  <c r="D17" i="53"/>
  <c r="B36" i="72"/>
  <c r="B16" i="53"/>
  <c r="B33" i="72"/>
  <c r="G52" i="33"/>
  <c r="H52" i="33" s="1"/>
  <c r="U7" i="33"/>
  <c r="C70" i="39"/>
  <c r="D68" i="39"/>
  <c r="E68" i="39" s="1"/>
  <c r="F68" i="39" s="1"/>
  <c r="G68" i="39" s="1"/>
  <c r="D58" i="21"/>
  <c r="C20" i="43"/>
  <c r="F7" i="71"/>
  <c r="F6" i="71"/>
  <c r="F5" i="71"/>
  <c r="Y6" i="71"/>
  <c r="Z6" i="71"/>
  <c r="AB3" i="71"/>
  <c r="X3" i="71"/>
  <c r="C7" i="71"/>
  <c r="E7" i="71"/>
  <c r="E6" i="71"/>
  <c r="E5" i="71"/>
  <c r="AF3" i="71"/>
  <c r="P24" i="43"/>
  <c r="B66" i="40" s="1"/>
  <c r="P21" i="43"/>
  <c r="P22" i="43"/>
  <c r="K1" i="73"/>
  <c r="F59" i="15"/>
  <c r="F31" i="67"/>
  <c r="M17" i="67"/>
  <c r="F31" i="15"/>
  <c r="M17" i="15"/>
  <c r="F59" i="67"/>
  <c r="E63" i="40"/>
  <c r="F63" i="40" s="1"/>
  <c r="F65" i="40" s="1"/>
  <c r="C5" i="43"/>
  <c r="D5" i="43"/>
  <c r="W27" i="39"/>
  <c r="S27" i="39"/>
  <c r="AA27" i="39"/>
  <c r="W25" i="39"/>
  <c r="AC25" i="39"/>
  <c r="AB25" i="39"/>
  <c r="U25" i="39"/>
  <c r="AA25" i="39"/>
  <c r="S25" i="39"/>
  <c r="S21" i="39"/>
  <c r="H21" i="39"/>
  <c r="G95" i="39"/>
  <c r="J21" i="39"/>
  <c r="AA17" i="39"/>
  <c r="S17" i="39"/>
  <c r="H17" i="39"/>
  <c r="G91" i="39"/>
  <c r="J17" i="39"/>
  <c r="S15" i="39"/>
  <c r="J15" i="39"/>
  <c r="G89" i="39"/>
  <c r="H15" i="39"/>
  <c r="E30" i="6"/>
  <c r="K15" i="1"/>
  <c r="C30" i="69"/>
  <c r="C48" i="68"/>
  <c r="G85" i="21"/>
  <c r="H23" i="21"/>
  <c r="AA19" i="21"/>
  <c r="S19" i="21"/>
  <c r="AC17" i="21"/>
  <c r="W17" i="21"/>
  <c r="AB17" i="21"/>
  <c r="U17" i="21"/>
  <c r="AA17" i="21"/>
  <c r="S17" i="21"/>
  <c r="W15" i="21"/>
  <c r="AC15" i="21"/>
  <c r="AB15" i="21"/>
  <c r="S15" i="21"/>
  <c r="AA15" i="21"/>
  <c r="S37" i="21"/>
  <c r="AA37" i="21"/>
  <c r="AC37" i="21"/>
  <c r="W37" i="21"/>
  <c r="U37" i="21"/>
  <c r="AB37" i="21"/>
  <c r="U42" i="21"/>
  <c r="AB42" i="21"/>
  <c r="E58" i="21"/>
  <c r="F58" i="21" s="1"/>
  <c r="G58" i="21" s="1"/>
  <c r="D70" i="39"/>
  <c r="P23" i="43"/>
  <c r="B71" i="39" s="1"/>
  <c r="C6" i="71"/>
  <c r="C5" i="71"/>
  <c r="D5" i="71"/>
  <c r="D7" i="71"/>
  <c r="P25" i="43"/>
  <c r="E65" i="40"/>
  <c r="K22" i="6"/>
  <c r="M22" i="6" s="1"/>
  <c r="I22" i="6" s="1"/>
  <c r="S22" i="6" s="1"/>
  <c r="E31" i="6"/>
  <c r="E522" i="3"/>
  <c r="E182" i="3"/>
  <c r="E370" i="3"/>
  <c r="E300" i="3"/>
  <c r="P6" i="3"/>
  <c r="E379" i="3"/>
  <c r="E113" i="3"/>
  <c r="E49" i="3"/>
  <c r="E235" i="3"/>
  <c r="E572" i="3"/>
  <c r="E118" i="3"/>
  <c r="E88" i="3"/>
  <c r="E345" i="3"/>
  <c r="E400" i="3"/>
  <c r="E485" i="3"/>
  <c r="U6" i="3"/>
  <c r="E83" i="3"/>
  <c r="E287" i="3"/>
  <c r="E102" i="3"/>
  <c r="E232" i="3"/>
  <c r="E86" i="3"/>
  <c r="E383" i="3"/>
  <c r="E190" i="3"/>
  <c r="E488" i="3"/>
  <c r="E273" i="3"/>
  <c r="E573" i="3"/>
  <c r="E144" i="3"/>
  <c r="E521" i="3"/>
  <c r="E131" i="3"/>
  <c r="E13" i="3"/>
  <c r="E477" i="3"/>
  <c r="E432" i="3"/>
  <c r="E414" i="3"/>
  <c r="E548" i="3"/>
  <c r="E478" i="3"/>
  <c r="E515" i="3"/>
  <c r="E585" i="3"/>
  <c r="E107" i="3"/>
  <c r="E22" i="3"/>
  <c r="E308" i="3"/>
  <c r="E158" i="3"/>
  <c r="E80" i="3"/>
  <c r="AF6" i="3"/>
  <c r="E251" i="3"/>
  <c r="E206" i="3"/>
  <c r="E34" i="3"/>
  <c r="E35" i="3"/>
  <c r="E342" i="3"/>
  <c r="E324" i="3"/>
  <c r="E220" i="3"/>
  <c r="E78" i="3"/>
  <c r="E482" i="3"/>
  <c r="E109" i="3"/>
  <c r="E377" i="3"/>
  <c r="E211" i="3"/>
  <c r="E403" i="3"/>
  <c r="E513" i="3"/>
  <c r="E381" i="3"/>
  <c r="E23" i="3"/>
  <c r="E142" i="3"/>
  <c r="E378" i="3"/>
  <c r="E362" i="3"/>
  <c r="E106" i="3"/>
  <c r="E448" i="3"/>
  <c r="AO6" i="3"/>
  <c r="AG6" i="3"/>
  <c r="Z6" i="3"/>
  <c r="E576" i="3"/>
  <c r="E327" i="3"/>
  <c r="E164" i="3"/>
  <c r="E101" i="3"/>
  <c r="E524" i="3"/>
  <c r="E365" i="3"/>
  <c r="E265" i="3"/>
  <c r="E218" i="3"/>
  <c r="E176" i="3"/>
  <c r="E62" i="3"/>
  <c r="E20" i="3"/>
  <c r="E50" i="3"/>
  <c r="E364" i="3"/>
  <c r="E340" i="3"/>
  <c r="E289" i="3"/>
  <c r="E147" i="3"/>
  <c r="E123" i="3"/>
  <c r="E112" i="3"/>
  <c r="E36" i="3"/>
  <c r="E52" i="3"/>
  <c r="AQ6" i="3"/>
  <c r="E392" i="3"/>
  <c r="E325" i="3"/>
  <c r="E339" i="3"/>
  <c r="E299" i="3"/>
  <c r="E275" i="3"/>
  <c r="E174" i="3"/>
  <c r="E129" i="3"/>
  <c r="E96" i="3"/>
  <c r="E412" i="3"/>
  <c r="E428" i="3"/>
  <c r="E43" i="3"/>
  <c r="E30" i="3"/>
  <c r="E334" i="3"/>
  <c r="E316" i="3"/>
  <c r="E295" i="3"/>
  <c r="E166" i="3"/>
  <c r="E71" i="3"/>
  <c r="E367" i="3"/>
  <c r="E290" i="3"/>
  <c r="E283" i="3"/>
  <c r="E63" i="3"/>
  <c r="E233" i="3"/>
  <c r="E67" i="3"/>
  <c r="E310" i="3"/>
  <c r="E267" i="3"/>
  <c r="E65" i="3"/>
  <c r="E110" i="3"/>
  <c r="E240" i="3"/>
  <c r="E313" i="3"/>
  <c r="E214" i="3"/>
  <c r="E500" i="3"/>
  <c r="E556" i="3"/>
  <c r="E219" i="3"/>
  <c r="E234" i="3"/>
  <c r="E194" i="3"/>
  <c r="E137" i="3"/>
  <c r="E170" i="3"/>
  <c r="E100" i="3"/>
  <c r="E38" i="3"/>
  <c r="E79" i="3"/>
  <c r="E455" i="3"/>
  <c r="E15" i="3"/>
  <c r="E473" i="3"/>
  <c r="E409" i="3"/>
  <c r="E75" i="3"/>
  <c r="E32" i="3"/>
  <c r="E44" i="3"/>
  <c r="AM6" i="3"/>
  <c r="E384" i="3"/>
  <c r="E317" i="3"/>
  <c r="E331" i="3"/>
  <c r="E291" i="3"/>
  <c r="E210" i="3"/>
  <c r="E272" i="3"/>
  <c r="E186" i="3"/>
  <c r="E126" i="3"/>
  <c r="E92" i="3"/>
  <c r="E546" i="3"/>
  <c r="E547" i="3"/>
  <c r="E527" i="3"/>
  <c r="E193" i="3"/>
  <c r="E21" i="3"/>
  <c r="E309" i="3"/>
  <c r="E264" i="3"/>
  <c r="E81" i="3"/>
  <c r="E68" i="3"/>
  <c r="E355" i="3"/>
  <c r="E184" i="3"/>
  <c r="E33" i="3"/>
  <c r="E84" i="3"/>
  <c r="E492" i="3"/>
  <c r="E371" i="3"/>
  <c r="E249" i="3"/>
  <c r="E200" i="3"/>
  <c r="E160" i="3"/>
  <c r="E47" i="3"/>
  <c r="E540" i="3"/>
  <c r="E504" i="3"/>
  <c r="E259" i="3"/>
  <c r="E187" i="3"/>
  <c r="E581" i="3"/>
  <c r="E74" i="3"/>
  <c r="E315" i="3"/>
  <c r="E171" i="3"/>
  <c r="E436" i="3"/>
  <c r="E177" i="3"/>
  <c r="E468" i="3"/>
  <c r="E525" i="3"/>
  <c r="E162" i="3"/>
  <c r="E27" i="3"/>
  <c r="E447" i="3"/>
  <c r="E476" i="3"/>
  <c r="AS6" i="3"/>
  <c r="E505" i="3"/>
  <c r="E457" i="3"/>
  <c r="E458" i="3"/>
  <c r="E519" i="3"/>
  <c r="E45" i="3"/>
  <c r="E216"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98" i="3"/>
  <c r="E446" i="3"/>
  <c r="E462" i="3"/>
  <c r="E59" i="3"/>
  <c r="E58" i="3"/>
  <c r="E375" i="3"/>
  <c r="E348" i="3"/>
  <c r="E297" i="3"/>
  <c r="E155" i="3"/>
  <c r="E121" i="3"/>
  <c r="E404" i="3"/>
  <c r="E438" i="3"/>
  <c r="E380" i="3"/>
  <c r="E580" i="3"/>
  <c r="E394" i="3"/>
  <c r="E274" i="3"/>
  <c r="E256" i="3"/>
  <c r="E203" i="3"/>
  <c r="E90" i="3"/>
  <c r="E460" i="3"/>
  <c r="E481" i="3"/>
  <c r="E146" i="3"/>
  <c r="E454" i="3"/>
  <c r="E577" i="3"/>
  <c r="E408" i="3"/>
  <c r="E169" i="3"/>
  <c r="E103" i="3"/>
  <c r="E46" i="3"/>
  <c r="E64" i="3"/>
  <c r="E467" i="3"/>
  <c r="E425" i="3"/>
  <c r="E484" i="3"/>
  <c r="E441" i="3"/>
  <c r="E480" i="3"/>
  <c r="E29" i="3"/>
  <c r="E76" i="3"/>
  <c r="E544" i="3"/>
  <c r="E389" i="3"/>
  <c r="E349" i="3"/>
  <c r="E363" i="3"/>
  <c r="E292" i="3"/>
  <c r="E241" i="3"/>
  <c r="E258" i="3"/>
  <c r="E192" i="3"/>
  <c r="E132" i="3"/>
  <c r="E152" i="3"/>
  <c r="E70" i="3"/>
  <c r="E28" i="3"/>
  <c r="E444" i="3"/>
  <c r="E558" i="3"/>
  <c r="E529" i="3"/>
  <c r="E117" i="3"/>
  <c r="E93" i="3"/>
  <c r="E31" i="3"/>
  <c r="E14" i="3"/>
  <c r="E318" i="3"/>
  <c r="E357" i="3"/>
  <c r="E351" i="3"/>
  <c r="E257" i="3"/>
  <c r="E279" i="3"/>
  <c r="E208" i="3"/>
  <c r="E150" i="3"/>
  <c r="E168" i="3"/>
  <c r="E57" i="3"/>
  <c r="E39" i="3"/>
  <c r="E520" i="3"/>
  <c r="E413" i="3"/>
  <c r="E374" i="3"/>
  <c r="Q6" i="3"/>
  <c r="E135" i="3"/>
  <c r="E73" i="3"/>
  <c r="E55" i="3"/>
  <c r="E496" i="3"/>
  <c r="E429" i="3"/>
  <c r="E497" i="3"/>
  <c r="E360" i="3"/>
  <c r="E456" i="3"/>
  <c r="E223" i="3"/>
  <c r="E499" i="3"/>
  <c r="E489" i="3"/>
  <c r="E531" i="3"/>
  <c r="E557" i="3"/>
  <c r="E288" i="3"/>
  <c r="E474" i="3"/>
  <c r="E532" i="3"/>
  <c r="E224" i="3"/>
  <c r="E61" i="3"/>
  <c r="E94" i="3"/>
  <c r="E60" i="3"/>
  <c r="E42" i="3"/>
  <c r="L6" i="3"/>
  <c r="AL6" i="3"/>
  <c r="E372" i="3"/>
  <c r="E356" i="3"/>
  <c r="E333" i="3"/>
  <c r="E391" i="3"/>
  <c r="E346" i="3"/>
  <c r="E332" i="3"/>
  <c r="E276" i="3"/>
  <c r="E243" i="3"/>
  <c r="E226" i="3"/>
  <c r="E281" i="3"/>
  <c r="E242" i="3"/>
  <c r="E225" i="3"/>
  <c r="E202" i="3"/>
  <c r="E139" i="3"/>
  <c r="E119" i="3"/>
  <c r="E198" i="3"/>
  <c r="E178" i="3"/>
  <c r="E95" i="3"/>
  <c r="E37" i="3"/>
  <c r="E56" i="3"/>
  <c r="E479" i="3"/>
  <c r="E417" i="3"/>
  <c r="E491" i="3"/>
  <c r="E435" i="3"/>
  <c r="E582" i="3"/>
  <c r="E566" i="3"/>
  <c r="E424" i="3"/>
  <c r="E437" i="3"/>
  <c r="E330" i="3"/>
  <c r="E120" i="3"/>
  <c r="E231" i="3"/>
  <c r="E111" i="3"/>
  <c r="E54" i="3"/>
  <c r="E72" i="3"/>
  <c r="E475" i="3"/>
  <c r="E433" i="3"/>
  <c r="E471" i="3"/>
  <c r="E450" i="3"/>
  <c r="E537" i="3"/>
  <c r="J6" i="3"/>
  <c r="AH6" i="3"/>
  <c r="E376" i="3"/>
  <c r="E451" i="3"/>
  <c r="E512" i="3"/>
  <c r="T6" i="3"/>
  <c r="E173" i="3"/>
  <c r="E221" i="3"/>
  <c r="E387" i="3"/>
  <c r="E149" i="3"/>
  <c r="E517" i="3"/>
  <c r="E554" i="3"/>
  <c r="AP6" i="3"/>
  <c r="I3" i="6"/>
  <c r="E465" i="3"/>
  <c r="E406" i="3"/>
  <c r="E472" i="3"/>
  <c r="E560" i="3"/>
  <c r="K6" i="3"/>
  <c r="E133" i="3"/>
  <c r="E277" i="3"/>
  <c r="E161" i="3"/>
  <c r="E185" i="3"/>
  <c r="E439" i="3"/>
  <c r="E115" i="3"/>
  <c r="E108" i="3"/>
  <c r="E41" i="3"/>
  <c r="E25" i="3"/>
  <c r="E104" i="3"/>
  <c r="E40" i="3"/>
  <c r="E26" i="3"/>
  <c r="E463" i="3"/>
  <c r="E420" i="3"/>
  <c r="E401" i="3"/>
  <c r="E470" i="3"/>
  <c r="E483" i="3"/>
  <c r="E452" i="3"/>
  <c r="E419" i="3"/>
  <c r="E494" i="3"/>
  <c r="E498" i="3"/>
  <c r="E571" i="3"/>
  <c r="AE6" i="3"/>
  <c r="W6" i="3"/>
  <c r="E587" i="3"/>
  <c r="E562" i="3"/>
  <c r="E344" i="3"/>
  <c r="E490" i="3"/>
  <c r="E440" i="3"/>
  <c r="E422" i="3"/>
  <c r="E469" i="3"/>
  <c r="E405" i="3"/>
  <c r="E534" i="3"/>
  <c r="E369" i="3"/>
  <c r="E197" i="3"/>
  <c r="E140" i="3"/>
  <c r="E254" i="3"/>
  <c r="E321" i="3"/>
  <c r="E466" i="3"/>
  <c r="E167" i="3"/>
  <c r="E188" i="3"/>
  <c r="E430" i="3"/>
  <c r="E502" i="3"/>
  <c r="E286" i="3"/>
  <c r="E212" i="3"/>
  <c r="E181" i="3"/>
  <c r="E130" i="3"/>
  <c r="E507" i="3"/>
  <c r="E486" i="3"/>
  <c r="E427" i="3"/>
  <c r="E543" i="3"/>
  <c r="E564" i="3"/>
  <c r="E493" i="3"/>
  <c r="E393" i="3"/>
  <c r="E105" i="3"/>
  <c r="E116" i="3"/>
  <c r="E238" i="3"/>
  <c r="E85" i="3"/>
  <c r="E180" i="3"/>
  <c r="E91" i="3"/>
  <c r="E134" i="3"/>
  <c r="E298" i="3"/>
  <c r="E338" i="3"/>
  <c r="E449" i="3"/>
  <c r="E541" i="3"/>
  <c r="E442" i="3"/>
  <c r="R6" i="3"/>
  <c r="E575" i="3"/>
  <c r="E199" i="3"/>
  <c r="E253" i="3"/>
  <c r="E77" i="3"/>
  <c r="E157" i="3"/>
  <c r="E228" i="3"/>
  <c r="E99" i="3"/>
  <c r="E230" i="3"/>
  <c r="E320" i="3"/>
  <c r="E459" i="3"/>
  <c r="E398" i="3"/>
  <c r="E464" i="3"/>
  <c r="E552" i="3"/>
  <c r="AD6" i="3"/>
  <c r="E141" i="3"/>
  <c r="E204" i="3"/>
  <c r="E252" i="3"/>
  <c r="E89" i="3"/>
  <c r="E269" i="3"/>
  <c r="E236" i="3"/>
  <c r="E189" i="3"/>
  <c r="E3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25" i="3"/>
  <c r="E217" i="3"/>
  <c r="E366" i="3"/>
  <c r="E526" i="3"/>
  <c r="E553" i="3"/>
  <c r="E268" i="3"/>
  <c r="E282" i="3"/>
  <c r="E416" i="3"/>
  <c r="E421" i="3"/>
  <c r="E312" i="3"/>
  <c r="E271" i="3"/>
  <c r="E122" i="3"/>
  <c r="E156" i="3"/>
  <c r="E237" i="3"/>
  <c r="E304" i="3"/>
  <c r="E565" i="3"/>
  <c r="E213" i="3"/>
  <c r="E17" i="3"/>
  <c r="E302" i="3"/>
  <c r="E583" i="3"/>
  <c r="X6" i="3"/>
  <c r="E336" i="3"/>
  <c r="E246" i="3"/>
  <c r="E293" i="3"/>
  <c r="E314" i="3"/>
  <c r="E511" i="3"/>
  <c r="E16" i="3"/>
  <c r="AK6" i="3"/>
  <c r="E434" i="3"/>
  <c r="E306" i="3"/>
  <c r="E296" i="3"/>
  <c r="E262" i="3"/>
  <c r="E136" i="3"/>
  <c r="E175" i="3"/>
  <c r="E530" i="3"/>
  <c r="E343" i="3"/>
  <c r="E305" i="3"/>
  <c r="E426" i="3"/>
  <c r="E508" i="3"/>
  <c r="E328" i="3"/>
  <c r="E388" i="3"/>
  <c r="O6" i="3"/>
  <c r="E555" i="3"/>
  <c r="E574" i="3"/>
  <c r="E410" i="3"/>
  <c r="E359" i="3"/>
  <c r="E337" i="3"/>
  <c r="E285" i="3"/>
  <c r="E143" i="3"/>
  <c r="E97" i="3"/>
  <c r="E270" i="3"/>
  <c r="E390" i="3"/>
  <c r="E533" i="3"/>
  <c r="S6" i="3"/>
  <c r="AR6" i="3"/>
  <c r="E523" i="3"/>
  <c r="E561" i="3"/>
  <c r="E506" i="3"/>
  <c r="E538" i="3"/>
  <c r="E418" i="3"/>
  <c r="E487" i="3"/>
  <c r="E542" i="3"/>
  <c r="E145" i="3"/>
  <c r="E207" i="3"/>
  <c r="E148" i="3"/>
  <c r="E215" i="3"/>
  <c r="E261" i="3"/>
  <c r="E528" i="3"/>
  <c r="E183" i="3"/>
  <c r="E361" i="3"/>
  <c r="E503" i="3"/>
  <c r="E347" i="3"/>
  <c r="AA6" i="3"/>
  <c r="E399" i="3"/>
  <c r="E280" i="3"/>
  <c r="E124" i="3"/>
  <c r="E397" i="3"/>
  <c r="E568" i="3"/>
  <c r="I6" i="3"/>
  <c r="H6" i="3" s="1"/>
  <c r="E536" i="3"/>
  <c r="E549" i="3"/>
  <c r="E453" i="3"/>
  <c r="E368" i="3"/>
  <c r="E244" i="3"/>
  <c r="E196" i="3"/>
  <c r="E53" i="3"/>
  <c r="E319" i="3"/>
  <c r="E501" i="3"/>
  <c r="E153" i="3"/>
  <c r="E322" i="3"/>
  <c r="N6" i="3"/>
  <c r="AJ6" i="3"/>
  <c r="E239" i="3"/>
  <c r="E509" i="3"/>
  <c r="E516" i="3"/>
  <c r="E579" i="3"/>
  <c r="E569" i="3"/>
  <c r="E431" i="3"/>
  <c r="E396" i="3"/>
  <c r="E247" i="3"/>
  <c r="E229" i="3"/>
  <c r="E201" i="3"/>
  <c r="E151" i="3"/>
  <c r="E311" i="3"/>
  <c r="E358" i="3"/>
  <c r="E514" i="3"/>
  <c r="E559" i="3"/>
  <c r="E570" i="3"/>
  <c r="E551" i="3"/>
  <c r="M6" i="3"/>
  <c r="V6" i="3"/>
  <c r="AB6" i="3"/>
  <c r="E407" i="3"/>
  <c r="U21" i="39"/>
  <c r="AB21" i="39"/>
  <c r="AC21" i="39"/>
  <c r="W21" i="39"/>
  <c r="W17" i="39"/>
  <c r="AC17" i="39"/>
  <c r="AB17" i="39"/>
  <c r="U17" i="39"/>
  <c r="W15" i="39"/>
  <c r="AC15" i="39"/>
  <c r="U15" i="39"/>
  <c r="AB15" i="39"/>
  <c r="F50" i="11"/>
  <c r="F50" i="69"/>
  <c r="U23" i="21"/>
  <c r="AB23" i="21"/>
  <c r="E70" i="39"/>
  <c r="D6" i="71"/>
  <c r="M20" i="43"/>
  <c r="C19" i="43" s="1"/>
  <c r="T10" i="43" s="1"/>
  <c r="V10" i="43" s="1"/>
  <c r="G63" i="40"/>
  <c r="H63" i="40" s="1"/>
  <c r="C19" i="68"/>
  <c r="F70" i="39"/>
  <c r="G65" i="40"/>
  <c r="H68" i="39"/>
  <c r="H70" i="39" s="1"/>
  <c r="G70" i="39"/>
  <c r="I63" i="40"/>
  <c r="J63" i="40" s="1"/>
  <c r="H65" i="40"/>
  <c r="I68" i="39"/>
  <c r="J68" i="39" s="1"/>
  <c r="I65" i="40"/>
  <c r="E15" i="74"/>
  <c r="F15" i="74"/>
  <c r="L47" i="67"/>
  <c r="F37" i="67"/>
  <c r="F6" i="67"/>
  <c r="M28" i="15"/>
  <c r="F35" i="67"/>
  <c r="C76" i="67"/>
  <c r="F13" i="15"/>
  <c r="F43" i="78"/>
  <c r="F42" i="67"/>
  <c r="F8" i="67"/>
  <c r="F41" i="67"/>
  <c r="M29" i="15"/>
  <c r="E10" i="76"/>
  <c r="F9" i="15"/>
  <c r="M28" i="67"/>
  <c r="M24" i="67"/>
  <c r="M27" i="78"/>
  <c r="M8" i="15"/>
  <c r="J15" i="67"/>
  <c r="F26" i="78"/>
  <c r="F38" i="78"/>
  <c r="F9" i="78"/>
  <c r="L48" i="78"/>
  <c r="M22" i="67"/>
  <c r="E2" i="68"/>
  <c r="B9" i="76"/>
  <c r="F13" i="67"/>
  <c r="F36" i="78"/>
  <c r="F5" i="73"/>
  <c r="D3" i="73"/>
  <c r="F16" i="15"/>
  <c r="F37" i="78"/>
  <c r="F40" i="67"/>
  <c r="M27" i="67"/>
  <c r="D2" i="35"/>
  <c r="J15" i="78"/>
  <c r="F42" i="15"/>
  <c r="AO12" i="1"/>
  <c r="F43" i="15"/>
  <c r="F37" i="15"/>
  <c r="M26" i="78"/>
  <c r="J15" i="15"/>
  <c r="F13" i="78"/>
  <c r="F16" i="67"/>
  <c r="M28" i="78"/>
  <c r="D2" i="34"/>
  <c r="C76" i="15"/>
  <c r="E9" i="76"/>
  <c r="F38" i="15"/>
  <c r="F7" i="78"/>
  <c r="D4" i="73"/>
  <c r="M29" i="67"/>
  <c r="M26" i="15"/>
  <c r="F38" i="67"/>
  <c r="F4" i="73"/>
  <c r="F7" i="67"/>
  <c r="F8" i="15"/>
  <c r="F20" i="31"/>
  <c r="F43" i="67"/>
  <c r="AO13" i="1"/>
  <c r="C76" i="78"/>
  <c r="F26" i="15"/>
  <c r="F6" i="15"/>
  <c r="D2" i="21"/>
  <c r="M9" i="67"/>
  <c r="L48" i="67"/>
  <c r="B12" i="76"/>
  <c r="E2" i="69"/>
  <c r="F36" i="67"/>
  <c r="E7" i="76"/>
  <c r="F7" i="73"/>
  <c r="M8" i="78"/>
  <c r="AO9" i="1"/>
  <c r="M22" i="78"/>
  <c r="F36" i="15"/>
  <c r="B7" i="76"/>
  <c r="D5" i="73"/>
  <c r="L47" i="15"/>
  <c r="E13" i="76"/>
  <c r="M6" i="78"/>
  <c r="F3" i="73"/>
  <c r="M6" i="67"/>
  <c r="AO10" i="1"/>
  <c r="B11" i="76"/>
  <c r="M24" i="15"/>
  <c r="M24" i="78"/>
  <c r="D2" i="33"/>
  <c r="F6" i="73"/>
  <c r="D6" i="73"/>
  <c r="D7" i="73"/>
  <c r="D2" i="36"/>
  <c r="M23" i="78"/>
  <c r="M8" i="67"/>
  <c r="F8" i="78"/>
  <c r="F42" i="78"/>
  <c r="AO6" i="1"/>
  <c r="M22" i="15"/>
  <c r="F6" i="78"/>
  <c r="F26" i="67"/>
  <c r="AO11" i="1"/>
  <c r="M26" i="67"/>
  <c r="M21" i="67"/>
  <c r="E8" i="76"/>
  <c r="M27" i="15"/>
  <c r="M6" i="15"/>
  <c r="F7" i="15"/>
  <c r="L48" i="15"/>
  <c r="E12" i="76"/>
  <c r="B8" i="76"/>
  <c r="F40" i="15"/>
  <c r="D2" i="37"/>
  <c r="B13" i="76"/>
  <c r="F16" i="78"/>
  <c r="M23" i="67"/>
  <c r="E11" i="76"/>
  <c r="F40" i="78"/>
  <c r="M9" i="15"/>
  <c r="F9" i="67"/>
  <c r="B10" i="76"/>
  <c r="M9" i="78"/>
  <c r="M23" i="15"/>
  <c r="L47" i="78"/>
  <c r="M29" i="78"/>
  <c r="E4" i="49" l="1"/>
  <c r="B8" i="49"/>
  <c r="E5" i="49"/>
  <c r="E7" i="49"/>
  <c r="B22" i="49"/>
  <c r="E8" i="49"/>
  <c r="B7" i="49"/>
  <c r="E4" i="4" s="1"/>
  <c r="B5" i="62" s="1"/>
  <c r="B73" i="72" s="1"/>
  <c r="B5" i="49"/>
  <c r="B15" i="49"/>
  <c r="E9" i="49"/>
  <c r="E6" i="49"/>
  <c r="E14" i="49"/>
  <c r="E15" i="49"/>
  <c r="B10" i="49"/>
  <c r="E13" i="49"/>
  <c r="E11" i="49"/>
  <c r="E10" i="49"/>
  <c r="B16" i="49"/>
  <c r="E16" i="49"/>
  <c r="B14" i="49"/>
  <c r="E22" i="49"/>
  <c r="B4" i="49"/>
  <c r="B6" i="49"/>
  <c r="B11" i="49"/>
  <c r="B9" i="49"/>
  <c r="E21" i="49"/>
  <c r="B13" i="49"/>
  <c r="C4" i="4" s="1"/>
  <c r="B4" i="62" s="1"/>
  <c r="B71" i="72" s="1"/>
  <c r="J65" i="40"/>
  <c r="K63" i="40"/>
  <c r="C39" i="43"/>
  <c r="T9" i="43"/>
  <c r="V9" i="43" s="1"/>
  <c r="C37" i="43"/>
  <c r="I70" i="39"/>
  <c r="T15" i="43"/>
  <c r="V15" i="43" s="1"/>
  <c r="J7" i="33"/>
  <c r="W7" i="33" s="1"/>
  <c r="N52" i="37"/>
  <c r="O52" i="37" s="1"/>
  <c r="F7" i="37"/>
  <c r="J7" i="37"/>
  <c r="H58" i="21"/>
  <c r="I58" i="21" s="1"/>
  <c r="J58" i="21" s="1"/>
  <c r="K58" i="21" s="1"/>
  <c r="L58" i="21" s="1"/>
  <c r="M58" i="21" s="1"/>
  <c r="N58" i="21" s="1"/>
  <c r="O58" i="21" s="1"/>
  <c r="M48" i="35"/>
  <c r="N48" i="35" s="1"/>
  <c r="O48" i="35" s="1"/>
  <c r="F7" i="35"/>
  <c r="J70" i="39"/>
  <c r="K68" i="39"/>
  <c r="T14" i="43"/>
  <c r="V14" i="43" s="1"/>
  <c r="T13" i="43"/>
  <c r="V13" i="43" s="1"/>
  <c r="C35" i="43"/>
  <c r="T8" i="43"/>
  <c r="V8" i="43" s="1"/>
  <c r="T11" i="43"/>
  <c r="V11" i="43" s="1"/>
  <c r="C36" i="43"/>
  <c r="C33" i="43"/>
  <c r="AA7" i="33"/>
  <c r="R48" i="33" s="1"/>
  <c r="AC7" i="33"/>
  <c r="V48" i="33" s="1"/>
  <c r="I48" i="33" s="1"/>
  <c r="F7" i="21"/>
  <c r="H7" i="35"/>
  <c r="J7" i="35"/>
  <c r="H7" i="37"/>
  <c r="T16" i="43"/>
  <c r="V16" i="43" s="1"/>
  <c r="C38" i="43"/>
  <c r="T12" i="43"/>
  <c r="V12" i="43" s="1"/>
  <c r="C34" i="43"/>
  <c r="H46" i="36"/>
  <c r="F59" i="34"/>
  <c r="T9" i="1"/>
  <c r="AQ9" i="1"/>
  <c r="AC6" i="3"/>
  <c r="AR11" i="1"/>
  <c r="E6" i="3"/>
  <c r="I4" i="6"/>
  <c r="E255" i="3"/>
  <c r="AY6" i="3"/>
  <c r="K25" i="9"/>
  <c r="E294" i="3"/>
  <c r="E443" i="3"/>
  <c r="E326" i="3"/>
  <c r="E411" i="3"/>
  <c r="E18" i="3"/>
  <c r="E5" i="6"/>
  <c r="E10" i="6"/>
  <c r="E8" i="6"/>
  <c r="E13" i="6"/>
  <c r="E14" i="6"/>
  <c r="E11" i="6"/>
  <c r="E12" i="6"/>
  <c r="E15" i="6"/>
  <c r="O11" i="1"/>
  <c r="P11" i="1" s="1"/>
  <c r="O7" i="1"/>
  <c r="P7" i="1" s="1"/>
  <c r="K20" i="6"/>
  <c r="K21" i="6"/>
  <c r="K25" i="6"/>
  <c r="M25" i="6" s="1"/>
  <c r="I25" i="6" s="1"/>
  <c r="S25" i="6" s="1"/>
  <c r="K24" i="6"/>
  <c r="M24" i="6" s="1"/>
  <c r="I24" i="6" s="1"/>
  <c r="S24" i="6" s="1"/>
  <c r="K26" i="6"/>
  <c r="M26" i="6" s="1"/>
  <c r="I26" i="6" s="1"/>
  <c r="S26" i="6" s="1"/>
  <c r="K23" i="6"/>
  <c r="M23" i="6" s="1"/>
  <c r="I23" i="6" s="1"/>
  <c r="S23" i="6" s="1"/>
  <c r="E6" i="6"/>
  <c r="M18" i="9"/>
  <c r="B118" i="9" s="1"/>
  <c r="B14" i="74" s="1"/>
  <c r="B1" i="74" s="1"/>
  <c r="C7" i="74" s="1"/>
  <c r="D19" i="11"/>
  <c r="C19" i="11" s="1"/>
  <c r="C20" i="11" s="1"/>
  <c r="C17" i="4"/>
  <c r="B4" i="52" s="1"/>
  <c r="B43" i="72" s="1"/>
  <c r="D14" i="12"/>
  <c r="D17" i="12" s="1"/>
  <c r="C17" i="12" s="1"/>
  <c r="I91" i="9"/>
  <c r="C91" i="9" s="1"/>
  <c r="D37" i="11"/>
  <c r="D3" i="33"/>
  <c r="D3" i="34"/>
  <c r="D3" i="37"/>
  <c r="L18" i="9"/>
  <c r="O13" i="1"/>
  <c r="P13" i="1" s="1"/>
  <c r="O9" i="1"/>
  <c r="P9" i="1" s="1"/>
  <c r="K6" i="1"/>
  <c r="D3" i="21"/>
  <c r="K19" i="6"/>
  <c r="C7" i="12"/>
  <c r="D22" i="67"/>
  <c r="D23" i="67"/>
  <c r="B9" i="70"/>
  <c r="C6" i="67"/>
  <c r="F68" i="67"/>
  <c r="Q71" i="15"/>
  <c r="F64" i="67"/>
  <c r="J20" i="67"/>
  <c r="L59" i="67"/>
  <c r="N59" i="67"/>
  <c r="M59" i="67"/>
  <c r="L58" i="67"/>
  <c r="M59" i="15"/>
  <c r="L59" i="15" s="1"/>
  <c r="L58" i="15"/>
  <c r="N59" i="15"/>
  <c r="B6" i="70"/>
  <c r="B20" i="31"/>
  <c r="M7" i="67"/>
  <c r="J6" i="67" s="1"/>
  <c r="F50" i="67"/>
  <c r="I54" i="67"/>
  <c r="J57" i="67"/>
  <c r="J55" i="67" s="1"/>
  <c r="J58" i="67" s="1"/>
  <c r="Q50" i="67" s="1"/>
  <c r="L56" i="67"/>
  <c r="B10" i="70"/>
  <c r="F65" i="67"/>
  <c r="B12" i="70"/>
  <c r="F66" i="67"/>
  <c r="C27" i="67"/>
  <c r="F69" i="67"/>
  <c r="E20" i="43"/>
  <c r="F71" i="67"/>
  <c r="F51" i="67"/>
  <c r="C49" i="67" s="1"/>
  <c r="B13" i="70"/>
  <c r="F63" i="67"/>
  <c r="C62" i="67" s="1"/>
  <c r="C34" i="67"/>
  <c r="Q71" i="67"/>
  <c r="B11" i="70"/>
  <c r="F70" i="67"/>
  <c r="Q71" i="78"/>
  <c r="J53" i="78"/>
  <c r="J60" i="78"/>
  <c r="Q48" i="78" s="1"/>
  <c r="I54" i="78"/>
  <c r="J57" i="78"/>
  <c r="J55" i="78" s="1"/>
  <c r="J58" i="78" s="1"/>
  <c r="Q50" i="78" s="1"/>
  <c r="L56" i="78"/>
  <c r="L57" i="78"/>
  <c r="L60" i="78"/>
  <c r="J59" i="78"/>
  <c r="F66" i="78"/>
  <c r="F65" i="78"/>
  <c r="F64" i="78"/>
  <c r="F71" i="78"/>
  <c r="F51" i="78"/>
  <c r="F68" i="15"/>
  <c r="C27" i="15"/>
  <c r="M7" i="15"/>
  <c r="J6" i="15" s="1"/>
  <c r="F50" i="15"/>
  <c r="C6" i="15"/>
  <c r="L58" i="78"/>
  <c r="M59" i="78"/>
  <c r="L59" i="78" s="1"/>
  <c r="N59" i="78"/>
  <c r="F68" i="78"/>
  <c r="C27" i="78"/>
  <c r="M7" i="78"/>
  <c r="J6" i="78" s="1"/>
  <c r="F50" i="78"/>
  <c r="C6" i="78"/>
  <c r="J60" i="15"/>
  <c r="Q48" i="15" s="1"/>
  <c r="J53" i="15"/>
  <c r="J57" i="15"/>
  <c r="J55" i="15" s="1"/>
  <c r="J58" i="15" s="1"/>
  <c r="Q50" i="15" s="1"/>
  <c r="I54" i="15"/>
  <c r="L56" i="15"/>
  <c r="J59" i="15"/>
  <c r="L60" i="15"/>
  <c r="L57" i="15"/>
  <c r="F66" i="15"/>
  <c r="F65" i="15"/>
  <c r="F64" i="15"/>
  <c r="F71" i="15"/>
  <c r="I1" i="73"/>
  <c r="B39" i="1" s="1"/>
  <c r="F51" i="15"/>
  <c r="C17" i="67"/>
  <c r="C16" i="15"/>
  <c r="C16" i="78"/>
  <c r="C16" i="67"/>
  <c r="G1" i="73"/>
  <c r="C14" i="67"/>
  <c r="K4" i="4" l="1"/>
  <c r="B46" i="48" s="1"/>
  <c r="B4" i="72" s="1"/>
  <c r="K65" i="40"/>
  <c r="L63" i="40"/>
  <c r="H7" i="21"/>
  <c r="AB7" i="21" s="1"/>
  <c r="E37" i="43"/>
  <c r="G37" i="43"/>
  <c r="I37" i="43" s="1"/>
  <c r="E39" i="43"/>
  <c r="G39" i="43"/>
  <c r="I39" i="43" s="1"/>
  <c r="I46" i="36"/>
  <c r="W7" i="35"/>
  <c r="AC7" i="35"/>
  <c r="V38" i="35" s="1"/>
  <c r="I38" i="35" s="1"/>
  <c r="G33" i="43"/>
  <c r="I33" i="43" s="1"/>
  <c r="E33" i="43"/>
  <c r="G35" i="43"/>
  <c r="I35" i="43" s="1"/>
  <c r="E35" i="43"/>
  <c r="J7" i="21"/>
  <c r="W7" i="37"/>
  <c r="AC7" i="37"/>
  <c r="V42" i="37" s="1"/>
  <c r="I42" i="37" s="1"/>
  <c r="G59" i="34"/>
  <c r="G34" i="43"/>
  <c r="I34" i="43" s="1"/>
  <c r="E34" i="43"/>
  <c r="E38" i="43"/>
  <c r="G38" i="43"/>
  <c r="I38" i="43" s="1"/>
  <c r="U7" i="37"/>
  <c r="AB7" i="37"/>
  <c r="T42" i="37" s="1"/>
  <c r="G42" i="37" s="1"/>
  <c r="U7" i="35"/>
  <c r="AB7" i="35"/>
  <c r="T38" i="35" s="1"/>
  <c r="G38" i="35" s="1"/>
  <c r="AA7" i="21"/>
  <c r="S7" i="21"/>
  <c r="G53" i="33"/>
  <c r="H53" i="33" s="1"/>
  <c r="I52" i="33"/>
  <c r="J52" i="33" s="1"/>
  <c r="R49" i="33"/>
  <c r="E48" i="33"/>
  <c r="G36" i="43"/>
  <c r="I36" i="43" s="1"/>
  <c r="E36" i="43"/>
  <c r="K70" i="39"/>
  <c r="L68" i="39"/>
  <c r="AA7" i="35"/>
  <c r="R38" i="35" s="1"/>
  <c r="S7" i="35"/>
  <c r="AA7" i="37"/>
  <c r="R42" i="37" s="1"/>
  <c r="S7" i="37"/>
  <c r="D10" i="69"/>
  <c r="C10" i="69" s="1"/>
  <c r="D10" i="68"/>
  <c r="C10" i="68" s="1"/>
  <c r="D20" i="12"/>
  <c r="C20" i="12" s="1"/>
  <c r="D10" i="11"/>
  <c r="C10" i="11" s="1"/>
  <c r="M20" i="6"/>
  <c r="I20" i="6" s="1"/>
  <c r="S20" i="6" s="1"/>
  <c r="S7" i="1"/>
  <c r="E57" i="40"/>
  <c r="E62" i="39"/>
  <c r="E59" i="40"/>
  <c r="E64" i="39"/>
  <c r="F27" i="6"/>
  <c r="F31" i="6" s="1"/>
  <c r="E56" i="39"/>
  <c r="E16" i="6"/>
  <c r="E51" i="40"/>
  <c r="D19" i="12"/>
  <c r="C19" i="12" s="1"/>
  <c r="D9" i="68"/>
  <c r="D9" i="11"/>
  <c r="C9" i="11" s="1"/>
  <c r="D9" i="69"/>
  <c r="S6" i="1"/>
  <c r="M19" i="6"/>
  <c r="K27" i="6"/>
  <c r="C34" i="69"/>
  <c r="K16" i="1"/>
  <c r="M6" i="1"/>
  <c r="AP6" i="1"/>
  <c r="C36" i="69" s="1"/>
  <c r="H16" i="1"/>
  <c r="G16" i="1"/>
  <c r="Q16" i="1"/>
  <c r="M21" i="6"/>
  <c r="I21" i="6" s="1"/>
  <c r="S21" i="6" s="1"/>
  <c r="S8" i="1"/>
  <c r="E65" i="39"/>
  <c r="E60" i="40"/>
  <c r="E61" i="39"/>
  <c r="E56" i="40"/>
  <c r="E63" i="39"/>
  <c r="E58" i="40"/>
  <c r="D3" i="6"/>
  <c r="AY366" i="3"/>
  <c r="AY25" i="3"/>
  <c r="AY214" i="3"/>
  <c r="AY189" i="3"/>
  <c r="AY14" i="3"/>
  <c r="AY362" i="3"/>
  <c r="AY270" i="3"/>
  <c r="AY215" i="3"/>
  <c r="AY552" i="3"/>
  <c r="AY305" i="3"/>
  <c r="AY79" i="3"/>
  <c r="AY568" i="3"/>
  <c r="AY386" i="3"/>
  <c r="BT6" i="3"/>
  <c r="AY391" i="3"/>
  <c r="AY586" i="3"/>
  <c r="AY89" i="3"/>
  <c r="AY252" i="3"/>
  <c r="AY436" i="3"/>
  <c r="AY486" i="3"/>
  <c r="AY244" i="3"/>
  <c r="AY540" i="3"/>
  <c r="AY489" i="3"/>
  <c r="AY67" i="3"/>
  <c r="AY18" i="3"/>
  <c r="AY338" i="3"/>
  <c r="AY22" i="3"/>
  <c r="AY307" i="3"/>
  <c r="AY54" i="3"/>
  <c r="AY151" i="3"/>
  <c r="AY445" i="3"/>
  <c r="AY523" i="3"/>
  <c r="AY324" i="3"/>
  <c r="AY373" i="3"/>
  <c r="AY437" i="3"/>
  <c r="AY570" i="3"/>
  <c r="AY380" i="3"/>
  <c r="AY177" i="3"/>
  <c r="AY188" i="3"/>
  <c r="AY355" i="3"/>
  <c r="AY387" i="3"/>
  <c r="AY105" i="3"/>
  <c r="AY326" i="3"/>
  <c r="AY412" i="3"/>
  <c r="AY204" i="3"/>
  <c r="AY196" i="3"/>
  <c r="AY404" i="3"/>
  <c r="AY132" i="3"/>
  <c r="AY511" i="3"/>
  <c r="AY490" i="3"/>
  <c r="AY224" i="3"/>
  <c r="AY148" i="3"/>
  <c r="AY566" i="3"/>
  <c r="AY477" i="3"/>
  <c r="AY240" i="3"/>
  <c r="AY164" i="3"/>
  <c r="AY500" i="3"/>
  <c r="AY265" i="3"/>
  <c r="BP6" i="3"/>
  <c r="AY402" i="3"/>
  <c r="AY361" i="3"/>
  <c r="AY64" i="3"/>
  <c r="AY536" i="3"/>
  <c r="AY480" i="3"/>
  <c r="AY275" i="3"/>
  <c r="AY507" i="3"/>
  <c r="AY286" i="3"/>
  <c r="AY560" i="3"/>
  <c r="AY232" i="3"/>
  <c r="AY99" i="3"/>
  <c r="AY407" i="3"/>
  <c r="AY329" i="3"/>
  <c r="AY519" i="3"/>
  <c r="AY377" i="3"/>
  <c r="AY299" i="3"/>
  <c r="AY23" i="3"/>
  <c r="AY465" i="3"/>
  <c r="AY491" i="3"/>
  <c r="AY312" i="3"/>
  <c r="AY46" i="3"/>
  <c r="AY91" i="3"/>
  <c r="AY88" i="3"/>
  <c r="AY438" i="3"/>
  <c r="AY174" i="3"/>
  <c r="AY505" i="3"/>
  <c r="AY394" i="3"/>
  <c r="AY143" i="3"/>
  <c r="AY443" i="3"/>
  <c r="AY128" i="3"/>
  <c r="AY448" i="3"/>
  <c r="AY75" i="3"/>
  <c r="AY139" i="3"/>
  <c r="AY43" i="3"/>
  <c r="AY171" i="3"/>
  <c r="AY447" i="3"/>
  <c r="AY555" i="3"/>
  <c r="AY147" i="3"/>
  <c r="AY379" i="3"/>
  <c r="AY123" i="3"/>
  <c r="AY269" i="3"/>
  <c r="BD6" i="3"/>
  <c r="AY241" i="3"/>
  <c r="AY521" i="3"/>
  <c r="AY257" i="3"/>
  <c r="AY451" i="3"/>
  <c r="AY551" i="3"/>
  <c r="AY250" i="3"/>
  <c r="AY580" i="3"/>
  <c r="AY161" i="3"/>
  <c r="AY133" i="3"/>
  <c r="AY285" i="3"/>
  <c r="AY426" i="3"/>
  <c r="AY546" i="3"/>
  <c r="AY201" i="3"/>
  <c r="AY372" i="3"/>
  <c r="AY562" i="3"/>
  <c r="AY526" i="3"/>
  <c r="AY163" i="3"/>
  <c r="AY557" i="3"/>
  <c r="AY229" i="3"/>
  <c r="AY363" i="3"/>
  <c r="AY74" i="3"/>
  <c r="AY51" i="3"/>
  <c r="AY334" i="3"/>
  <c r="AY34" i="3"/>
  <c r="AY429" i="3"/>
  <c r="AY354" i="3"/>
  <c r="AY277" i="3"/>
  <c r="AY102" i="3"/>
  <c r="AY400" i="3"/>
  <c r="AY351" i="3"/>
  <c r="AY293" i="3"/>
  <c r="AY107" i="3"/>
  <c r="AY315" i="3"/>
  <c r="AY19" i="3"/>
  <c r="AY522" i="3"/>
  <c r="AY479" i="3"/>
  <c r="AY113" i="3"/>
  <c r="AY532" i="3"/>
  <c r="AY419" i="3"/>
  <c r="AY341" i="3"/>
  <c r="AY29" i="3"/>
  <c r="AY227" i="3"/>
  <c r="AY38" i="3"/>
  <c r="AY469" i="3"/>
  <c r="AY156" i="3"/>
  <c r="AY565" i="3"/>
  <c r="AY468" i="3"/>
  <c r="AY251" i="3"/>
  <c r="AY427" i="3"/>
  <c r="BJ6" i="3"/>
  <c r="AY77" i="3"/>
  <c r="AY126" i="3"/>
  <c r="AY144" i="3"/>
  <c r="AY95" i="3"/>
  <c r="AY253" i="3"/>
  <c r="AY460" i="3"/>
  <c r="AY300" i="3"/>
  <c r="AY327" i="3"/>
  <c r="AY544" i="3"/>
  <c r="AY100" i="3"/>
  <c r="AY52" i="3"/>
  <c r="AY198" i="3"/>
  <c r="AY162" i="3"/>
  <c r="AY134" i="3"/>
  <c r="AY155" i="3"/>
  <c r="AY58" i="3"/>
  <c r="AY371" i="3"/>
  <c r="AY428" i="3"/>
  <c r="AY395" i="3"/>
  <c r="AY452" i="3"/>
  <c r="AY553" i="3"/>
  <c r="AY61" i="3"/>
  <c r="AY44" i="3"/>
  <c r="AY185" i="3"/>
  <c r="AY165" i="3"/>
  <c r="AY278" i="3"/>
  <c r="AY262" i="3"/>
  <c r="AY219" i="3"/>
  <c r="AY360" i="3"/>
  <c r="AY109" i="3"/>
  <c r="AY202" i="3"/>
  <c r="AY145" i="3"/>
  <c r="AY259" i="3"/>
  <c r="AY353" i="3"/>
  <c r="AY348" i="3"/>
  <c r="AY472" i="3"/>
  <c r="AY430" i="3"/>
  <c r="AY411" i="3"/>
  <c r="AY534" i="3"/>
  <c r="AY495" i="3"/>
  <c r="AY494" i="3"/>
  <c r="AY101" i="3"/>
  <c r="AY48" i="3"/>
  <c r="AY158" i="3"/>
  <c r="AY287" i="3"/>
  <c r="AY281" i="3"/>
  <c r="AY441" i="3"/>
  <c r="AY310" i="3"/>
  <c r="AY85" i="3"/>
  <c r="AY182" i="3"/>
  <c r="AY117" i="3"/>
  <c r="AY297" i="3"/>
  <c r="AY409" i="3"/>
  <c r="AY433" i="3"/>
  <c r="AY45" i="3"/>
  <c r="AY170" i="3"/>
  <c r="AY263" i="3"/>
  <c r="AY392" i="3"/>
  <c r="AY104" i="3"/>
  <c r="AY114" i="3"/>
  <c r="AY349" i="3"/>
  <c r="AY457" i="3"/>
  <c r="AY581" i="3"/>
  <c r="AY510" i="3"/>
  <c r="AY96" i="3"/>
  <c r="AY169" i="3"/>
  <c r="AY266" i="3"/>
  <c r="AY369" i="3"/>
  <c r="AY313" i="3"/>
  <c r="AY487" i="3"/>
  <c r="AY453" i="3"/>
  <c r="AY410" i="3"/>
  <c r="AY579" i="3"/>
  <c r="AY502" i="3"/>
  <c r="BR6" i="3"/>
  <c r="BA6" i="3"/>
  <c r="AY78" i="3"/>
  <c r="AY187" i="3"/>
  <c r="AY127" i="3"/>
  <c r="AY264" i="3"/>
  <c r="AY376" i="3"/>
  <c r="AY314" i="3"/>
  <c r="AY424" i="3"/>
  <c r="AY517" i="3"/>
  <c r="AY587" i="3"/>
  <c r="AY97" i="3"/>
  <c r="AY111" i="3"/>
  <c r="AY529" i="3"/>
  <c r="AY401" i="3"/>
  <c r="AY69" i="3"/>
  <c r="AY193" i="3"/>
  <c r="AY66" i="3"/>
  <c r="AY268" i="3"/>
  <c r="AY245" i="3"/>
  <c r="AY513" i="3"/>
  <c r="AY76" i="3"/>
  <c r="AY154" i="3"/>
  <c r="AY247" i="3"/>
  <c r="AY374" i="3"/>
  <c r="AY73" i="3"/>
  <c r="AY295" i="3"/>
  <c r="AY333" i="3"/>
  <c r="AY462" i="3"/>
  <c r="AY585" i="3"/>
  <c r="BG6" i="3"/>
  <c r="AY65" i="3"/>
  <c r="AY137" i="3"/>
  <c r="AY236" i="3"/>
  <c r="AY533" i="3"/>
  <c r="AY146" i="3"/>
  <c r="AY335" i="3"/>
  <c r="AY108" i="3"/>
  <c r="AY149" i="3"/>
  <c r="AY554" i="3"/>
  <c r="AY274" i="3"/>
  <c r="AY414" i="3"/>
  <c r="AY514" i="3"/>
  <c r="AY282" i="3"/>
  <c r="AY345" i="3"/>
  <c r="AY484" i="3"/>
  <c r="AY423" i="3"/>
  <c r="AY509" i="3"/>
  <c r="AY94" i="3"/>
  <c r="AY167" i="3"/>
  <c r="AY221" i="3"/>
  <c r="AY466" i="3"/>
  <c r="AY512" i="3"/>
  <c r="AY70" i="3"/>
  <c r="AY179"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535" i="3"/>
  <c r="AY390" i="3"/>
  <c r="AY444" i="3"/>
  <c r="AY237" i="3"/>
  <c r="AY90" i="3"/>
  <c r="AY539" i="3"/>
  <c r="AY417" i="3"/>
  <c r="AY343" i="3"/>
  <c r="AY116" i="3"/>
  <c r="AY455" i="3"/>
  <c r="AY209" i="3"/>
  <c r="AY261" i="3"/>
  <c r="AY289" i="3"/>
  <c r="AY50" i="3"/>
  <c r="AY207" i="3"/>
  <c r="AY311" i="3"/>
  <c r="AY220" i="3"/>
  <c r="AY191" i="3"/>
  <c r="AY498" i="3"/>
  <c r="BC6" i="3"/>
  <c r="AY416" i="3"/>
  <c r="AY306" i="3"/>
  <c r="AY367" i="3"/>
  <c r="AY256" i="3"/>
  <c r="AY119" i="3"/>
  <c r="AY195" i="3"/>
  <c r="AY567" i="3"/>
  <c r="AY15" i="3"/>
  <c r="AY432" i="3"/>
  <c r="AY322" i="3"/>
  <c r="AY375" i="3"/>
  <c r="AY272" i="3"/>
  <c r="AY136" i="3"/>
  <c r="AY200" i="3"/>
  <c r="AY576" i="3"/>
  <c r="AY408" i="3"/>
  <c r="AY359" i="3"/>
  <c r="AY301" i="3"/>
  <c r="AY62" i="3"/>
  <c r="AY545" i="3"/>
  <c r="AY538" i="3"/>
  <c r="AY434" i="3"/>
  <c r="AY320" i="3"/>
  <c r="AY396" i="3"/>
  <c r="AY153" i="3"/>
  <c r="AY81" i="3"/>
  <c r="AY543" i="3"/>
  <c r="AY572" i="3"/>
  <c r="AY406" i="3"/>
  <c r="AY483" i="3"/>
  <c r="AY370" i="3"/>
  <c r="AY121" i="3"/>
  <c r="AY72" i="3"/>
  <c r="AY368" i="3"/>
  <c r="AY238" i="3"/>
  <c r="AY291" i="3"/>
  <c r="AY55" i="3"/>
  <c r="AY558" i="3"/>
  <c r="AY346" i="3"/>
  <c r="AY249" i="3"/>
  <c r="AY192" i="3"/>
  <c r="AY578" i="3"/>
  <c r="AY524" i="3"/>
  <c r="AY439" i="3"/>
  <c r="AY471" i="3"/>
  <c r="AY364" i="3"/>
  <c r="AY129" i="3"/>
  <c r="AY16" i="3"/>
  <c r="AY446" i="3"/>
  <c r="AY290" i="3"/>
  <c r="AY357" i="3"/>
  <c r="AY138" i="3"/>
  <c r="BK6" i="3"/>
  <c r="AY225" i="3"/>
  <c r="AY178" i="3"/>
  <c r="AY549" i="3"/>
  <c r="AY168" i="3"/>
  <c r="AY152" i="3"/>
  <c r="AY584" i="3"/>
  <c r="AY488" i="3"/>
  <c r="AY24" i="3"/>
  <c r="AY470" i="3"/>
  <c r="AY382" i="3"/>
  <c r="BE6" i="3"/>
  <c r="AY141" i="3"/>
  <c r="AY318" i="3"/>
  <c r="AY92" i="3"/>
  <c r="AY118" i="3"/>
  <c r="BH6" i="3"/>
  <c r="AY388" i="3"/>
  <c r="AY398" i="3"/>
  <c r="AY582" i="3"/>
  <c r="AY87" i="3"/>
  <c r="AY36" i="3"/>
  <c r="AY358" i="3"/>
  <c r="AY246" i="3"/>
  <c r="AY332" i="3"/>
  <c r="AY37" i="3"/>
  <c r="AY328" i="3"/>
  <c r="AY499" i="3"/>
  <c r="AY35" i="3"/>
  <c r="AY331" i="3"/>
  <c r="AY86" i="3"/>
  <c r="AY125" i="3"/>
  <c r="AY254" i="3"/>
  <c r="AY365" i="3"/>
  <c r="AY57" i="3"/>
  <c r="AY130" i="3"/>
  <c r="AY393" i="3"/>
  <c r="AY308" i="3"/>
  <c r="AY422" i="3"/>
  <c r="AY516" i="3"/>
  <c r="AY559" i="3"/>
  <c r="AY112" i="3"/>
  <c r="AY142" i="3"/>
  <c r="AY218" i="3"/>
  <c r="AY336" i="3"/>
  <c r="AY450" i="3"/>
  <c r="AY17" i="3"/>
  <c r="AY530" i="3"/>
  <c r="AY47" i="3"/>
  <c r="AY120" i="3"/>
  <c r="AY383" i="3"/>
  <c r="AY440" i="3"/>
  <c r="AY481" i="3"/>
  <c r="AY350" i="3"/>
  <c r="AY98" i="3"/>
  <c r="AY478" i="3"/>
  <c r="AY497" i="3"/>
  <c r="AY284" i="3"/>
  <c r="AY160" i="3"/>
  <c r="BO6" i="3"/>
  <c r="AY31" i="3"/>
  <c r="AY504" i="3"/>
  <c r="AY459" i="3"/>
  <c r="AY213" i="3"/>
  <c r="AY159" i="3"/>
  <c r="AY583" i="3"/>
  <c r="AY474" i="3"/>
  <c r="AY208" i="3"/>
  <c r="AY175" i="3"/>
  <c r="AY547" i="3"/>
  <c r="AY248" i="3"/>
  <c r="AY493" i="3"/>
  <c r="AY415" i="3"/>
  <c r="AY337" i="3"/>
  <c r="AY21" i="3"/>
  <c r="AY520" i="3"/>
  <c r="AY449" i="3"/>
  <c r="AY258" i="3"/>
  <c r="BB6" i="3"/>
  <c r="AY255" i="3"/>
  <c r="BL6" i="3"/>
  <c r="AY378" i="3"/>
  <c r="AY63" i="3"/>
  <c r="AY506" i="3"/>
  <c r="AY344" i="3"/>
  <c r="AY80" i="3"/>
  <c r="AY317" i="3"/>
  <c r="AY231" i="3"/>
  <c r="AY228" i="3"/>
  <c r="AY53" i="3"/>
  <c r="AY42" i="3"/>
  <c r="BM6" i="3"/>
  <c r="AY381" i="3"/>
  <c r="AY206" i="3"/>
  <c r="AY180" i="3"/>
  <c r="AY157" i="3"/>
  <c r="AY420" i="3"/>
  <c r="AY124" i="3"/>
  <c r="BQ6" i="3"/>
  <c r="AY242" i="3"/>
  <c r="AY397" i="3"/>
  <c r="AY33" i="3"/>
  <c r="AY106" i="3"/>
  <c r="AY173" i="3"/>
  <c r="AY463" i="3"/>
  <c r="AY83" i="3"/>
  <c r="AY217" i="3"/>
  <c r="AY20" i="3"/>
  <c r="AY59" i="3"/>
  <c r="AY342" i="3"/>
  <c r="AY190" i="3"/>
  <c r="AY230" i="3"/>
  <c r="AY166" i="3"/>
  <c r="AY316" i="3"/>
  <c r="AY571" i="3"/>
  <c r="AY194" i="3"/>
  <c r="AY260" i="3"/>
  <c r="AY115" i="3"/>
  <c r="AY28" i="3"/>
  <c r="AY197" i="3"/>
  <c r="BF6" i="3"/>
  <c r="AY223" i="3"/>
  <c r="AY442" i="3"/>
  <c r="AY531" i="3"/>
  <c r="AY280" i="3"/>
  <c r="AY405" i="3"/>
  <c r="AY27" i="3"/>
  <c r="AY271" i="3"/>
  <c r="AY211" i="3"/>
  <c r="BI6" i="3"/>
  <c r="AY186" i="3"/>
  <c r="AY243" i="3"/>
  <c r="AY325" i="3"/>
  <c r="AY464" i="3"/>
  <c r="AY403" i="3"/>
  <c r="AY527" i="3"/>
  <c r="AY556" i="3"/>
  <c r="AY32" i="3"/>
  <c r="AY298" i="3"/>
  <c r="AY352" i="3"/>
  <c r="AY492" i="3"/>
  <c r="AY431" i="3"/>
  <c r="AY575" i="3"/>
  <c r="AY563" i="3"/>
  <c r="AY203" i="3"/>
  <c r="AY233" i="3"/>
  <c r="AY330" i="3"/>
  <c r="AY13" i="3"/>
  <c r="AY574" i="3"/>
  <c r="AY199" i="3"/>
  <c r="AY292" i="3"/>
  <c r="AY573" i="3"/>
  <c r="AY212" i="3"/>
  <c r="AY319" i="3"/>
  <c r="AY183" i="3"/>
  <c r="AY103" i="3"/>
  <c r="AY425" i="3"/>
  <c r="AY82" i="3"/>
  <c r="AY550" i="3"/>
  <c r="AY323" i="3"/>
  <c r="AY273" i="3"/>
  <c r="AY39" i="3"/>
  <c r="AY413" i="3"/>
  <c r="AY339" i="3"/>
  <c r="AY288" i="3"/>
  <c r="AY71" i="3"/>
  <c r="AY485" i="3"/>
  <c r="AY172" i="3"/>
  <c r="AY515" i="3"/>
  <c r="AY476" i="3"/>
  <c r="AY267" i="3"/>
  <c r="AY496" i="3"/>
  <c r="AY503" i="3"/>
  <c r="AY309" i="3"/>
  <c r="AY181" i="3"/>
  <c r="AY384" i="3"/>
  <c r="AY184" i="3"/>
  <c r="AY456" i="3"/>
  <c r="AY135" i="3"/>
  <c r="AY542" i="3"/>
  <c r="AY458" i="3"/>
  <c r="AY234" i="3"/>
  <c r="AY561" i="3"/>
  <c r="AY41" i="3"/>
  <c r="AY60" i="3"/>
  <c r="AY176" i="3"/>
  <c r="AY26" i="3"/>
  <c r="AY210" i="3"/>
  <c r="AY294" i="3"/>
  <c r="AY541" i="3"/>
  <c r="AY276" i="3"/>
  <c r="AY68" i="3"/>
  <c r="AY473" i="3"/>
  <c r="AY501" i="3"/>
  <c r="AY475" i="3"/>
  <c r="AY56" i="3"/>
  <c r="AY283" i="3"/>
  <c r="AY569" i="3"/>
  <c r="AY131" i="3"/>
  <c r="AY84" i="3"/>
  <c r="AY303" i="3"/>
  <c r="C11" i="39"/>
  <c r="G3" i="43"/>
  <c r="B40" i="1"/>
  <c r="F24" i="78" s="1"/>
  <c r="C24" i="78" s="1"/>
  <c r="C49" i="15"/>
  <c r="L46" i="15"/>
  <c r="C18" i="67"/>
  <c r="C15" i="67"/>
  <c r="M11" i="78"/>
  <c r="J10" i="78" s="1"/>
  <c r="J5" i="78" s="1"/>
  <c r="F11" i="15"/>
  <c r="C53" i="15" s="1"/>
  <c r="M11" i="15"/>
  <c r="J10" i="15" s="1"/>
  <c r="J5" i="15" s="1"/>
  <c r="F11" i="78"/>
  <c r="C53" i="78" s="1"/>
  <c r="F11" i="67"/>
  <c r="M11" i="67"/>
  <c r="J10" i="67" s="1"/>
  <c r="J5" i="67" s="1"/>
  <c r="Q66" i="15"/>
  <c r="Q57" i="15"/>
  <c r="F1" i="15"/>
  <c r="Q52" i="15"/>
  <c r="F1" i="78"/>
  <c r="Q52" i="78"/>
  <c r="Q74" i="78"/>
  <c r="Q61" i="78"/>
  <c r="C49" i="78"/>
  <c r="Q57" i="78"/>
  <c r="Q66" i="78"/>
  <c r="L46" i="78"/>
  <c r="P28" i="43"/>
  <c r="N28" i="43"/>
  <c r="M28" i="43"/>
  <c r="O28" i="43"/>
  <c r="Q74" i="15"/>
  <c r="Q61" i="15"/>
  <c r="Q61" i="67"/>
  <c r="Q74" i="67"/>
  <c r="Q73" i="78"/>
  <c r="Q60" i="78"/>
  <c r="Q60" i="15"/>
  <c r="Q73" i="15"/>
  <c r="Q73" i="67"/>
  <c r="Q60" i="67"/>
  <c r="C17" i="15"/>
  <c r="AE8" i="1"/>
  <c r="C17" i="78"/>
  <c r="AE7" i="1"/>
  <c r="C18" i="12" l="1"/>
  <c r="U7" i="21"/>
  <c r="M63" i="40"/>
  <c r="L65" i="40"/>
  <c r="E42" i="37"/>
  <c r="R43" i="37"/>
  <c r="R39" i="35"/>
  <c r="E38" i="35"/>
  <c r="C48" i="33"/>
  <c r="C49" i="33"/>
  <c r="B2" i="33" s="1"/>
  <c r="B3" i="33" s="1"/>
  <c r="G42" i="35"/>
  <c r="H42" i="35" s="1"/>
  <c r="G43" i="35"/>
  <c r="H43" i="35" s="1"/>
  <c r="G46" i="37"/>
  <c r="H46" i="37" s="1"/>
  <c r="G47" i="37"/>
  <c r="H47" i="37" s="1"/>
  <c r="I47" i="37"/>
  <c r="J47" i="37" s="1"/>
  <c r="I46" i="37"/>
  <c r="J46" i="37" s="1"/>
  <c r="W7" i="21"/>
  <c r="AC7" i="21"/>
  <c r="J46" i="36"/>
  <c r="L70" i="39"/>
  <c r="M68" i="39"/>
  <c r="E52" i="33"/>
  <c r="F52" i="33" s="1"/>
  <c r="E53" i="33"/>
  <c r="F53" i="33" s="1"/>
  <c r="I53" i="33"/>
  <c r="J53" i="33" s="1"/>
  <c r="H59" i="34"/>
  <c r="I59" i="34" s="1"/>
  <c r="J59" i="34" s="1"/>
  <c r="K59" i="34" s="1"/>
  <c r="L59" i="34" s="1"/>
  <c r="M59" i="34" s="1"/>
  <c r="N59" i="34" s="1"/>
  <c r="O59" i="34" s="1"/>
  <c r="H7" i="34" s="1"/>
  <c r="F7" i="34"/>
  <c r="I43" i="35"/>
  <c r="J43" i="35" s="1"/>
  <c r="I42" i="35"/>
  <c r="J42" i="35" s="1"/>
  <c r="F25" i="12"/>
  <c r="C26" i="12" s="1"/>
  <c r="D25" i="12" s="1"/>
  <c r="C11" i="21"/>
  <c r="F11" i="39"/>
  <c r="H11" i="39"/>
  <c r="J11" i="39"/>
  <c r="H20" i="6"/>
  <c r="H21" i="6"/>
  <c r="C88" i="9"/>
  <c r="D20" i="6"/>
  <c r="D21" i="6"/>
  <c r="H23" i="6"/>
  <c r="H24" i="6"/>
  <c r="H26" i="6"/>
  <c r="E61" i="40"/>
  <c r="C18" i="4"/>
  <c r="D15" i="6"/>
  <c r="D19" i="6"/>
  <c r="D12" i="6"/>
  <c r="D11" i="6"/>
  <c r="D29" i="6"/>
  <c r="D14" i="6"/>
  <c r="D6" i="6"/>
  <c r="D8" i="6"/>
  <c r="D9" i="6"/>
  <c r="H22" i="6"/>
  <c r="H25" i="6"/>
  <c r="M19" i="9"/>
  <c r="C118" i="9" s="1"/>
  <c r="C14" i="74" s="1"/>
  <c r="B2" i="74" s="1"/>
  <c r="D7" i="74" s="1"/>
  <c r="D10" i="6"/>
  <c r="D23" i="6"/>
  <c r="R23" i="6" s="1"/>
  <c r="L19" i="9"/>
  <c r="D24" i="6"/>
  <c r="D22" i="6"/>
  <c r="D5" i="6"/>
  <c r="D26" i="6"/>
  <c r="D25" i="6"/>
  <c r="D28" i="6"/>
  <c r="D30" i="6" s="1"/>
  <c r="D13" i="6"/>
  <c r="H10" i="39"/>
  <c r="J10" i="39"/>
  <c r="F10" i="39"/>
  <c r="J10" i="40"/>
  <c r="H10" i="40"/>
  <c r="F10" i="40"/>
  <c r="AQ6" i="1"/>
  <c r="T6" i="1"/>
  <c r="S16" i="1"/>
  <c r="AR6" i="1"/>
  <c r="C9" i="69"/>
  <c r="C8" i="69" s="1"/>
  <c r="C5" i="69" s="1"/>
  <c r="D19" i="69"/>
  <c r="C9" i="68"/>
  <c r="D19" i="68"/>
  <c r="D37" i="68" s="1"/>
  <c r="E66" i="39"/>
  <c r="T7" i="1"/>
  <c r="E7" i="70"/>
  <c r="AQ7" i="1"/>
  <c r="AR7" i="1"/>
  <c r="C101" i="43"/>
  <c r="I101" i="43"/>
  <c r="AD11" i="43"/>
  <c r="AD13" i="43" s="1"/>
  <c r="S5" i="43"/>
  <c r="T5" i="43" s="1"/>
  <c r="V5" i="43" s="1"/>
  <c r="J22" i="43"/>
  <c r="G101" i="43"/>
  <c r="M101" i="43"/>
  <c r="E22" i="43"/>
  <c r="AH11" i="43"/>
  <c r="AH13" i="43" s="1"/>
  <c r="AG11" i="43"/>
  <c r="AG13" i="43" s="1"/>
  <c r="S3" i="43"/>
  <c r="T3" i="43" s="1"/>
  <c r="V3" i="43" s="1"/>
  <c r="H101" i="43"/>
  <c r="B113" i="43"/>
  <c r="G22" i="43"/>
  <c r="J101" i="43"/>
  <c r="Z7" i="43"/>
  <c r="F101" i="43"/>
  <c r="L101" i="43"/>
  <c r="S2" i="43"/>
  <c r="T2" i="43" s="1"/>
  <c r="V2" i="43" s="1"/>
  <c r="AC11" i="43"/>
  <c r="AC13" i="43" s="1"/>
  <c r="C23" i="43"/>
  <c r="C21" i="43" s="1"/>
  <c r="K101" i="43"/>
  <c r="H22" i="43"/>
  <c r="AJ11" i="43"/>
  <c r="AJ13" i="43" s="1"/>
  <c r="AB11" i="43"/>
  <c r="AB13" i="43" s="1"/>
  <c r="AI11" i="43"/>
  <c r="AI13" i="43" s="1"/>
  <c r="AA11" i="43"/>
  <c r="AA13" i="43" s="1"/>
  <c r="S4" i="43"/>
  <c r="T4" i="43" s="1"/>
  <c r="V4" i="43" s="1"/>
  <c r="D101" i="43"/>
  <c r="N101" i="43"/>
  <c r="AF11" i="43"/>
  <c r="AF13" i="43" s="1"/>
  <c r="AE11" i="43"/>
  <c r="AE13" i="43" s="1"/>
  <c r="S7" i="43"/>
  <c r="T7" i="43" s="1"/>
  <c r="V7" i="43" s="1"/>
  <c r="N104" i="46"/>
  <c r="Y11" i="43"/>
  <c r="Y13" i="43" s="1"/>
  <c r="E101" i="43"/>
  <c r="Z11" i="43"/>
  <c r="Z13" i="43" s="1"/>
  <c r="F22" i="43"/>
  <c r="S6" i="43"/>
  <c r="T6" i="43" s="1"/>
  <c r="V6" i="43" s="1"/>
  <c r="T8" i="1"/>
  <c r="E8" i="70"/>
  <c r="AR8" i="1"/>
  <c r="AQ8" i="1"/>
  <c r="F27" i="68"/>
  <c r="F28" i="12"/>
  <c r="C29" i="12" s="1"/>
  <c r="D28" i="12" s="1"/>
  <c r="F27" i="11"/>
  <c r="F27" i="69"/>
  <c r="O6" i="1"/>
  <c r="O16" i="1" s="1"/>
  <c r="M16" i="1"/>
  <c r="P6" i="1"/>
  <c r="C38" i="69"/>
  <c r="C35" i="69"/>
  <c r="M27" i="6"/>
  <c r="I19" i="6"/>
  <c r="F22" i="69"/>
  <c r="F24" i="67"/>
  <c r="C24" i="67" s="1"/>
  <c r="F22" i="68"/>
  <c r="C44" i="68" s="1"/>
  <c r="D41" i="68" s="1"/>
  <c r="F22" i="11"/>
  <c r="C44" i="11" s="1"/>
  <c r="D41" i="11" s="1"/>
  <c r="F24" i="15"/>
  <c r="C24" i="15" s="1"/>
  <c r="C48" i="15"/>
  <c r="C66" i="15" s="1"/>
  <c r="C10" i="15"/>
  <c r="C5" i="15" s="1"/>
  <c r="C33" i="15" s="1"/>
  <c r="C48" i="78"/>
  <c r="C66" i="78" s="1"/>
  <c r="C19" i="67"/>
  <c r="C20" i="67" s="1"/>
  <c r="J26" i="15"/>
  <c r="J18" i="15"/>
  <c r="J24" i="15"/>
  <c r="J26" i="78"/>
  <c r="J18" i="78"/>
  <c r="J24" i="78"/>
  <c r="J26" i="67"/>
  <c r="J29" i="67" s="1"/>
  <c r="J18" i="67"/>
  <c r="J24" i="67"/>
  <c r="C10" i="78"/>
  <c r="C5" i="78" s="1"/>
  <c r="C53" i="67"/>
  <c r="C48" i="67" s="1"/>
  <c r="C10" i="67"/>
  <c r="C5" i="67" s="1"/>
  <c r="C14" i="78"/>
  <c r="F41" i="78"/>
  <c r="F41" i="15"/>
  <c r="C14" i="15"/>
  <c r="N63" i="40" l="1"/>
  <c r="M65" i="40"/>
  <c r="U7" i="34"/>
  <c r="AB7" i="34"/>
  <c r="T49" i="34" s="1"/>
  <c r="G49" i="34" s="1"/>
  <c r="M70" i="39"/>
  <c r="N68" i="39"/>
  <c r="K46" i="36"/>
  <c r="J7" i="34"/>
  <c r="C39" i="35"/>
  <c r="B2" i="35" s="1"/>
  <c r="B3" i="35" s="1"/>
  <c r="C38" i="35"/>
  <c r="E46" i="37"/>
  <c r="F46" i="37" s="1"/>
  <c r="E47" i="37"/>
  <c r="F47" i="37" s="1"/>
  <c r="AA7" i="34"/>
  <c r="R49" i="34" s="1"/>
  <c r="S7" i="34"/>
  <c r="E43" i="35"/>
  <c r="F43" i="35" s="1"/>
  <c r="E42" i="35"/>
  <c r="F42" i="35" s="1"/>
  <c r="C43" i="37"/>
  <c r="B2" i="37" s="1"/>
  <c r="B3" i="37" s="1"/>
  <c r="C42" i="37"/>
  <c r="R26" i="6"/>
  <c r="R22" i="6"/>
  <c r="R21" i="6"/>
  <c r="R8" i="1" s="1"/>
  <c r="C18" i="78"/>
  <c r="C15" i="78"/>
  <c r="C18" i="15"/>
  <c r="C15" i="15"/>
  <c r="I27" i="6"/>
  <c r="S19" i="6"/>
  <c r="S27" i="6" s="1"/>
  <c r="P16" i="1"/>
  <c r="C11" i="12" s="1"/>
  <c r="C13" i="12"/>
  <c r="C28" i="11"/>
  <c r="C27" i="11" s="1"/>
  <c r="C47" i="11"/>
  <c r="D45" i="11" s="1"/>
  <c r="C29" i="11"/>
  <c r="D27" i="11" s="1"/>
  <c r="C29" i="68"/>
  <c r="D27" i="68" s="1"/>
  <c r="C47" i="68"/>
  <c r="D45" i="68" s="1"/>
  <c r="E102" i="43"/>
  <c r="E109" i="43"/>
  <c r="E104" i="43"/>
  <c r="E103" i="43"/>
  <c r="E105" i="43"/>
  <c r="E106" i="43"/>
  <c r="E107" i="43"/>
  <c r="L16" i="1"/>
  <c r="N16" i="1"/>
  <c r="C47" i="69"/>
  <c r="D45" i="69" s="1"/>
  <c r="C29" i="69"/>
  <c r="D27" i="69" s="1"/>
  <c r="D107" i="43"/>
  <c r="D106" i="43"/>
  <c r="D104" i="43"/>
  <c r="D105" i="43"/>
  <c r="D103" i="43"/>
  <c r="D102" i="43"/>
  <c r="D109" i="43"/>
  <c r="C29" i="43"/>
  <c r="F106" i="43"/>
  <c r="F105" i="43"/>
  <c r="F104" i="43"/>
  <c r="F109" i="43"/>
  <c r="F107" i="43"/>
  <c r="F102" i="43"/>
  <c r="F103" i="43"/>
  <c r="J109" i="43"/>
  <c r="J104" i="43"/>
  <c r="J107" i="43"/>
  <c r="J105" i="43"/>
  <c r="J102" i="43"/>
  <c r="J103" i="43"/>
  <c r="J106" i="43"/>
  <c r="I118" i="43"/>
  <c r="J118" i="43" s="1"/>
  <c r="K118" i="43" s="1"/>
  <c r="L118" i="43" s="1"/>
  <c r="M118" i="43" s="1"/>
  <c r="D116" i="43"/>
  <c r="E116" i="43" s="1"/>
  <c r="F116" i="43" s="1"/>
  <c r="G116" i="43" s="1"/>
  <c r="H116" i="43" s="1"/>
  <c r="D118" i="43"/>
  <c r="E118" i="43" s="1"/>
  <c r="F118" i="43" s="1"/>
  <c r="D115" i="43"/>
  <c r="E115" i="43" s="1"/>
  <c r="F115" i="43" s="1"/>
  <c r="G115" i="43" s="1"/>
  <c r="H115" i="43" s="1"/>
  <c r="G118" i="43"/>
  <c r="H118" i="43" s="1"/>
  <c r="I116" i="43"/>
  <c r="J116" i="43" s="1"/>
  <c r="K116" i="43" s="1"/>
  <c r="L116" i="43" s="1"/>
  <c r="M116" i="43" s="1"/>
  <c r="B116" i="43"/>
  <c r="C116" i="43" s="1"/>
  <c r="B117" i="43"/>
  <c r="C117" i="43" s="1"/>
  <c r="D117" i="43"/>
  <c r="E117" i="43" s="1"/>
  <c r="F117" i="43" s="1"/>
  <c r="G117" i="43" s="1"/>
  <c r="H117" i="43" s="1"/>
  <c r="B118" i="43"/>
  <c r="C118" i="43" s="1"/>
  <c r="B115" i="43"/>
  <c r="I117" i="43"/>
  <c r="J117" i="43" s="1"/>
  <c r="K117" i="43" s="1"/>
  <c r="L117" i="43" s="1"/>
  <c r="M117" i="43" s="1"/>
  <c r="I115" i="43"/>
  <c r="J115" i="43" s="1"/>
  <c r="K115" i="43" s="1"/>
  <c r="L115" i="43" s="1"/>
  <c r="M115" i="43" s="1"/>
  <c r="M102" i="43"/>
  <c r="M109" i="43"/>
  <c r="M104" i="43"/>
  <c r="M103" i="43"/>
  <c r="M106" i="43"/>
  <c r="M105" i="43"/>
  <c r="M107" i="43"/>
  <c r="C104" i="43"/>
  <c r="C103" i="43"/>
  <c r="C102" i="43"/>
  <c r="C106" i="43"/>
  <c r="C109" i="43"/>
  <c r="C107" i="43"/>
  <c r="C105" i="43"/>
  <c r="D37" i="69"/>
  <c r="C37" i="69" s="1"/>
  <c r="C33" i="69" s="1"/>
  <c r="C39" i="69" s="1"/>
  <c r="C46" i="69" s="1"/>
  <c r="C45" i="69" s="1"/>
  <c r="C19" i="69"/>
  <c r="C20" i="69" s="1"/>
  <c r="C25" i="69" s="1"/>
  <c r="T16" i="1"/>
  <c r="AA10" i="40"/>
  <c r="S10" i="40"/>
  <c r="W10" i="40"/>
  <c r="AC10" i="40"/>
  <c r="AC10" i="39"/>
  <c r="W10" i="39"/>
  <c r="R25" i="6"/>
  <c r="R24" i="6"/>
  <c r="D16" i="6"/>
  <c r="D27" i="6"/>
  <c r="D31" i="6" s="1"/>
  <c r="C4" i="52"/>
  <c r="B45" i="72" s="1"/>
  <c r="A7" i="51"/>
  <c r="B7" i="72" s="1"/>
  <c r="A10" i="51"/>
  <c r="B9" i="72" s="1"/>
  <c r="R20" i="6"/>
  <c r="R7" i="1" s="1"/>
  <c r="W11" i="39"/>
  <c r="AC11" i="39"/>
  <c r="AA11" i="39"/>
  <c r="S11" i="39"/>
  <c r="N102" i="43"/>
  <c r="N109" i="43"/>
  <c r="N103" i="43"/>
  <c r="N106" i="43"/>
  <c r="N104" i="43"/>
  <c r="N107" i="43"/>
  <c r="N105" i="43"/>
  <c r="K107" i="43"/>
  <c r="K104" i="43"/>
  <c r="K105" i="43"/>
  <c r="K103" i="43"/>
  <c r="K109" i="43"/>
  <c r="K102" i="43"/>
  <c r="K106" i="43"/>
  <c r="L109" i="43"/>
  <c r="L104" i="43"/>
  <c r="L105" i="43"/>
  <c r="L103" i="43"/>
  <c r="L107" i="43"/>
  <c r="L102" i="43"/>
  <c r="L106" i="43"/>
  <c r="H105" i="43"/>
  <c r="H109" i="43"/>
  <c r="H107" i="43"/>
  <c r="H103" i="43"/>
  <c r="H106" i="43"/>
  <c r="H104" i="43"/>
  <c r="H102" i="43"/>
  <c r="D22" i="43"/>
  <c r="G107" i="43"/>
  <c r="G104" i="43"/>
  <c r="G103" i="43"/>
  <c r="G109" i="43"/>
  <c r="G106" i="43"/>
  <c r="G105" i="43"/>
  <c r="G102" i="43"/>
  <c r="I104" i="43"/>
  <c r="I106" i="43"/>
  <c r="I102" i="43"/>
  <c r="I105" i="43"/>
  <c r="I107" i="43"/>
  <c r="I103" i="43"/>
  <c r="I109" i="43"/>
  <c r="E2" i="70"/>
  <c r="U10" i="40"/>
  <c r="AB10" i="40"/>
  <c r="S10" i="39"/>
  <c r="AA10" i="39"/>
  <c r="AB10" i="39"/>
  <c r="U10" i="39"/>
  <c r="H19" i="6"/>
  <c r="H27" i="6" s="1"/>
  <c r="C89" i="9"/>
  <c r="C87" i="9" s="1"/>
  <c r="U11" i="39"/>
  <c r="AB11" i="39"/>
  <c r="H11" i="21"/>
  <c r="F11" i="21"/>
  <c r="J11" i="21"/>
  <c r="C60" i="15"/>
  <c r="C60" i="78"/>
  <c r="C24" i="68"/>
  <c r="C26" i="68"/>
  <c r="D22" i="68" s="1"/>
  <c r="C23" i="69"/>
  <c r="C44" i="69"/>
  <c r="D41" i="69" s="1"/>
  <c r="C26" i="69"/>
  <c r="D22" i="69" s="1"/>
  <c r="C23" i="11"/>
  <c r="C26" i="11"/>
  <c r="D22" i="11" s="1"/>
  <c r="F69" i="15"/>
  <c r="F69" i="78"/>
  <c r="C32" i="15"/>
  <c r="C24" i="11"/>
  <c r="C25" i="11"/>
  <c r="J29" i="78"/>
  <c r="J29" i="15"/>
  <c r="C38" i="15"/>
  <c r="C26" i="67"/>
  <c r="C23" i="67"/>
  <c r="C38" i="67"/>
  <c r="C32" i="67"/>
  <c r="C32" i="78"/>
  <c r="C38" i="78"/>
  <c r="C33" i="78"/>
  <c r="C66" i="67"/>
  <c r="C60" i="67"/>
  <c r="M21" i="78"/>
  <c r="F35" i="78"/>
  <c r="M21" i="15"/>
  <c r="F35" i="15"/>
  <c r="C43" i="69" l="1"/>
  <c r="C24" i="69"/>
  <c r="C22" i="69" s="1"/>
  <c r="J7" i="40"/>
  <c r="N65" i="40"/>
  <c r="H7" i="40" s="1"/>
  <c r="O63" i="40"/>
  <c r="O65" i="40" s="1"/>
  <c r="C28" i="69"/>
  <c r="C27" i="69" s="1"/>
  <c r="C19" i="78"/>
  <c r="C20" i="78" s="1"/>
  <c r="AC7" i="34"/>
  <c r="V49" i="34" s="1"/>
  <c r="I49" i="34" s="1"/>
  <c r="W7" i="34"/>
  <c r="L46" i="36"/>
  <c r="E49" i="34"/>
  <c r="R50" i="34"/>
  <c r="O68" i="39"/>
  <c r="O70" i="39" s="1"/>
  <c r="N70" i="39"/>
  <c r="G54" i="34"/>
  <c r="H54" i="34" s="1"/>
  <c r="G53" i="34"/>
  <c r="H53" i="34" s="1"/>
  <c r="C34" i="78"/>
  <c r="C31" i="78" s="1"/>
  <c r="F63" i="78"/>
  <c r="C62" i="78" s="1"/>
  <c r="J20" i="78"/>
  <c r="C19" i="15"/>
  <c r="C34" i="15"/>
  <c r="C31" i="15" s="1"/>
  <c r="F63" i="15"/>
  <c r="C62" i="15" s="1"/>
  <c r="J20" i="15"/>
  <c r="C92" i="9"/>
  <c r="C94" i="9"/>
  <c r="AA11" i="21"/>
  <c r="R48" i="21" s="1"/>
  <c r="S11" i="21"/>
  <c r="AC11" i="21"/>
  <c r="V48" i="21" s="1"/>
  <c r="I48" i="21" s="1"/>
  <c r="W11" i="21"/>
  <c r="AB11" i="21"/>
  <c r="T48" i="21" s="1"/>
  <c r="G48" i="21" s="1"/>
  <c r="U11" i="21"/>
  <c r="R19" i="6"/>
  <c r="C30" i="43"/>
  <c r="E30" i="43" s="1"/>
  <c r="C27" i="43" s="1"/>
  <c r="E29" i="43"/>
  <c r="C26" i="43" s="1"/>
  <c r="F34" i="68"/>
  <c r="F11" i="12"/>
  <c r="C14" i="12" s="1"/>
  <c r="F34" i="11"/>
  <c r="C42" i="69"/>
  <c r="I5" i="6"/>
  <c r="I6" i="6"/>
  <c r="C115" i="43"/>
  <c r="D113" i="43" s="1"/>
  <c r="C15" i="12"/>
  <c r="C12" i="12"/>
  <c r="C22" i="11"/>
  <c r="C31" i="11" s="1"/>
  <c r="C29" i="67"/>
  <c r="J14" i="67" s="1"/>
  <c r="E6" i="76"/>
  <c r="C41" i="69" l="1"/>
  <c r="C49" i="69" s="1"/>
  <c r="C51" i="69" s="1"/>
  <c r="C20" i="15"/>
  <c r="C23" i="15" s="1"/>
  <c r="C26" i="78"/>
  <c r="C23" i="78"/>
  <c r="U7" i="40"/>
  <c r="AB7" i="40"/>
  <c r="T42" i="40" s="1"/>
  <c r="G42" i="40" s="1"/>
  <c r="C31" i="69"/>
  <c r="F7" i="40"/>
  <c r="W7" i="40"/>
  <c r="AC7" i="40"/>
  <c r="V42" i="40" s="1"/>
  <c r="I42" i="40" s="1"/>
  <c r="C49" i="34"/>
  <c r="C50" i="34"/>
  <c r="B2" i="34" s="1"/>
  <c r="B3" i="34" s="1"/>
  <c r="H7" i="39"/>
  <c r="J7" i="39"/>
  <c r="F7" i="39"/>
  <c r="E54" i="34"/>
  <c r="F54" i="34" s="1"/>
  <c r="E53" i="34"/>
  <c r="F53" i="34" s="1"/>
  <c r="M46" i="36"/>
  <c r="I54" i="34"/>
  <c r="J54" i="34" s="1"/>
  <c r="I53" i="34"/>
  <c r="J53" i="34" s="1"/>
  <c r="C16" i="12"/>
  <c r="C21" i="12" s="1"/>
  <c r="C22" i="12" s="1"/>
  <c r="E2" i="76"/>
  <c r="C36" i="11"/>
  <c r="C34" i="11"/>
  <c r="C37" i="11"/>
  <c r="C34" i="68"/>
  <c r="C36" i="68"/>
  <c r="C37" i="68"/>
  <c r="G52" i="21"/>
  <c r="H52" i="21" s="1"/>
  <c r="G53" i="21"/>
  <c r="H53" i="21" s="1"/>
  <c r="I52" i="21"/>
  <c r="J52" i="21" s="1"/>
  <c r="R49" i="21"/>
  <c r="E48" i="21"/>
  <c r="I53" i="21" s="1"/>
  <c r="J53" i="21" s="1"/>
  <c r="B2" i="43"/>
  <c r="R6" i="1"/>
  <c r="R16" i="1" s="1"/>
  <c r="R27" i="6"/>
  <c r="Q49" i="67"/>
  <c r="J59" i="67"/>
  <c r="J60" i="67" s="1"/>
  <c r="Q48" i="67" s="1"/>
  <c r="C13" i="67"/>
  <c r="C37" i="67" s="1"/>
  <c r="C36" i="67"/>
  <c r="J13" i="67"/>
  <c r="J23" i="67" s="1"/>
  <c r="J22" i="67"/>
  <c r="J19" i="67"/>
  <c r="J17" i="67" s="1"/>
  <c r="C33" i="67"/>
  <c r="C31" i="67" s="1"/>
  <c r="C57" i="67"/>
  <c r="B6" i="76"/>
  <c r="C52" i="69" l="1"/>
  <c r="B2" i="69" s="1"/>
  <c r="B3" i="69" s="1"/>
  <c r="C26" i="15"/>
  <c r="C29" i="15" s="1"/>
  <c r="Q49" i="15" s="1"/>
  <c r="C29" i="78"/>
  <c r="C36" i="78" s="1"/>
  <c r="I46" i="40"/>
  <c r="J46" i="40" s="1"/>
  <c r="AA7" i="40"/>
  <c r="R42" i="40" s="1"/>
  <c r="S7" i="40"/>
  <c r="G46" i="40"/>
  <c r="H46" i="40" s="1"/>
  <c r="G47" i="40"/>
  <c r="H47" i="40" s="1"/>
  <c r="S7" i="39"/>
  <c r="AA7" i="39"/>
  <c r="R47" i="39" s="1"/>
  <c r="N46" i="36"/>
  <c r="AC7" i="39"/>
  <c r="V47" i="39" s="1"/>
  <c r="I47" i="39" s="1"/>
  <c r="W7" i="39"/>
  <c r="AB7" i="39"/>
  <c r="T47" i="39" s="1"/>
  <c r="G47" i="39" s="1"/>
  <c r="U7" i="39"/>
  <c r="B2" i="76"/>
  <c r="B3" i="76" s="1"/>
  <c r="E53" i="21"/>
  <c r="F53" i="21" s="1"/>
  <c r="E52" i="21"/>
  <c r="F52" i="21" s="1"/>
  <c r="B3" i="43"/>
  <c r="C49" i="21"/>
  <c r="C48" i="21"/>
  <c r="C35" i="68"/>
  <c r="C38" i="68"/>
  <c r="C38" i="11"/>
  <c r="C35" i="11"/>
  <c r="J16" i="67"/>
  <c r="J25" i="67" s="1"/>
  <c r="L46" i="67"/>
  <c r="C56" i="67"/>
  <c r="C65" i="67" s="1"/>
  <c r="C30" i="67"/>
  <c r="C39" i="67" s="1"/>
  <c r="C40" i="67" s="1"/>
  <c r="Q70" i="67"/>
  <c r="C75" i="67"/>
  <c r="C64" i="67"/>
  <c r="C61" i="67"/>
  <c r="C59" i="67" s="1"/>
  <c r="J19" i="15" l="1"/>
  <c r="J17" i="15" s="1"/>
  <c r="C57" i="69"/>
  <c r="C56" i="69" s="1"/>
  <c r="J14" i="15"/>
  <c r="J22" i="15" s="1"/>
  <c r="C57" i="15"/>
  <c r="C64" i="15" s="1"/>
  <c r="C13" i="15"/>
  <c r="C37" i="15" s="1"/>
  <c r="C36" i="15"/>
  <c r="C13" i="78"/>
  <c r="Q49" i="78"/>
  <c r="J14" i="78"/>
  <c r="J19" i="78"/>
  <c r="J17" i="78" s="1"/>
  <c r="C57" i="78"/>
  <c r="C64" i="78" s="1"/>
  <c r="C33" i="11"/>
  <c r="C42" i="11" s="1"/>
  <c r="R43" i="40"/>
  <c r="E42" i="40"/>
  <c r="G51" i="39"/>
  <c r="H51" i="39" s="1"/>
  <c r="G52" i="39"/>
  <c r="H52" i="39" s="1"/>
  <c r="I51" i="39"/>
  <c r="J51" i="39" s="1"/>
  <c r="O46" i="36"/>
  <c r="J7" i="36" s="1"/>
  <c r="E47" i="39"/>
  <c r="I52" i="39" s="1"/>
  <c r="J52" i="39" s="1"/>
  <c r="R48" i="39"/>
  <c r="C33" i="68"/>
  <c r="C42" i="68" s="1"/>
  <c r="C80" i="67"/>
  <c r="C79" i="67" s="1"/>
  <c r="C39" i="11"/>
  <c r="B2" i="21"/>
  <c r="C8" i="12" s="1"/>
  <c r="B3" i="21"/>
  <c r="C6" i="12" s="1"/>
  <c r="Q69" i="67"/>
  <c r="Q68" i="67" s="1"/>
  <c r="C58" i="67"/>
  <c r="C67" i="67" s="1"/>
  <c r="C68" i="67" s="1"/>
  <c r="D2" i="67"/>
  <c r="Q56" i="67"/>
  <c r="C43" i="67"/>
  <c r="Q65" i="67"/>
  <c r="Q47" i="67"/>
  <c r="Q53" i="67" s="1"/>
  <c r="C83" i="67"/>
  <c r="C82" i="67" s="1"/>
  <c r="L51" i="67"/>
  <c r="J13" i="15" l="1"/>
  <c r="J23" i="15" s="1"/>
  <c r="J16" i="15" s="1"/>
  <c r="J25" i="15" s="1"/>
  <c r="C61" i="15"/>
  <c r="C59" i="15" s="1"/>
  <c r="Q70" i="15"/>
  <c r="C56" i="15"/>
  <c r="C65" i="15" s="1"/>
  <c r="C75" i="15"/>
  <c r="C30" i="15"/>
  <c r="C39" i="15" s="1"/>
  <c r="Q69" i="15" s="1"/>
  <c r="Q67" i="67"/>
  <c r="L57" i="67"/>
  <c r="L60" i="67" s="1"/>
  <c r="Q66" i="67" s="1"/>
  <c r="Q75" i="67" s="1"/>
  <c r="C39" i="68"/>
  <c r="C46" i="68" s="1"/>
  <c r="C45" i="68" s="1"/>
  <c r="C61" i="78"/>
  <c r="C59" i="78" s="1"/>
  <c r="J22" i="78"/>
  <c r="J13" i="78"/>
  <c r="J23" i="78" s="1"/>
  <c r="C37" i="78"/>
  <c r="C30" i="78" s="1"/>
  <c r="C39" i="78" s="1"/>
  <c r="C56" i="78"/>
  <c r="C65" i="78" s="1"/>
  <c r="C75" i="78"/>
  <c r="Q70" i="78"/>
  <c r="E47" i="40"/>
  <c r="F47" i="40" s="1"/>
  <c r="E46" i="40"/>
  <c r="F46" i="40" s="1"/>
  <c r="I47" i="40"/>
  <c r="J47" i="40" s="1"/>
  <c r="C42" i="40"/>
  <c r="C43" i="40"/>
  <c r="W7" i="36"/>
  <c r="AC7" i="36"/>
  <c r="V36" i="36" s="1"/>
  <c r="I36" i="36" s="1"/>
  <c r="C48" i="39"/>
  <c r="C47" i="39"/>
  <c r="E52" i="39"/>
  <c r="F52" i="39" s="1"/>
  <c r="E51" i="39"/>
  <c r="F51" i="39" s="1"/>
  <c r="F7" i="36"/>
  <c r="H7" i="36"/>
  <c r="C46" i="11"/>
  <c r="C45" i="11" s="1"/>
  <c r="C43" i="11"/>
  <c r="C41" i="11" s="1"/>
  <c r="C71" i="67"/>
  <c r="C45" i="67"/>
  <c r="C46" i="67" s="1"/>
  <c r="B3" i="67"/>
  <c r="B2" i="67"/>
  <c r="L51" i="15"/>
  <c r="L51" i="78"/>
  <c r="Q68" i="15" l="1"/>
  <c r="C80" i="15"/>
  <c r="C79" i="15" s="1"/>
  <c r="C58" i="15"/>
  <c r="C67" i="15" s="1"/>
  <c r="C68" i="15" s="1"/>
  <c r="C71" i="15" s="1"/>
  <c r="C40" i="15"/>
  <c r="Q65" i="15" s="1"/>
  <c r="Q75" i="15" s="1"/>
  <c r="Q67" i="15"/>
  <c r="Q57" i="67"/>
  <c r="Q62" i="67" s="1"/>
  <c r="C43" i="68"/>
  <c r="C41" i="68" s="1"/>
  <c r="C49" i="68" s="1"/>
  <c r="C51" i="68" s="1"/>
  <c r="C58" i="78"/>
  <c r="C67" i="78" s="1"/>
  <c r="C68" i="78" s="1"/>
  <c r="C71" i="78" s="1"/>
  <c r="C80" i="78"/>
  <c r="C79" i="78" s="1"/>
  <c r="J16" i="78"/>
  <c r="J25" i="78" s="1"/>
  <c r="Q67" i="78"/>
  <c r="Q69" i="78"/>
  <c r="Q68" i="78" s="1"/>
  <c r="C40" i="78"/>
  <c r="B59" i="40"/>
  <c r="F59" i="40" s="1"/>
  <c r="B54" i="40"/>
  <c r="F54" i="40" s="1"/>
  <c r="B52" i="40"/>
  <c r="F52" i="40" s="1"/>
  <c r="B57" i="40"/>
  <c r="F57" i="40" s="1"/>
  <c r="B56" i="40"/>
  <c r="F56" i="40" s="1"/>
  <c r="B55" i="40"/>
  <c r="F55" i="40" s="1"/>
  <c r="B53" i="40"/>
  <c r="F53" i="40" s="1"/>
  <c r="B58" i="40"/>
  <c r="F58" i="40" s="1"/>
  <c r="B51" i="40"/>
  <c r="F51" i="40" s="1"/>
  <c r="B60" i="40"/>
  <c r="F60" i="40" s="1"/>
  <c r="F61" i="40"/>
  <c r="B2" i="40" s="1"/>
  <c r="B3" i="40" s="1"/>
  <c r="AB7" i="36"/>
  <c r="T36" i="36" s="1"/>
  <c r="G36" i="36" s="1"/>
  <c r="U7" i="36"/>
  <c r="I40" i="36"/>
  <c r="J40" i="36" s="1"/>
  <c r="AA7" i="36"/>
  <c r="R36" i="36" s="1"/>
  <c r="S7" i="36"/>
  <c r="B59" i="39"/>
  <c r="F59" i="39" s="1"/>
  <c r="B57" i="39"/>
  <c r="F57" i="39" s="1"/>
  <c r="B65" i="39"/>
  <c r="F65" i="39" s="1"/>
  <c r="B62" i="39"/>
  <c r="F62" i="39" s="1"/>
  <c r="B63" i="39"/>
  <c r="F63" i="39" s="1"/>
  <c r="B60" i="39"/>
  <c r="F60" i="39" s="1"/>
  <c r="B61" i="39"/>
  <c r="F61" i="39" s="1"/>
  <c r="B58" i="39"/>
  <c r="F58" i="39" s="1"/>
  <c r="B56" i="39"/>
  <c r="F56" i="39" s="1"/>
  <c r="B64" i="39"/>
  <c r="F64" i="39" s="1"/>
  <c r="C49" i="11"/>
  <c r="C51" i="11" s="1"/>
  <c r="C52" i="11" s="1"/>
  <c r="B2" i="11" s="1"/>
  <c r="B3" i="11" s="1"/>
  <c r="Q47" i="15" l="1"/>
  <c r="Q53" i="15" s="1"/>
  <c r="C83" i="15"/>
  <c r="C82" i="15" s="1"/>
  <c r="B2" i="15"/>
  <c r="C43" i="15"/>
  <c r="C46" i="15"/>
  <c r="Q56" i="15"/>
  <c r="Q62" i="15" s="1"/>
  <c r="C46" i="78"/>
  <c r="F66" i="39"/>
  <c r="B2" i="39" s="1"/>
  <c r="C6" i="68" s="1"/>
  <c r="C7" i="68" s="1"/>
  <c r="C5" i="68" s="1"/>
  <c r="B2" i="78"/>
  <c r="Q47" i="78"/>
  <c r="Q53" i="78" s="1"/>
  <c r="C43" i="78"/>
  <c r="C83" i="78"/>
  <c r="C82" i="78" s="1"/>
  <c r="Q56" i="78"/>
  <c r="Q62" i="78" s="1"/>
  <c r="Q65" i="78"/>
  <c r="Q75" i="78" s="1"/>
  <c r="R37" i="36"/>
  <c r="E36" i="36"/>
  <c r="G40" i="36"/>
  <c r="H40" i="36" s="1"/>
  <c r="G41" i="36"/>
  <c r="H41" i="36" s="1"/>
  <c r="C56" i="11"/>
  <c r="C57" i="11" s="1"/>
  <c r="AO7" i="1"/>
  <c r="AO8" i="1"/>
  <c r="B7" i="70" l="1"/>
  <c r="B3" i="15"/>
  <c r="D6" i="12" s="1"/>
  <c r="D8" i="12"/>
  <c r="B3" i="39"/>
  <c r="B8" i="70"/>
  <c r="B3" i="78"/>
  <c r="E6" i="12" s="1"/>
  <c r="E8" i="12"/>
  <c r="C37" i="36"/>
  <c r="B2" i="36" s="1"/>
  <c r="B3" i="36" s="1"/>
  <c r="C36" i="36"/>
  <c r="C23" i="68"/>
  <c r="C20" i="68"/>
  <c r="E40" i="36"/>
  <c r="F40" i="36" s="1"/>
  <c r="E41" i="36"/>
  <c r="F41" i="36" s="1"/>
  <c r="I41" i="36"/>
  <c r="J41" i="36" s="1"/>
  <c r="B2" i="70" l="1"/>
  <c r="B3" i="70" s="1"/>
  <c r="C4" i="12"/>
  <c r="C23" i="12" s="1"/>
  <c r="C30" i="12" s="1"/>
  <c r="C28" i="12" s="1"/>
  <c r="C25" i="68"/>
  <c r="C22" i="68" s="1"/>
  <c r="C28" i="68"/>
  <c r="C27" i="68" s="1"/>
  <c r="C31" i="12" l="1"/>
  <c r="C27" i="12"/>
  <c r="C25" i="12" s="1"/>
  <c r="C31" i="68"/>
  <c r="C52" i="68" s="1"/>
  <c r="C32" i="12" l="1"/>
  <c r="B2" i="12" s="1"/>
  <c r="C57" i="68"/>
  <c r="C56" i="68" s="1"/>
  <c r="B2" i="68"/>
  <c r="D19" i="9"/>
  <c r="C19" i="9"/>
  <c r="D102" i="9" l="1"/>
  <c r="D21" i="9"/>
  <c r="B3" i="12"/>
  <c r="C102" i="9"/>
  <c r="C21" i="9"/>
  <c r="G19" i="9"/>
  <c r="G21" i="9" s="1"/>
  <c r="D22" i="9"/>
  <c r="B3" i="68"/>
  <c r="D20" i="9"/>
  <c r="D34" i="9"/>
  <c r="C20" i="9"/>
  <c r="D35" i="9"/>
  <c r="D103" i="9" l="1"/>
  <c r="C32" i="9"/>
  <c r="C35" i="9" s="1"/>
  <c r="C103" i="9"/>
  <c r="G20" i="9"/>
  <c r="H118" i="9" l="1"/>
  <c r="H119" i="9" s="1"/>
  <c r="H5" i="52" s="1"/>
  <c r="F118" i="9"/>
  <c r="C34" i="9"/>
  <c r="D118" i="9" s="1"/>
  <c r="H4" i="52" l="1"/>
  <c r="I118" i="9"/>
  <c r="H102" i="9" s="1"/>
  <c r="D7" i="53" s="1"/>
  <c r="B21" i="72" s="1"/>
  <c r="C104" i="9"/>
  <c r="H101" i="9"/>
  <c r="D45" i="9" s="1"/>
  <c r="D14" i="74"/>
  <c r="E14" i="74" s="1"/>
  <c r="D119" i="9"/>
  <c r="D5" i="52" s="1"/>
  <c r="B49" i="72" s="1"/>
  <c r="D4" i="52"/>
  <c r="B47" i="72" s="1"/>
  <c r="F4" i="52"/>
  <c r="B51" i="72" s="1"/>
  <c r="G118" i="9"/>
  <c r="G4" i="52" s="1"/>
  <c r="B52" i="72" s="1"/>
  <c r="F119" i="9"/>
  <c r="F5" i="52" s="1"/>
  <c r="B53" i="72" s="1"/>
  <c r="H107" i="9" l="1"/>
  <c r="D13" i="53" s="1"/>
  <c r="M48" i="9"/>
  <c r="D5" i="53"/>
  <c r="B20" i="72" s="1"/>
  <c r="F14" i="74"/>
  <c r="B5" i="74"/>
  <c r="C5" i="74" s="1"/>
  <c r="I4" i="52"/>
  <c r="C105" i="9"/>
  <c r="L100" i="9"/>
  <c r="L102" i="9" s="1"/>
  <c r="E118" i="9"/>
  <c r="E4" i="52" s="1"/>
  <c r="B48" i="72" s="1"/>
  <c r="D55" i="9"/>
  <c r="M53" i="9" s="1"/>
  <c r="C78" i="9"/>
  <c r="C73" i="9" s="1"/>
  <c r="D53" i="9"/>
  <c r="D48" i="9" s="1"/>
  <c r="M52" i="9" s="1"/>
  <c r="C72" i="9"/>
  <c r="C85" i="9"/>
  <c r="D52" i="9"/>
  <c r="C93" i="9"/>
  <c r="C86" i="9" s="1"/>
  <c r="C64" i="9"/>
  <c r="C63" i="9" s="1"/>
  <c r="C67" i="9" s="1"/>
  <c r="C68" i="9" s="1"/>
  <c r="D54" i="9" s="1"/>
  <c r="D5" i="74" l="1"/>
  <c r="D122" i="9"/>
  <c r="G14" i="74" s="1"/>
  <c r="B6" i="74" s="1"/>
  <c r="M49" i="9"/>
  <c r="L64" i="9" s="1"/>
  <c r="M64" i="9" s="1"/>
  <c r="H108" i="9"/>
  <c r="D15" i="53" s="1"/>
  <c r="B31" i="72" s="1"/>
  <c r="D6" i="53"/>
  <c r="B22" i="72" s="1"/>
  <c r="C79" i="9"/>
  <c r="C80" i="9" s="1"/>
  <c r="E80" i="9" s="1"/>
  <c r="E81" i="9" s="1"/>
  <c r="D14" i="53"/>
  <c r="B32" i="72" s="1"/>
  <c r="B30" i="72"/>
  <c r="C95" i="9"/>
  <c r="C96" i="9" s="1"/>
  <c r="E96" i="9" s="1"/>
  <c r="E97" i="9" s="1"/>
  <c r="D8" i="52" l="1"/>
  <c r="D123" i="9"/>
  <c r="D9" i="52" s="1"/>
  <c r="L65" i="9"/>
  <c r="M65" i="9" s="1"/>
  <c r="L63" i="9"/>
  <c r="M63" i="9" s="1"/>
  <c r="C81" i="9"/>
  <c r="L66" i="9"/>
  <c r="M66" i="9" s="1"/>
  <c r="L67" i="9"/>
  <c r="M67" i="9" s="1"/>
  <c r="L68" i="9"/>
  <c r="M68" i="9" s="1"/>
  <c r="C97" i="9"/>
  <c r="D58" i="9" s="1"/>
  <c r="D56" i="9" s="1"/>
  <c r="M54" i="9" s="1"/>
  <c r="N57" i="9" s="1"/>
  <c r="N58" i="9" s="1"/>
  <c r="C6" i="74"/>
  <c r="D6" i="74"/>
  <c r="M69" i="9" l="1"/>
  <c r="N69" i="9" s="1"/>
  <c r="P57" i="9"/>
  <c r="N59" i="9"/>
  <c r="N61" i="9" l="1"/>
  <c r="H112" i="9" s="1"/>
  <c r="D21" i="53" s="1"/>
  <c r="B39" i="72" s="1"/>
  <c r="H111" i="9"/>
  <c r="N60" i="9"/>
  <c r="D19" i="53" l="1"/>
  <c r="D126" i="9"/>
  <c r="D12" i="52" l="1"/>
  <c r="I14" i="74"/>
  <c r="B8" i="74" s="1"/>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<sst xmlns="http://schemas.openxmlformats.org/spreadsheetml/2006/main" count="34653" uniqueCount="3547">
  <si>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</si>
  <si>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</si>
  <si>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</si>
  <si>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</si>
  <si>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</si>
  <si>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</si>
  <si>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</si>
  <si>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</si>
  <si>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</si>
  <si>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</si>
  <si>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</si>
  <si>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</si>
  <si>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</si>
  <si>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</si>
  <si>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</si>
  <si>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</si>
  <si>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</si>
  <si>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</si>
  <si>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</si>
  <si>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</si>
  <si>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</si>
  <si>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</si>
  <si>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</si>
  <si>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</si>
  <si>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</si>
  <si>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</si>
  <si>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</si>
  <si>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</si>
  <si>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</si>
  <si>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</si>
  <si>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</si>
  <si>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</si>
  <si>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</si>
  <si>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</si>
  <si>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</si>
  <si>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</si>
  <si>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</si>
  <si>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</si>
  <si>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</si>
  <si>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</si>
  <si>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</si>
  <si>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</si>
  <si>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</si>
  <si>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</si>
  <si>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</si>
  <si>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</si>
  <si>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</si>
  <si>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</si>
  <si>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</si>
  <si>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</si>
  <si>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</si>
  <si>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</si>
  <si>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</si>
  <si>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</si>
  <si>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</si>
  <si>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</si>
  <si>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</si>
  <si>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</si>
  <si>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</si>
  <si>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</si>
  <si>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</si>
  <si>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</si>
  <si>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</si>
  <si>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</si>
  <si>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</si>
  <si>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</si>
  <si>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</si>
  <si>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</si>
  <si>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</si>
  <si>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</si>
  <si>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</si>
  <si>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</si>
  <si>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</si>
  <si>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</si>
  <si>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</si>
  <si>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</si>
  <si>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</si>
  <si>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</si>
  <si>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</si>
  <si>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</si>
  <si>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</si>
  <si>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</si>
  <si>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</si>
  <si>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</si>
  <si>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</si>
  <si>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</si>
  <si>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</si>
  <si>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</si>
  <si>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</si>
  <si>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</si>
  <si>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</si>
  <si>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</si>
  <si>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</si>
  <si>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</si>
  <si>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</si>
  <si>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</si>
  <si>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</si>
  <si>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</si>
  <si>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</si>
  <si>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</si>
  <si>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</si>
  <si>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</si>
  <si>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</si>
  <si>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</si>
  <si>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</si>
  <si>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</si>
  <si>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</si>
  <si>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</si>
  <si>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</si>
  <si>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</si>
  <si>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</si>
  <si>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</si>
  <si>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</si>
  <si>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</si>
  <si>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</si>
  <si>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</si>
  <si>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</si>
  <si>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</si>
  <si>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</si>
  <si>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</si>
  <si>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</si>
  <si>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</si>
  <si>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</si>
  <si>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</si>
  <si>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</si>
  <si>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</si>
  <si>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</si>
  <si>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</si>
  <si>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</si>
  <si>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</si>
  <si>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</si>
  <si>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</si>
  <si>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</si>
  <si>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</si>
  <si>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</si>
  <si>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</si>
  <si>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</si>
  <si>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</si>
  <si>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</si>
  <si>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</si>
  <si>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</si>
  <si>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</si>
  <si>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</si>
  <si>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</si>
  <si>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</si>
  <si>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</si>
  <si>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</si>
  <si>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</si>
  <si>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</si>
  <si>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</si>
  <si>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</si>
  <si>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</si>
  <si>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</si>
  <si>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</si>
  <si>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</si>
  <si>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</si>
  <si>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</si>
  <si>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</si>
  <si>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</si>
  <si>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</si>
  <si>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</si>
  <si>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</si>
  <si>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</si>
  <si>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</si>
  <si>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</si>
  <si>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</si>
  <si>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</si>
  <si>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</si>
  <si>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</si>
  <si>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</si>
  <si>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</si>
  <si>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</si>
  <si>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</si>
  <si>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</si>
  <si>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</si>
  <si>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</si>
  <si>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</si>
  <si>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</si>
  <si>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</si>
  <si>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</si>
  <si>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</si>
  <si>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</si>
  <si>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</si>
  <si>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</si>
  <si>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</si>
  <si>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</si>
  <si>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</si>
  <si>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</si>
  <si>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</si>
  <si>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</si>
  <si>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</si>
  <si>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</si>
  <si>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</si>
  <si>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</si>
  <si>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</si>
  <si>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</si>
  <si>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</si>
  <si>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</si>
  <si>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</si>
  <si>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</si>
  <si>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</si>
  <si>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</si>
  <si>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</si>
  <si>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</si>
  <si>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</si>
  <si>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</si>
  <si>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</si>
  <si>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</si>
  <si>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</si>
  <si>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</si>
  <si>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</si>
  <si>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</si>
  <si>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</si>
  <si>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</si>
  <si>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</si>
  <si>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</si>
  <si>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</si>
  <si>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</si>
  <si>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</si>
  <si>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</si>
  <si>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</si>
  <si>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</si>
  <si>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</si>
  <si>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</si>
  <si>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</si>
  <si>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</si>
  <si>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</si>
  <si>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</si>
  <si>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</si>
  <si>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</si>
  <si>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</si>
  <si>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</si>
  <si>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</si>
  <si>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</si>
  <si>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</si>
  <si>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</si>
  <si>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</si>
  <si>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</si>
  <si>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</si>
  <si>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</si>
  <si>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</si>
  <si>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</si>
  <si>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</si>
  <si>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</si>
  <si>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</si>
  <si>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</si>
  <si>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</si>
  <si>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</si>
  <si>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</si>
  <si>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</si>
  <si>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</si>
  <si>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</si>
  <si>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</si>
  <si>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</si>
  <si>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</si>
  <si>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</si>
  <si>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</si>
  <si>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</si>
  <si>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</si>
  <si>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</si>
  <si>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</si>
  <si>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</si>
  <si>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</si>
  <si>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</si>
  <si>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</si>
  <si>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</si>
  <si>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</si>
  <si>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</si>
  <si>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</si>
  <si>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</si>
  <si>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</si>
  <si>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</si>
  <si>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</si>
  <si>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</si>
  <si>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</si>
  <si>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</si>
  <si>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</si>
  <si>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</si>
  <si>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</si>
  <si>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</si>
  <si>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</si>
  <si>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</si>
  <si>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</si>
  <si>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</si>
  <si>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</si>
  <si>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</si>
  <si>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</si>
  <si>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</si>
  <si>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</si>
  <si>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</si>
  <si>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</si>
  <si>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</si>
  <si>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</si>
  <si>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</si>
  <si>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</si>
  <si>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</si>
  <si>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</si>
  <si>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</si>
  <si>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</si>
  <si>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</si>
  <si>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</si>
  <si>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</si>
  <si>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</si>
  <si>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</si>
  <si>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</si>
  <si>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</si>
  <si>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</si>
  <si>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</si>
  <si>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</si>
  <si>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</si>
  <si>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</si>
  <si>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</si>
  <si>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</si>
  <si>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</si>
  <si>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</si>
  <si>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</si>
  <si>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</si>
  <si>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</si>
  <si>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</si>
  <si>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</si>
  <si>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</si>
  <si>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</si>
  <si>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</si>
  <si>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</si>
  <si>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</si>
  <si>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</si>
  <si>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</si>
  <si>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</si>
  <si>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</si>
  <si>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</si>
  <si>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</si>
  <si>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</si>
  <si>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</si>
  <si>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</si>
  <si>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</si>
  <si>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</si>
  <si>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</si>
  <si>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</si>
  <si>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</si>
  <si>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</si>
  <si>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</si>
  <si>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</si>
  <si>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</si>
  <si>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</si>
  <si>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</si>
  <si>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</si>
  <si>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</si>
  <si>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</si>
  <si>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</si>
  <si>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</si>
  <si>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</si>
  <si>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</si>
  <si>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</si>
  <si>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</si>
  <si>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</si>
  <si>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</si>
  <si>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</si>
  <si>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</si>
  <si>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</si>
  <si>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</si>
  <si>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</si>
  <si>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</si>
  <si>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</si>
  <si>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</si>
  <si>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</si>
  <si>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</si>
  <si>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</si>
  <si>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</si>
  <si>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</si>
  <si>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</si>
  <si>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</si>
  <si>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</si>
  <si>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</si>
  <si>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</si>
  <si>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</si>
  <si>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</si>
  <si>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</si>
  <si>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</si>
  <si>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</si>
  <si>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</si>
  <si>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</si>
  <si>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</si>
  <si>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</si>
  <si>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</si>
  <si>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</si>
  <si>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</si>
  <si>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</si>
  <si>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</si>
  <si>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</si>
  <si>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</si>
  <si>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</si>
  <si>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</si>
  <si>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</si>
  <si>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</si>
  <si>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</si>
  <si>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</si>
  <si>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</si>
  <si>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</si>
  <si>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</si>
  <si>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</si>
  <si>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</si>
  <si>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</si>
  <si>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</si>
  <si>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</si>
  <si>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</si>
  <si>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</si>
  <si>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</si>
  <si>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</si>
  <si>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</si>
  <si>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</si>
  <si>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</si>
  <si>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</si>
  <si>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</si>
  <si>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</si>
  <si>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</si>
  <si>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</si>
  <si>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</si>
  <si>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</si>
  <si>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</si>
  <si>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</si>
  <si>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</si>
  <si>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</si>
  <si>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</si>
  <si>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</si>
  <si>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</si>
  <si>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</si>
  <si>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</si>
  <si>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</si>
  <si>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</si>
  <si>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</si>
  <si>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</si>
  <si>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</si>
  <si>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</si>
  <si>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</si>
  <si>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</si>
  <si>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</si>
  <si>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</si>
  <si>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</si>
  <si>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</si>
  <si>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</si>
  <si>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</si>
  <si>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</si>
  <si>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</si>
  <si>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</si>
  <si>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</si>
  <si>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</si>
  <si>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</si>
  <si>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</si>
  <si>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</si>
  <si>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</si>
  <si>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</si>
  <si>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</si>
  <si>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</si>
  <si>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</si>
  <si>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</si>
  <si>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</si>
  <si>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</si>
  <si>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</si>
  <si>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</si>
  <si>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</si>
  <si>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</si>
  <si>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</si>
  <si>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</si>
  <si>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</si>
  <si>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</si>
  <si>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</si>
  <si>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</si>
  <si>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</si>
  <si>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</si>
  <si>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</si>
  <si>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</si>
  <si>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</si>
  <si>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</si>
  <si>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</si>
  <si>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</si>
  <si>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</si>
  <si>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</si>
  <si>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</si>
  <si>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</si>
  <si>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</si>
  <si>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</si>
  <si>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</si>
  <si>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</si>
  <si>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</si>
  <si>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</si>
  <si>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</si>
  <si>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</si>
  <si>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</si>
  <si>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</si>
  <si>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</si>
  <si>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</si>
  <si>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</si>
  <si>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</si>
  <si>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</si>
  <si>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</si>
  <si>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</si>
  <si>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</si>
  <si>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</si>
  <si>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</si>
  <si>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</si>
  <si>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</si>
  <si>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</si>
  <si>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</si>
  <si>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</si>
  <si>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</si>
  <si>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</si>
  <si>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</si>
  <si>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</si>
  <si>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</si>
  <si>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</si>
  <si>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</si>
  <si>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</si>
  <si>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</si>
  <si>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</si>
  <si>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</si>
  <si>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</si>
  <si>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</si>
  <si>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</si>
  <si>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</si>
  <si>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</si>
  <si>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</si>
  <si>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</si>
  <si>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</si>
  <si>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</si>
  <si>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</si>
  <si>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</si>
  <si>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</si>
  <si>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</si>
  <si>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</si>
  <si>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</si>
  <si>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</si>
  <si>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</si>
  <si>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</si>
  <si>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</si>
  <si>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</si>
  <si>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</si>
  <si>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</si>
  <si>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</si>
  <si>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</si>
  <si>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</si>
  <si>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</si>
  <si>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</si>
  <si>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</si>
  <si>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</si>
  <si>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</si>
  <si>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</si>
  <si>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</si>
  <si>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</si>
  <si>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</si>
  <si>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</si>
  <si>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</si>
  <si>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</si>
  <si>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</si>
  <si>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</si>
  <si>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</si>
  <si>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</si>
  <si>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</si>
  <si>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</si>
  <si>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</si>
  <si>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</si>
  <si>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</si>
  <si>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</si>
  <si>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</si>
  <si>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</si>
  <si>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</si>
  <si>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</si>
  <si>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</si>
  <si>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</si>
  <si>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</si>
  <si>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</si>
  <si>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</si>
  <si>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</si>
  <si>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</si>
  <si>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</si>
  <si>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</si>
  <si>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</si>
  <si>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</si>
  <si>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</si>
  <si>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</si>
  <si>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</si>
  <si>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</si>
  <si>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</si>
  <si>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</si>
  <si>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</si>
  <si>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</si>
  <si>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</si>
  <si>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</si>
  <si>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</si>
  <si>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</si>
  <si>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</si>
  <si>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</si>
  <si>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</si>
  <si>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</si>
  <si>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</si>
  <si>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</si>
  <si>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</si>
  <si>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</si>
  <si>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</si>
  <si>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</si>
  <si>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</si>
  <si>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</si>
  <si>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</si>
  <si>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</si>
  <si>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</si>
  <si>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</si>
  <si>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</si>
  <si>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</si>
  <si>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</si>
  <si>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</si>
  <si>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</si>
  <si>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</si>
  <si>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</si>
  <si>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</si>
  <si>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</si>
  <si>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</si>
  <si>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</si>
  <si>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</si>
  <si>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</si>
  <si>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</si>
  <si>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</si>
  <si>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</si>
  <si>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</si>
  <si>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</si>
  <si>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</si>
  <si>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</si>
  <si>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</si>
  <si>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</si>
  <si>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</si>
  <si>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</si>
  <si>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</si>
  <si>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</si>
  <si>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</si>
  <si>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</si>
  <si>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</si>
  <si>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</si>
  <si>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</si>
  <si>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</si>
  <si>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</si>
  <si>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</si>
  <si>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</si>
  <si>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</si>
  <si>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</si>
  <si>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</si>
  <si>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</si>
  <si>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</si>
  <si>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</si>
  <si>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</si>
  <si>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</si>
  <si>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</si>
  <si>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</si>
  <si>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</si>
  <si>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</si>
  <si>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</si>
  <si>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</si>
  <si>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</si>
  <si>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</si>
  <si>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</si>
  <si>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</si>
  <si>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</si>
  <si>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</si>
  <si>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</si>
  <si>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</si>
  <si>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</si>
  <si>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</si>
  <si>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</si>
  <si>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</si>
  <si>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</si>
  <si>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</si>
  <si>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</si>
  <si>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</si>
  <si>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</si>
  <si>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</si>
  <si>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</si>
  <si>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</si>
  <si>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</si>
  <si>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</si>
  <si>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</si>
  <si>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</si>
  <si>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</si>
  <si>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</si>
  <si>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</si>
  <si>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</si>
  <si>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</si>
  <si>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</si>
  <si>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</si>
  <si>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</si>
  <si>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</si>
  <si>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</si>
  <si>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</si>
  <si>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</si>
  <si>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</si>
  <si>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</si>
  <si>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</si>
  <si>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</si>
  <si>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</si>
  <si>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</si>
  <si>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</si>
  <si>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</si>
  <si>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</si>
  <si>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</si>
  <si>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</si>
  <si>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</si>
  <si>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</si>
  <si>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</si>
  <si>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</si>
  <si>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</si>
  <si>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</si>
  <si>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</si>
  <si>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</si>
  <si>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</si>
  <si>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</si>
  <si>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</si>
  <si>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</si>
  <si>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</si>
  <si>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</si>
  <si>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</si>
  <si>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</si>
  <si>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</si>
  <si>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</si>
  <si>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</si>
  <si>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</si>
  <si>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</si>
  <si>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</si>
  <si>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</si>
  <si>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</si>
  <si>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</si>
  <si>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</si>
  <si>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</si>
  <si>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</si>
  <si>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</si>
  <si>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</si>
  <si>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</si>
  <si>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</si>
  <si>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</si>
  <si>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</si>
  <si>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</si>
  <si>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</si>
  <si>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</si>
  <si>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</si>
  <si>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</si>
  <si>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</si>
  <si>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</si>
  <si>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</si>
  <si>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</si>
  <si>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</si>
  <si>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</si>
  <si>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</si>
  <si>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</si>
  <si>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</si>
  <si>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</si>
  <si>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</si>
  <si>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</si>
  <si>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</si>
  <si>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</si>
  <si>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</si>
  <si>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</si>
  <si>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</si>
  <si>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</si>
  <si>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</si>
  <si>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</si>
  <si>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</si>
  <si>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</si>
  <si>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</si>
  <si>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</si>
  <si>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</si>
  <si>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</si>
  <si>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</si>
  <si>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</si>
  <si>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</si>
  <si>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</si>
  <si>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</si>
  <si>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</si>
  <si>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</si>
  <si>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</si>
  <si>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</si>
  <si>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</si>
  <si>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</si>
  <si>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</si>
  <si>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</si>
  <si>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</si>
  <si>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</si>
  <si>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</si>
  <si>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</si>
  <si>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</si>
  <si>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</si>
  <si>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</si>
  <si>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</si>
  <si>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</si>
  <si>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</si>
  <si>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</si>
  <si>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</si>
  <si>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</si>
  <si>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</si>
  <si>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</si>
  <si>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</si>
  <si>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</si>
  <si>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</si>
  <si>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</si>
  <si>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</si>
  <si>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</si>
  <si>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</si>
  <si>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</si>
  <si>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</si>
  <si>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</si>
  <si>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</si>
  <si>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</si>
  <si>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</si>
  <si>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</si>
  <si>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</si>
  <si>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</si>
  <si>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</si>
  <si>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</si>
  <si>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</si>
  <si>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</si>
  <si>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</si>
  <si>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</si>
  <si>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</si>
  <si>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</si>
  <si>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</si>
  <si>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</si>
  <si>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</si>
  <si>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</si>
  <si>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</si>
  <si>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</si>
  <si>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</si>
  <si>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</si>
  <si>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</si>
  <si>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</si>
  <si>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</si>
  <si>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</si>
  <si>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</si>
  <si>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</si>
  <si>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</si>
  <si>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</si>
  <si>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</si>
  <si>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</si>
  <si>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</si>
  <si>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</si>
  <si>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</si>
  <si>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</si>
  <si>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</si>
  <si>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</si>
  <si>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</si>
  <si>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</si>
  <si>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</si>
  <si>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</si>
  <si>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</si>
  <si>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</si>
  <si>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</si>
  <si>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</si>
  <si>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</si>
  <si>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</si>
  <si>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</si>
  <si>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</si>
  <si>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</si>
  <si>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</si>
  <si>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</si>
  <si>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</si>
  <si>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</si>
  <si>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</si>
  <si>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</si>
  <si>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</si>
  <si>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</si>
  <si>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</si>
  <si>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</si>
  <si>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</si>
  <si>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</si>
  <si>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</si>
  <si>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</si>
  <si>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</si>
  <si>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</si>
  <si>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</si>
  <si>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</si>
  <si>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</si>
  <si>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</si>
  <si>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</si>
  <si>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</si>
  <si>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</si>
  <si>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</si>
  <si>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</si>
  <si>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</si>
  <si>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</si>
  <si>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</si>
  <si>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</si>
  <si>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</si>
  <si>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</si>
  <si>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</si>
  <si>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</si>
  <si>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</si>
  <si>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</si>
  <si>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</si>
  <si>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</si>
  <si>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</si>
  <si>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</si>
  <si>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</si>
  <si>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</si>
  <si>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</si>
  <si>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</si>
  <si>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</si>
  <si>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</si>
  <si>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</si>
  <si>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</si>
  <si>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</si>
  <si>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</si>
  <si>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</si>
  <si>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</si>
  <si>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</si>
  <si>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</si>
  <si>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</si>
  <si>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</si>
  <si>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</si>
  <si>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</si>
  <si>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</si>
  <si>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</si>
  <si>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</si>
  <si>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</si>
  <si>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</si>
  <si>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</si>
  <si>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</si>
  <si>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</si>
  <si>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</si>
  <si>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</si>
  <si>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</si>
  <si>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</si>
  <si>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</si>
  <si>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</si>
  <si>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</si>
  <si>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</si>
  <si>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</si>
  <si>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</si>
  <si>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</si>
  <si>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</si>
  <si>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</si>
  <si>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</si>
  <si>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</si>
  <si>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</si>
  <si>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</si>
  <si>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</si>
  <si>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</si>
  <si>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</si>
  <si>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</si>
  <si>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</si>
  <si>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</si>
  <si>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</si>
  <si>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</si>
  <si>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</si>
  <si>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</si>
  <si>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</si>
  <si>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</si>
  <si>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</si>
  <si>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</si>
  <si>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</si>
  <si>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</si>
  <si>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</si>
  <si>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</si>
  <si>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</si>
  <si>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</si>
  <si>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</si>
  <si>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</si>
  <si>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</si>
  <si>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</si>
  <si>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</si>
  <si>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</si>
  <si>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</si>
  <si>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</si>
  <si>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</si>
  <si>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</si>
  <si>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</si>
  <si>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</si>
  <si>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</si>
  <si>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</si>
  <si>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</si>
  <si>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</si>
  <si>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</si>
  <si>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</si>
  <si>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</si>
  <si>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</si>
  <si>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</si>
  <si>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</si>
  <si>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</si>
  <si>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</si>
  <si>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</si>
  <si>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</si>
  <si>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</si>
  <si>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</si>
  <si>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</si>
  <si>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</si>
  <si>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</si>
  <si>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</si>
  <si>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</si>
  <si>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</si>
  <si>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</si>
  <si>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</si>
  <si>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</si>
  <si>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</si>
  <si>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</si>
  <si>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</si>
  <si>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</si>
  <si>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</si>
  <si>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</si>
  <si>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</si>
  <si>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</si>
  <si>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</si>
  <si>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</si>
  <si>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</si>
  <si>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</si>
  <si>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</si>
  <si>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</si>
  <si>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</si>
  <si>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</si>
  <si>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</si>
  <si>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</si>
  <si>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</si>
  <si>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</si>
  <si>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</si>
  <si>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</si>
  <si>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</si>
  <si>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</si>
  <si>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</si>
  <si>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</si>
  <si>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</si>
  <si>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</si>
  <si>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</si>
  <si>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</si>
  <si>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</si>
  <si>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</si>
  <si>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</si>
  <si>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</si>
  <si>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</si>
  <si>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</si>
  <si>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</si>
  <si>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</si>
  <si>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</si>
  <si>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</si>
  <si>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</si>
  <si>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</si>
  <si>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</si>
  <si>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</si>
  <si>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</si>
  <si>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</si>
  <si>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</si>
  <si>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</si>
  <si>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</si>
  <si>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</si>
  <si>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</si>
  <si>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</si>
  <si>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</si>
  <si>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</si>
  <si>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</si>
  <si>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</si>
  <si>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</si>
  <si>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</si>
  <si>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</si>
  <si>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</si>
  <si>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</si>
  <si>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</si>
  <si>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</si>
  <si>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</si>
  <si>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</si>
  <si>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</si>
  <si>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</si>
  <si>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</si>
  <si>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</si>
  <si>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</si>
  <si>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</si>
  <si>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</si>
  <si>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</si>
  <si>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</si>
  <si>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</si>
  <si>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</si>
  <si>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</si>
  <si>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</si>
  <si>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</si>
  <si>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</si>
  <si>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</si>
  <si>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</si>
  <si>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</si>
  <si>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</si>
  <si>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</si>
  <si>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</si>
  <si>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</si>
  <si>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</si>
  <si>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</si>
  <si>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</si>
  <si>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</si>
  <si>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</si>
  <si>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</si>
  <si>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</si>
  <si>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</si>
  <si>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</si>
  <si>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</si>
  <si>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</si>
  <si>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</si>
  <si>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</si>
  <si>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</si>
  <si>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</si>
  <si>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</si>
  <si>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</si>
  <si>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</si>
  <si>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</si>
  <si>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</si>
  <si>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</si>
  <si>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</si>
  <si>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</si>
  <si>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</si>
  <si>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</si>
  <si>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</si>
  <si>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</si>
  <si>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</si>
  <si>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</si>
  <si>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</si>
  <si>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</si>
  <si>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</si>
  <si>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</si>
  <si>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</si>
  <si>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</si>
  <si>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</si>
  <si>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</si>
  <si>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</si>
  <si>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</si>
  <si>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</si>
  <si>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</si>
  <si>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</si>
  <si>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</si>
  <si>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</si>
  <si>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</si>
  <si>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</si>
  <si>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</si>
  <si>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</si>
  <si>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</si>
  <si>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</si>
  <si>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</si>
  <si>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</si>
  <si>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</si>
  <si>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</si>
  <si>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</si>
  <si>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</si>
  <si>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</si>
  <si>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</si>
  <si>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</si>
  <si>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</si>
  <si>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</si>
  <si>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</si>
  <si>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</si>
  <si>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</si>
  <si>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</si>
  <si>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</si>
  <si>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</si>
  <si>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</si>
  <si>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</si>
  <si>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</si>
  <si>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</si>
  <si>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</si>
  <si>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</si>
  <si>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</si>
  <si>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</si>
  <si>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</si>
  <si>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</si>
  <si>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</si>
  <si>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</si>
  <si>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</si>
  <si>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</si>
  <si>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</si>
  <si>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</si>
  <si>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</si>
  <si>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</si>
  <si>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</si>
  <si>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</si>
  <si>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</si>
  <si>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</si>
  <si>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</si>
  <si>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</si>
  <si>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</si>
  <si>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</si>
  <si>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</si>
  <si>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</si>
  <si>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</si>
  <si>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</si>
  <si>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</si>
  <si>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</si>
  <si>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</si>
  <si>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</si>
  <si>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</si>
  <si>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</si>
  <si>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</si>
  <si>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</si>
  <si>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</si>
  <si>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</si>
  <si>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</si>
  <si>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</si>
  <si>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</si>
  <si>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</si>
  <si>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</si>
  <si>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</si>
  <si>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</si>
  <si>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</si>
  <si>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</si>
  <si>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</si>
  <si>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</si>
  <si>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</si>
  <si>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</si>
  <si>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</si>
  <si>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</si>
  <si>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</si>
  <si>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</si>
  <si>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</si>
  <si>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</si>
  <si>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</si>
  <si>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</si>
  <si>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</si>
  <si>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</si>
  <si>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</si>
  <si>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</si>
  <si>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</si>
  <si>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</si>
  <si>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</si>
  <si>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</si>
  <si>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</si>
  <si>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</si>
  <si>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</si>
  <si>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</si>
  <si>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</si>
  <si>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</si>
  <si>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</si>
  <si>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</si>
  <si>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</si>
  <si>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</si>
  <si>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</si>
  <si>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</si>
  <si>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</si>
  <si>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</si>
  <si>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</si>
  <si>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</si>
  <si>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</si>
  <si>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</si>
  <si>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</si>
  <si>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</si>
  <si>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</si>
  <si>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</si>
  <si>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</si>
  <si>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</si>
  <si>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</si>
  <si>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</si>
  <si>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</si>
  <si>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</si>
  <si>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</si>
  <si>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</si>
  <si>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</si>
  <si>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</si>
  <si>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</si>
  <si>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</si>
  <si>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</si>
  <si>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</si>
  <si>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</si>
  <si>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</si>
  <si>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</si>
  <si>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</si>
  <si>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</si>
  <si>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</si>
  <si>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</si>
  <si>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</si>
  <si>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</si>
  <si>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</si>
  <si>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</si>
  <si>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</si>
  <si>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</si>
  <si>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</si>
  <si>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</si>
  <si>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</si>
  <si>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</si>
  <si>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</si>
  <si>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</si>
  <si>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</si>
  <si>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</si>
  <si>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</si>
  <si>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</si>
  <si>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</si>
  <si>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</si>
  <si>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</si>
  <si>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</si>
  <si>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</si>
  <si>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</si>
  <si>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</si>
  <si>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</si>
  <si>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</si>
  <si>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</si>
  <si>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</si>
  <si>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</si>
  <si>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</si>
  <si>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</si>
  <si>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</si>
  <si>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</si>
  <si>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</si>
  <si>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</si>
  <si>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</si>
  <si>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</si>
  <si>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</si>
  <si>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</si>
  <si>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</si>
  <si>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</si>
  <si>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</si>
  <si>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</si>
  <si>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</si>
  <si>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</si>
  <si>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</si>
  <si>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</si>
  <si>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</si>
  <si>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</si>
  <si>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</si>
  <si>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</si>
  <si>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</si>
  <si>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</si>
  <si>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</si>
  <si>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</si>
  <si>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</si>
  <si>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</si>
  <si>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</si>
  <si>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</si>
  <si>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</si>
  <si>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</si>
  <si>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</si>
  <si>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</si>
  <si>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</si>
  <si>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</si>
  <si>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</si>
  <si>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</si>
  <si>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</si>
  <si>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</si>
  <si>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</si>
  <si>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</si>
  <si>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</si>
  <si>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</si>
  <si>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</si>
  <si>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</si>
  <si>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</si>
  <si>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</si>
  <si>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</si>
  <si>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</si>
  <si>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</si>
  <si>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</si>
  <si>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</si>
  <si>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</si>
  <si>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</si>
  <si>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</si>
  <si>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</si>
  <si>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</si>
  <si>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</si>
  <si>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</si>
  <si>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</si>
  <si>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</si>
  <si>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</si>
  <si>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</si>
  <si>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</si>
  <si>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</si>
  <si>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</si>
  <si>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</si>
  <si>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</si>
  <si>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</si>
  <si>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</si>
  <si>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</si>
  <si>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</si>
  <si>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</si>
  <si>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</si>
  <si>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</si>
  <si>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</si>
  <si>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</si>
  <si>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</si>
  <si>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</si>
  <si>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</si>
  <si>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</si>
  <si>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</si>
  <si>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</si>
  <si>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</si>
  <si>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</si>
  <si>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</si>
  <si>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</si>
  <si>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</si>
  <si>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</si>
  <si>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</si>
  <si>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</si>
  <si>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</si>
  <si>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</si>
  <si>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</si>
  <si>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</si>
  <si>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</si>
  <si>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</si>
  <si>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</si>
  <si>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</si>
  <si>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</si>
  <si>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</si>
  <si>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</si>
  <si>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</si>
  <si>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</si>
  <si>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</si>
  <si>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</si>
  <si>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</si>
  <si>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</si>
  <si>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</si>
  <si>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</si>
  <si>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</si>
  <si>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</si>
  <si>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</si>
  <si>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</si>
  <si>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</si>
  <si>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</si>
  <si>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</si>
  <si>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</si>
  <si>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</si>
  <si>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</si>
  <si>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</si>
  <si>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</si>
  <si>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</si>
  <si>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</si>
  <si>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</si>
  <si>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</si>
  <si>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</si>
  <si>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</si>
  <si>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</si>
  <si>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</si>
  <si>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</si>
  <si>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</si>
  <si>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</si>
  <si>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</si>
  <si>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</si>
  <si>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</si>
  <si>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</si>
  <si>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</si>
  <si>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</si>
  <si>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</si>
  <si>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</si>
  <si>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</si>
  <si>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</si>
  <si>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</si>
  <si>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</si>
  <si>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</si>
  <si>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</si>
  <si>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</si>
  <si>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</si>
  <si>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</si>
  <si>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</si>
  <si>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</si>
  <si>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</si>
  <si>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</si>
  <si>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</si>
  <si>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</si>
  <si>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</si>
  <si>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</si>
  <si>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</si>
  <si>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</si>
  <si>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</si>
  <si>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</si>
  <si>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</si>
  <si>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</si>
  <si>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</si>
  <si>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</si>
  <si>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</si>
  <si>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</si>
  <si>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</si>
  <si>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</si>
  <si>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</si>
  <si>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</si>
  <si>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</si>
  <si>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</si>
  <si>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</si>
  <si>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</si>
  <si>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</si>
  <si>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</si>
  <si>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</si>
  <si>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</si>
  <si>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</si>
  <si>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</si>
  <si>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</si>
  <si>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</si>
  <si>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</si>
  <si>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</si>
  <si>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</si>
  <si>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</si>
  <si>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</si>
  <si>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</si>
  <si>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</si>
  <si>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</si>
  <si>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</si>
  <si>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</si>
  <si>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</si>
  <si>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</si>
  <si>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</si>
  <si>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</si>
  <si>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</si>
  <si>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</si>
  <si>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</si>
  <si>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</si>
  <si>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</si>
  <si>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</si>
  <si>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</si>
  <si>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</si>
  <si>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</si>
  <si>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</si>
  <si>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</si>
  <si>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</si>
  <si>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</si>
  <si>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</si>
  <si>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</si>
  <si>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</si>
  <si>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</si>
  <si>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</si>
  <si>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</si>
  <si>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</si>
  <si>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</si>
  <si>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</si>
  <si>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</si>
  <si>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</si>
  <si>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</si>
  <si>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</si>
  <si>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</si>
  <si>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</si>
  <si>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</si>
  <si>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</si>
  <si>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</si>
  <si>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</si>
  <si>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</si>
  <si>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</si>
  <si>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</si>
  <si>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</si>
  <si>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</si>
  <si>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</si>
  <si>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</si>
  <si>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</si>
  <si>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</si>
  <si>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</si>
  <si>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</si>
  <si>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</si>
  <si>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</si>
  <si>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</si>
  <si>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</si>
  <si>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</si>
  <si>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</si>
  <si>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</si>
  <si>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</si>
  <si>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</si>
  <si>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</si>
  <si>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</si>
  <si>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</si>
  <si>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</si>
  <si>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</si>
  <si>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</si>
  <si>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</si>
  <si>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</si>
  <si>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</si>
  <si>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</si>
  <si>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</si>
  <si>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</si>
  <si>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</si>
  <si>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</si>
  <si>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</si>
  <si>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</si>
  <si>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</si>
  <si>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</si>
  <si>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</si>
  <si>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</si>
  <si>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</si>
  <si>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</si>
  <si>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</si>
  <si>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</si>
  <si>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</si>
  <si>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</si>
  <si>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</si>
  <si>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</si>
  <si>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</si>
  <si>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</si>
  <si>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</si>
  <si>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</si>
  <si>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</si>
  <si>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</si>
  <si>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</si>
  <si>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</si>
  <si>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</si>
  <si>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</si>
  <si>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</si>
  <si>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</si>
  <si>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</si>
  <si>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</si>
  <si>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</si>
  <si>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</si>
  <si>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</si>
  <si>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</si>
  <si>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</si>
  <si>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</si>
  <si>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</si>
  <si>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</si>
  <si>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</si>
  <si>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</si>
  <si>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</si>
  <si>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</si>
  <si>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</si>
  <si>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</si>
  <si>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</si>
  <si>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</si>
  <si>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</si>
  <si>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</si>
  <si>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</si>
  <si>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</si>
  <si>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</si>
  <si>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</si>
  <si>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</si>
  <si>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</si>
  <si>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</si>
  <si>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</si>
  <si>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</si>
  <si>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</si>
  <si>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</si>
  <si>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</si>
  <si>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</si>
  <si>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</si>
  <si>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</si>
  <si>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</si>
  <si>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</si>
  <si>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</si>
  <si>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</si>
  <si>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</si>
  <si>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</si>
  <si>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</si>
  <si>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</si>
  <si>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</si>
  <si>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</si>
  <si>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</si>
  <si>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</si>
  <si>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</si>
  <si>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</si>
  <si>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</si>
  <si>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</si>
  <si>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</si>
  <si>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</si>
  <si>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</si>
  <si>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</si>
  <si>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</si>
  <si>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</si>
  <si>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</si>
  <si>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</si>
  <si>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</si>
  <si>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</si>
  <si>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</si>
  <si>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</si>
  <si>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</si>
  <si>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</si>
  <si>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</si>
  <si>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</si>
  <si>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</si>
  <si>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</si>
  <si>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</si>
  <si>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</si>
  <si>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</si>
  <si>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</si>
  <si>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</si>
  <si>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</si>
  <si>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</si>
  <si>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</si>
  <si>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</si>
  <si>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</si>
  <si>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</si>
  <si>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</si>
  <si>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</si>
  <si>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</si>
  <si>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</si>
  <si>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</si>
  <si>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</si>
  <si>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</si>
  <si>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</si>
  <si>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</si>
  <si>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</si>
  <si>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</si>
  <si>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</si>
  <si>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</si>
  <si>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</si>
  <si>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</si>
  <si>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</si>
  <si>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</si>
  <si>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</si>
  <si>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</si>
  <si>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</si>
  <si>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</si>
  <si>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</si>
  <si>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</si>
  <si>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</si>
  <si>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</si>
  <si>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</si>
  <si>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</si>
  <si>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</si>
  <si>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</si>
  <si>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</si>
  <si>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</si>
  <si>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</si>
  <si>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</si>
  <si>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</si>
  <si>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</si>
  <si>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</si>
  <si>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</si>
  <si>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</si>
  <si>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</si>
  <si>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</si>
  <si>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</si>
  <si>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</si>
  <si>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</si>
  <si>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</si>
  <si>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</si>
  <si>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</si>
  <si>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</si>
  <si>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</si>
  <si>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</si>
  <si>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</si>
  <si>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</si>
  <si>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</si>
  <si>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</si>
  <si>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</si>
  <si>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</si>
  <si>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</si>
  <si>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</si>
  <si>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</si>
  <si>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</si>
  <si>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</si>
  <si>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</si>
  <si>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</si>
  <si>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</si>
  <si>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</si>
  <si>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</si>
  <si>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</si>
  <si>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</si>
  <si>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</si>
  <si>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</si>
  <si>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</si>
  <si>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</si>
  <si>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</si>
  <si>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</si>
  <si>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</si>
  <si>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</si>
  <si>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</si>
  <si>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</si>
  <si>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</si>
  <si>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</si>
  <si>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</si>
  <si>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</si>
  <si>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</si>
  <si>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</si>
  <si>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</si>
  <si>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</si>
  <si>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</si>
  <si>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</si>
  <si>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</si>
  <si>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</si>
  <si>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</si>
  <si>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</si>
  <si>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</si>
  <si>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</si>
  <si>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</si>
  <si>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</si>
  <si>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</si>
  <si>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</si>
  <si>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</si>
  <si>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</si>
  <si>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</si>
  <si>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</si>
  <si>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</si>
  <si>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</si>
  <si>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</si>
  <si>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</si>
  <si>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</si>
  <si>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</si>
  <si>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</si>
  <si>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</si>
  <si>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</si>
  <si>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</si>
  <si>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</si>
  <si>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</si>
  <si>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</si>
  <si>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</si>
  <si>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</si>
  <si>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</si>
  <si>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</si>
  <si>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</si>
  <si>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</si>
  <si>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</si>
  <si>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</si>
  <si>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</si>
  <si>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</si>
  <si>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</si>
  <si>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</si>
  <si>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</si>
  <si>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</si>
  <si>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</si>
  <si>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</si>
  <si>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</si>
  <si>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</si>
  <si>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</si>
  <si>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</si>
  <si>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</si>
  <si>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</si>
  <si>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</si>
  <si>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</si>
  <si>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</si>
  <si>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</si>
  <si>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</si>
  <si>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</si>
  <si>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</si>
  <si>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</si>
  <si>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</si>
  <si>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</si>
  <si>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</si>
  <si>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</si>
  <si>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</si>
  <si>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</si>
  <si>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</si>
  <si>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</si>
  <si>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</si>
  <si>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</si>
  <si>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</si>
  <si>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</si>
  <si>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</si>
  <si>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</si>
  <si>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</si>
  <si>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</si>
  <si>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</si>
  <si>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</si>
  <si>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</si>
  <si>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</si>
  <si>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</si>
  <si>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</si>
  <si>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</si>
  <si>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</si>
  <si>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</si>
  <si>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</si>
  <si>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</si>
  <si>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</si>
  <si>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</si>
  <si>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</si>
  <si>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</si>
  <si>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</si>
  <si>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</si>
  <si>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</si>
  <si>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</si>
  <si>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</si>
  <si>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</si>
  <si>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</si>
  <si>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</si>
  <si>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</si>
  <si>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</si>
  <si>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</si>
  <si>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</si>
  <si>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</si>
  <si>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</si>
  <si>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</si>
  <si>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</si>
  <si>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</si>
  <si>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</si>
  <si>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</si>
  <si>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</si>
  <si>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</si>
  <si>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</si>
  <si>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</si>
  <si>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</si>
  <si>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</si>
  <si>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</si>
  <si>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</si>
  <si>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</si>
  <si>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</si>
  <si>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</si>
  <si>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</si>
  <si>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</si>
  <si>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</si>
  <si>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</si>
  <si>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</si>
  <si>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</si>
  <si>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</si>
  <si>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</si>
  <si>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</si>
  <si>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</si>
  <si>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</si>
  <si>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</si>
  <si>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</si>
  <si>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</si>
  <si>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</si>
  <si>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</si>
  <si>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</si>
  <si>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</si>
  <si>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</si>
  <si>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</si>
  <si>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</si>
  <si>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</si>
  <si>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</si>
  <si>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</si>
  <si>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</si>
  <si>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</si>
  <si>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</si>
  <si>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</si>
  <si>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</si>
  <si>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</si>
  <si>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</si>
  <si>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</si>
  <si>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</si>
  <si>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</si>
  <si>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</si>
  <si>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</si>
  <si>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</si>
  <si>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</si>
  <si>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</si>
  <si>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</si>
  <si>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</si>
  <si>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</si>
  <si>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</si>
  <si>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</si>
  <si>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</si>
  <si>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</si>
  <si>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</si>
  <si>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</si>
  <si>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</si>
  <si>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</si>
  <si>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</si>
  <si>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</si>
  <si>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</si>
  <si>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</si>
  <si>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</si>
  <si>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</si>
  <si>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</si>
  <si>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</si>
  <si>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</si>
  <si>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</si>
  <si>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</si>
  <si>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</si>
  <si>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</si>
  <si>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</si>
  <si>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</si>
  <si>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</si>
  <si>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</si>
  <si>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</si>
  <si>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</si>
  <si>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</si>
  <si>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</si>
  <si>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</si>
  <si>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</si>
  <si>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</si>
  <si>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</si>
  <si>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</si>
  <si>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</si>
  <si>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</si>
  <si>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</si>
  <si>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</si>
  <si>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</si>
  <si>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</si>
  <si>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</si>
  <si>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</si>
  <si>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</si>
  <si>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</si>
  <si>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</si>
  <si>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</si>
  <si>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</si>
  <si>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</si>
  <si>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</si>
  <si>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</si>
  <si>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</si>
  <si>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</si>
  <si>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</si>
  <si>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</si>
  <si>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</si>
  <si>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</si>
  <si>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</si>
  <si>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</si>
  <si>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</si>
  <si>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</si>
  <si>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</si>
  <si>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</si>
  <si>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</si>
  <si>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</si>
  <si>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</si>
  <si>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</si>
  <si>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</si>
  <si>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</si>
  <si>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</si>
  <si>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</si>
  <si>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</si>
  <si>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</si>
  <si>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</si>
  <si>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</si>
  <si>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</si>
  <si>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</si>
  <si>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</si>
  <si>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</si>
  <si>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</si>
  <si>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</si>
  <si>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</si>
  <si>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</si>
  <si>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</si>
  <si>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</si>
  <si>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</si>
  <si>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</si>
  <si>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</si>
  <si>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</si>
  <si>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</si>
  <si>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</si>
  <si>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</si>
  <si>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</si>
  <si>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</si>
  <si>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</si>
  <si>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</si>
  <si>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</si>
  <si>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</si>
  <si>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</si>
  <si>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</si>
  <si>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</si>
  <si>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</si>
  <si>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</si>
  <si>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</si>
  <si>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</si>
  <si>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</si>
  <si>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</si>
  <si>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</si>
  <si>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</si>
  <si>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</si>
  <si>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</si>
  <si>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</si>
  <si>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</si>
  <si>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</si>
  <si>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</si>
  <si>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</si>
  <si>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</si>
  <si>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</si>
  <si>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</si>
  <si>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</si>
  <si>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</si>
  <si>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</si>
  <si>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</si>
  <si>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</si>
  <si>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</si>
  <si>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</si>
  <si>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</si>
  <si>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</si>
  <si>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</si>
  <si>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</si>
  <si>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</si>
  <si>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</si>
  <si>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</si>
  <si>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</si>
  <si>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</si>
  <si>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</si>
  <si>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</si>
  <si>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</si>
  <si>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</si>
  <si>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</si>
  <si>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</si>
  <si>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</si>
  <si>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</si>
  <si>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</si>
  <si>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</si>
  <si>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</si>
  <si>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</si>
  <si>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</si>
  <si>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</si>
  <si>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</si>
  <si>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</si>
  <si>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</si>
  <si>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</si>
  <si>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</si>
  <si>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</si>
  <si>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</si>
  <si>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</si>
  <si>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</si>
  <si>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</si>
  <si>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</si>
  <si>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</si>
  <si>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</si>
  <si>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</si>
  <si>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</si>
  <si>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</si>
  <si>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</si>
  <si>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</si>
  <si>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</si>
  <si>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</si>
  <si>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</si>
  <si>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</si>
  <si>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</si>
  <si>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</si>
  <si>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</si>
  <si>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</si>
  <si>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</si>
  <si>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</si>
  <si>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</si>
  <si>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</si>
  <si>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</si>
  <si>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</si>
  <si>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</si>
  <si>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</si>
  <si>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</si>
  <si>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</si>
  <si>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</si>
  <si>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</si>
  <si>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</si>
  <si>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</si>
  <si>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</si>
  <si>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</si>
  <si>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</si>
  <si>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</si>
  <si>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</si>
  <si>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</si>
  <si>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</si>
  <si>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</si>
  <si>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</si>
  <si>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</si>
  <si>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</si>
  <si>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</si>
  <si>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</si>
  <si>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</si>
  <si>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</si>
  <si>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</si>
  <si>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</si>
  <si>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</si>
  <si>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</si>
  <si>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</si>
  <si>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</si>
  <si>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</si>
  <si>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</si>
  <si>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</si>
  <si>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</si>
  <si>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</si>
  <si>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</si>
  <si>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</si>
  <si>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</si>
  <si>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</si>
  <si>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</si>
  <si>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</si>
  <si>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</si>
  <si>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</si>
  <si>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</si>
  <si>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</si>
  <si>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</si>
  <si>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</si>
  <si>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</si>
  <si>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</si>
  <si>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</si>
  <si>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</si>
  <si>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</si>
  <si>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</si>
  <si>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</si>
  <si>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</si>
  <si>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</si>
  <si>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</si>
  <si>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</si>
  <si>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</si>
  <si>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</si>
  <si>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</si>
  <si>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</si>
  <si>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</si>
  <si>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</si>
  <si>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</si>
  <si>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</si>
  <si>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</si>
  <si>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</si>
  <si>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</si>
  <si>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</si>
  <si>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</si>
  <si>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</si>
  <si>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</si>
  <si>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</si>
  <si>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</si>
  <si>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</si>
  <si>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</si>
  <si>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</si>
  <si>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</si>
  <si>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</si>
  <si>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</si>
  <si>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</si>
  <si>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</si>
  <si>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</si>
  <si>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</si>
  <si>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</si>
  <si>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</si>
  <si>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</si>
  <si>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</si>
  <si>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</si>
  <si>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</si>
  <si>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</si>
  <si>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</si>
  <si>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</si>
  <si>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</si>
  <si>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</si>
  <si>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</si>
  <si>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</si>
  <si>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</si>
  <si>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</si>
  <si>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</si>
  <si>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</si>
  <si>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</si>
  <si>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</si>
  <si>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</si>
  <si>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</si>
  <si>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</si>
  <si>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</si>
  <si>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</si>
  <si>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</si>
  <si>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</si>
  <si>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</si>
  <si>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</si>
  <si>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</si>
  <si>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</si>
  <si>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</si>
  <si>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</si>
  <si>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</si>
  <si>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</si>
  <si>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</si>
  <si>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</si>
  <si>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</si>
  <si>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</si>
  <si>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</si>
  <si>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</si>
  <si>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</si>
  <si>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</si>
  <si>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</si>
  <si>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</si>
  <si>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</si>
  <si>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</si>
  <si>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</si>
  <si>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</si>
  <si>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</si>
  <si>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</si>
  <si>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</si>
  <si>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</si>
  <si>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</si>
  <si>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</si>
  <si>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</si>
  <si>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</si>
  <si>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</si>
  <si>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</si>
  <si>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</si>
  <si>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</si>
  <si>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</si>
  <si>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</si>
  <si>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</si>
  <si>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</si>
  <si>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</si>
  <si>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</si>
  <si>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</si>
  <si>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</si>
  <si>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</si>
  <si>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</si>
  <si>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</si>
  <si>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</si>
  <si>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</si>
  <si>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</si>
  <si>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</si>
  <si>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</si>
  <si>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</si>
  <si>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</si>
  <si>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</si>
  <si>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</si>
  <si>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</si>
  <si>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</si>
  <si>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</si>
  <si>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</si>
  <si>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</si>
  <si>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</si>
  <si>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</si>
  <si>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</si>
  <si>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</si>
  <si>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</si>
  <si>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</si>
  <si>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</si>
  <si>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</si>
  <si>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</si>
  <si>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</si>
  <si>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</si>
  <si>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</si>
  <si>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</si>
  <si>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</si>
  <si>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</si>
  <si>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</si>
  <si>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</si>
  <si>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</si>
  <si>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</si>
  <si>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</si>
  <si>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</si>
  <si>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</si>
  <si>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</si>
  <si>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</si>
  <si>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</si>
  <si>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</si>
  <si>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</si>
  <si>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</si>
  <si>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</si>
  <si>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</si>
  <si>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</si>
  <si>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</si>
  <si>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</si>
  <si>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</si>
  <si>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</si>
  <si>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</si>
  <si>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</si>
  <si>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</si>
  <si>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</si>
  <si>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</si>
  <si>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</si>
  <si>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</si>
  <si>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</si>
  <si>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</si>
  <si>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</si>
  <si>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</si>
  <si>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</si>
  <si>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</si>
  <si>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</si>
  <si>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</si>
  <si>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</si>
  <si>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</si>
  <si>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</si>
  <si>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</si>
  <si>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</si>
  <si>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</si>
  <si>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</si>
  <si>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</si>
  <si>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</si>
  <si>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</si>
  <si>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</si>
  <si>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</si>
  <si>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</si>
  <si>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</si>
  <si>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</si>
  <si>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</si>
  <si>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</si>
  <si>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</si>
  <si>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</si>
  <si>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</si>
  <si>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</si>
  <si>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</si>
  <si>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</si>
  <si>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</si>
  <si>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</si>
  <si>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</si>
  <si>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</si>
  <si>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</si>
  <si>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</si>
  <si>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</si>
  <si>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</si>
  <si>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</si>
  <si>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</si>
  <si>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</si>
  <si>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</si>
  <si>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</si>
  <si>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</si>
  <si>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</si>
  <si>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</si>
  <si>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</si>
  <si>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</si>
  <si>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</si>
  <si>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</si>
  <si>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</si>
  <si>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</si>
  <si>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</si>
  <si>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</si>
  <si>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</si>
  <si>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</si>
  <si>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</si>
  <si>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</si>
  <si>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</si>
  <si>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</si>
  <si>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</si>
  <si>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</si>
  <si>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</si>
  <si>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</si>
  <si>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</si>
  <si>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</si>
  <si>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</si>
  <si>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</si>
  <si>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</si>
  <si>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</si>
  <si>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</si>
  <si>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</si>
  <si>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</si>
  <si>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</si>
  <si>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</si>
  <si>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</si>
  <si>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</si>
  <si>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</si>
  <si>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</si>
  <si>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</si>
  <si>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</si>
  <si>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</si>
  <si>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</si>
  <si>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</si>
  <si>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</si>
  <si>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</si>
  <si>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</si>
  <si>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</si>
  <si>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</si>
  <si>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</si>
  <si>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</si>
  <si>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</si>
  <si>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</si>
  <si>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</si>
  <si>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</si>
  <si>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</si>
  <si>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</si>
  <si>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</si>
  <si>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</si>
  <si>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</si>
  <si>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</si>
  <si>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</si>
  <si>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</si>
  <si>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</si>
  <si>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</si>
  <si>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</si>
  <si>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</si>
  <si>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</si>
  <si>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</si>
  <si>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</si>
  <si>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</si>
  <si>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</si>
  <si>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</si>
  <si>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</si>
  <si>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</si>
  <si>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</si>
  <si>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</si>
  <si>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</si>
  <si>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</si>
  <si>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</si>
  <si>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</si>
  <si>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</si>
  <si>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</si>
  <si>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</si>
  <si>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</si>
  <si>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</si>
  <si>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</si>
  <si>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</si>
  <si>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</si>
  <si>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</si>
  <si>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</si>
  <si>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</si>
  <si>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</si>
  <si>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</si>
  <si>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</si>
  <si>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</si>
  <si>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</si>
  <si>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</si>
  <si>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</si>
  <si>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</si>
  <si>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</si>
  <si>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</si>
  <si>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</si>
  <si>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</si>
  <si>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</si>
  <si>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</si>
  <si>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</si>
  <si>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</si>
  <si>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</si>
  <si>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</si>
  <si>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</si>
  <si>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</si>
  <si>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</si>
  <si>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</si>
  <si>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</si>
  <si>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</si>
  <si>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</si>
  <si>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</si>
  <si>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</si>
  <si>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</si>
  <si>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</si>
  <si>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</si>
  <si>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</si>
  <si>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</si>
  <si>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</si>
  <si>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</si>
  <si>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</si>
  <si>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</si>
  <si>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</si>
  <si>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</si>
  <si>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</si>
  <si>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</si>
  <si>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</si>
  <si>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</si>
  <si>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</si>
  <si>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</si>
  <si>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</si>
  <si>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</si>
  <si>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</si>
  <si>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</si>
  <si>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</si>
  <si>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</si>
  <si>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</si>
  <si>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</si>
  <si>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</si>
  <si>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</si>
  <si>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</si>
  <si>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</si>
  <si>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</si>
  <si>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</si>
  <si>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</si>
  <si>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</si>
  <si>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</si>
  <si>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</si>
  <si>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</si>
  <si>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</si>
  <si>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</si>
  <si>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</si>
  <si>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</si>
  <si>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</si>
  <si>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</si>
  <si>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</si>
  <si>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</si>
  <si>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</si>
  <si>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</si>
  <si>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</si>
  <si>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</si>
  <si>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</si>
  <si>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</si>
  <si>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</si>
  <si>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</si>
  <si>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</si>
  <si>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</si>
  <si>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</si>
  <si>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</si>
  <si>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</si>
  <si>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</si>
  <si>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</si>
  <si>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</si>
  <si>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</si>
  <si>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</si>
  <si>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</si>
  <si>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</si>
  <si>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</si>
  <si>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</si>
  <si>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</si>
  <si>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</si>
  <si>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</si>
  <si>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</si>
  <si>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</si>
  <si>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</si>
  <si>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</si>
  <si>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</si>
  <si>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</si>
  <si>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</si>
  <si>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</si>
  <si>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</si>
  <si>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</si>
  <si>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</si>
  <si>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</si>
  <si>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</si>
  <si>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</si>
  <si>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</si>
  <si>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</si>
  <si>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</si>
  <si>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</si>
  <si>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</si>
  <si>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</si>
  <si>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</si>
  <si>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</si>
  <si>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</si>
  <si>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</si>
  <si>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</si>
  <si>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</si>
  <si>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</si>
  <si>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</si>
  <si>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</si>
  <si>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</si>
  <si>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</si>
  <si>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</si>
  <si>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</si>
  <si>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</si>
  <si>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</si>
  <si>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</si>
  <si>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</si>
  <si>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</si>
  <si>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</si>
  <si>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</si>
  <si>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</si>
  <si>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</si>
  <si>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</si>
  <si>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</si>
  <si>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</si>
  <si>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</si>
  <si>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</si>
  <si>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</si>
  <si>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</si>
  <si>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</si>
  <si>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</si>
  <si>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</si>
  <si>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</si>
  <si>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</si>
  <si>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</si>
  <si>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</si>
  <si>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</si>
  <si>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</si>
  <si>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</si>
  <si>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</si>
  <si>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</si>
  <si>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</si>
  <si>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</si>
  <si>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</si>
  <si>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</si>
  <si>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</si>
  <si>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</si>
  <si>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</si>
  <si>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</si>
  <si>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</si>
  <si>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</si>
  <si>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</si>
  <si>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</si>
  <si>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</si>
  <si>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</si>
  <si>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</si>
  <si>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</si>
  <si>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</si>
  <si>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</si>
  <si>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</si>
  <si>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</si>
  <si>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</si>
  <si>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</si>
  <si>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</si>
  <si>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</si>
  <si>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</si>
  <si>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</si>
  <si>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</si>
  <si>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</si>
  <si>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</si>
  <si>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</si>
  <si>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</si>
  <si>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</si>
  <si>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</si>
  <si>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</si>
  <si>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</si>
  <si>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</si>
  <si>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</si>
  <si>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</si>
  <si>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</si>
  <si>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</si>
  <si>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</si>
  <si>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</si>
  <si>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</si>
  <si>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</si>
  <si>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</si>
  <si>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</si>
  <si>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</si>
  <si>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</si>
  <si>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</si>
  <si>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</si>
  <si>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</si>
  <si>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</si>
  <si>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</si>
  <si>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</si>
  <si>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</si>
  <si>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</si>
  <si>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</si>
  <si>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</si>
  <si>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</si>
  <si>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</si>
  <si>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</si>
  <si>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</si>
  <si>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</si>
  <si>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</si>
  <si>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</si>
  <si>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</si>
  <si>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</si>
  <si>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</si>
  <si>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</si>
  <si>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</si>
  <si>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</si>
  <si>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</si>
  <si>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</si>
  <si>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</si>
  <si>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</si>
  <si>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</si>
  <si>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</si>
  <si>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</si>
  <si>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</si>
  <si>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</si>
  <si>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</si>
  <si>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</si>
  <si>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</si>
  <si>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</si>
  <si>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</si>
  <si>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</si>
  <si>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</si>
  <si>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</si>
  <si>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</si>
  <si>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</si>
  <si>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</si>
  <si>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</si>
  <si>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</si>
  <si>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</si>
  <si>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</si>
  <si>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</si>
  <si>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</si>
  <si>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</si>
  <si>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</si>
  <si>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</si>
  <si>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</si>
  <si>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</si>
  <si>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</si>
  <si>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</si>
  <si>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</si>
  <si>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</si>
  <si>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</si>
  <si>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</si>
  <si>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</si>
  <si>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</si>
  <si>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</si>
  <si>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</si>
  <si>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</si>
  <si>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</si>
  <si>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</si>
  <si>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</si>
  <si>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</si>
  <si>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</si>
  <si>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</si>
  <si>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</si>
  <si>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</si>
  <si>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</si>
  <si>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</si>
  <si>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</si>
  <si>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</si>
  <si>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</si>
  <si>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</si>
  <si>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</si>
  <si>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</si>
  <si>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</si>
  <si>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</si>
  <si>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</si>
  <si>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</si>
  <si>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</si>
  <si>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</si>
  <si>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</si>
  <si>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</si>
  <si>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</si>
  <si>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</si>
  <si>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</si>
  <si>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</si>
  <si>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</si>
  <si>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</si>
  <si>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</si>
  <si>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</si>
  <si>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</si>
  <si>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</si>
  <si>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</si>
  <si>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</si>
  <si>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</si>
  <si>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</si>
  <si>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</si>
  <si>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</si>
  <si>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</si>
  <si>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</si>
  <si>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</si>
  <si>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</si>
  <si>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</si>
  <si>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</si>
  <si>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</si>
  <si>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</si>
  <si>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</si>
  <si>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</si>
  <si>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</si>
  <si>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</si>
  <si>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</si>
  <si>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</si>
  <si>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</si>
  <si>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</si>
  <si>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</si>
  <si>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</si>
  <si>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</si>
  <si>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</si>
  <si>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</si>
  <si>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</si>
  <si>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</si>
  <si>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</si>
  <si>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</si>
  <si>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</si>
  <si>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</si>
  <si>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</si>
  <si>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</si>
  <si>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</si>
  <si>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</si>
  <si>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</si>
  <si>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</si>
  <si>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</si>
  <si>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</si>
  <si>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</si>
  <si>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</si>
  <si>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</si>
  <si>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</si>
  <si>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</si>
  <si>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</si>
  <si>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</si>
  <si>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</si>
  <si>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</si>
  <si>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</si>
  <si>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</si>
  <si>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</si>
  <si>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</si>
  <si>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</si>
  <si>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</si>
  <si>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</si>
  <si>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</si>
  <si>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</si>
  <si>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</si>
  <si>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</si>
  <si>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</si>
  <si>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</si>
  <si>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</si>
  <si>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</si>
  <si>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</si>
  <si>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</si>
  <si>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</si>
  <si>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</si>
  <si>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</si>
  <si>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</si>
  <si>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</si>
  <si>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</si>
  <si>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</si>
  <si>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</si>
  <si>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</si>
  <si>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</si>
  <si>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</si>
  <si>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</si>
  <si>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</si>
  <si>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</si>
  <si>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</si>
  <si>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</si>
  <si>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</si>
  <si>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</si>
  <si>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</si>
  <si>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</si>
  <si>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</si>
  <si>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</si>
  <si>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</si>
  <si>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</si>
  <si>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</si>
  <si>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</si>
  <si>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</si>
  <si>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</si>
  <si>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</si>
  <si>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</si>
  <si>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</si>
  <si>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</si>
  <si>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</si>
  <si>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</si>
  <si>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</si>
  <si>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</si>
  <si>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</si>
  <si>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</si>
  <si>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</si>
  <si>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</si>
  <si>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</si>
  <si>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</si>
  <si>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</si>
  <si>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</si>
  <si>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</si>
  <si>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</si>
  <si>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</si>
  <si>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</si>
  <si>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</si>
  <si>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</si>
  <si>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</si>
  <si>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</si>
  <si>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</si>
  <si>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</si>
  <si>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</si>
  <si>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</si>
  <si>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</si>
  <si>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</si>
  <si>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</si>
  <si>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</si>
  <si>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</si>
  <si>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</si>
  <si>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</si>
  <si>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</si>
  <si>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</si>
  <si>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</si>
  <si>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</si>
  <si>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</si>
  <si>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</si>
  <si>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</si>
  <si>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</si>
  <si>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</si>
  <si>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</si>
  <si>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</si>
  <si>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</si>
  <si>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</si>
  <si>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</si>
  <si>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</si>
  <si>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</si>
  <si>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</si>
  <si>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</si>
  <si>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</si>
  <si>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</si>
  <si>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</si>
  <si>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</si>
  <si>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</si>
  <si>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</si>
  <si>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</si>
  <si>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</si>
  <si>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</si>
  <si>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</si>
  <si>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</si>
  <si>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</si>
  <si>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</si>
  <si>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</si>
  <si>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</si>
  <si>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</si>
  <si>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</si>
  <si>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</si>
  <si>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</si>
  <si>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</si>
  <si>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</si>
  <si>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</si>
  <si>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</si>
  <si>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</si>
  <si>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</si>
  <si>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</si>
  <si>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</si>
  <si>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</si>
  <si>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</si>
  <si>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</si>
  <si>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</si>
  <si>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</si>
  <si>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</si>
  <si>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</si>
  <si>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</si>
  <si>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</si>
  <si>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</si>
  <si>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</si>
  <si>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</si>
  <si>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</si>
  <si>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</si>
  <si>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</si>
  <si>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</si>
  <si>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</si>
  <si>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</si>
  <si>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</si>
  <si>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</si>
  <si>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</si>
  <si>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</si>
  <si>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</si>
  <si>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</si>
  <si>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</si>
  <si>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</si>
  <si>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</si>
  <si>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</si>
  <si>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</si>
  <si>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</si>
  <si>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</si>
  <si>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</si>
  <si>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</si>
  <si>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</si>
  <si>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</si>
  <si>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</si>
  <si>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</si>
  <si>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</si>
  <si>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</si>
  <si>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</si>
  <si>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</si>
  <si>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</si>
  <si>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</si>
  <si>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</si>
  <si>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</si>
  <si>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</si>
  <si>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</si>
  <si>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</si>
  <si>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</si>
  <si>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</si>
  <si>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</si>
  <si>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</si>
  <si>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</si>
  <si>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</si>
  <si>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</si>
  <si>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</si>
  <si>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</si>
  <si>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</si>
  <si>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</si>
  <si>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</si>
  <si>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</si>
  <si>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</si>
  <si>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</si>
  <si>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</si>
  <si>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</si>
  <si>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</si>
  <si>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</si>
  <si>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</si>
  <si>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</si>
  <si>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</si>
  <si>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</si>
  <si>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</si>
  <si>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</si>
  <si>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</si>
  <si>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</si>
  <si>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</si>
  <si>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</si>
  <si>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</si>
  <si>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</si>
  <si>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</si>
  <si>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</si>
  <si>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</si>
  <si>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</si>
  <si>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</si>
  <si>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</si>
  <si>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</si>
  <si>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</si>
  <si>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</si>
  <si>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</si>
  <si>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</si>
  <si>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</si>
  <si>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</si>
  <si>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</si>
  <si>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</si>
  <si>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</si>
  <si>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</si>
  <si>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</si>
  <si>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</si>
  <si>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</si>
  <si>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</si>
  <si>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</si>
  <si>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</si>
  <si>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</si>
  <si>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</si>
  <si>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</si>
  <si>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</si>
  <si>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</si>
  <si>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</si>
  <si>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</si>
  <si>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</si>
  <si>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</si>
  <si>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</si>
  <si>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</si>
  <si>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</si>
  <si>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</si>
  <si>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</si>
  <si>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</si>
  <si>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</si>
  <si>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</si>
  <si>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</si>
  <si>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</si>
  <si>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</si>
  <si>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</si>
  <si>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</si>
  <si>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</si>
  <si>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</si>
  <si>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</si>
  <si>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</si>
  <si>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</si>
  <si>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</si>
  <si>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</si>
  <si>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</si>
  <si>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</si>
  <si>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</si>
  <si>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</si>
  <si>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</si>
  <si>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</si>
  <si>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</si>
  <si>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</si>
  <si>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</si>
  <si>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</si>
  <si>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</si>
  <si>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</si>
  <si>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企业</t>
  </si>
  <si>
    <t>其他：</t>
  </si>
  <si>
    <t>出让</t>
  </si>
  <si>
    <t>住宅</t>
  </si>
  <si>
    <t>住宅</t>
    <phoneticPr fontId="25" type="noConversion"/>
  </si>
  <si>
    <t>60-70（含）</t>
  </si>
  <si>
    <t>较差</t>
  </si>
  <si>
    <t>六通</t>
  </si>
  <si>
    <t>一般</t>
  </si>
  <si>
    <t>洋房</t>
  </si>
  <si>
    <t>洋房</t>
    <phoneticPr fontId="25" type="noConversion"/>
  </si>
  <si>
    <t>高层</t>
  </si>
  <si>
    <t>高层</t>
    <phoneticPr fontId="25" type="noConversion"/>
  </si>
  <si>
    <t>钢混</t>
  </si>
  <si>
    <t>钢混</t>
    <phoneticPr fontId="25" type="noConversion"/>
  </si>
  <si>
    <t>较好</t>
  </si>
  <si>
    <t>较好</t>
    <phoneticPr fontId="25" type="noConversion"/>
  </si>
  <si>
    <t>精装修</t>
  </si>
  <si>
    <t>精装修</t>
    <phoneticPr fontId="25" type="noConversion"/>
  </si>
  <si>
    <t>专业</t>
  </si>
  <si>
    <t>专业</t>
    <phoneticPr fontId="25" type="noConversion"/>
  </si>
  <si>
    <t>普通</t>
  </si>
  <si>
    <t>普通</t>
    <phoneticPr fontId="25" type="noConversion"/>
  </si>
  <si>
    <t>六通</t>
    <phoneticPr fontId="25" type="noConversion"/>
  </si>
  <si>
    <t>平层</t>
  </si>
  <si>
    <t>平层</t>
    <phoneticPr fontId="25" type="noConversion"/>
  </si>
  <si>
    <t>毛坯</t>
  </si>
  <si>
    <t>毛坯</t>
    <phoneticPr fontId="25" type="noConversion"/>
  </si>
  <si>
    <t>椰海润景</t>
    <phoneticPr fontId="3" type="noConversion"/>
  </si>
  <si>
    <t>海口市琼山区红旗镇红旗大道白玉路28号</t>
    <phoneticPr fontId="3" type="noConversion"/>
  </si>
  <si>
    <t>榕庄</t>
    <phoneticPr fontId="3" type="noConversion"/>
  </si>
  <si>
    <t>海口市琼山区云龙镇南区居委会海榆北路66-6号</t>
    <phoneticPr fontId="3" type="noConversion"/>
  </si>
  <si>
    <t>一般</t>
    <phoneticPr fontId="25" type="noConversion"/>
  </si>
  <si>
    <t>成本法</t>
  </si>
  <si>
    <t>假设开发法</t>
  </si>
  <si>
    <t>未包含在土地购买价格中</t>
  </si>
  <si>
    <t>已包含在土地取得成本中</t>
  </si>
  <si>
    <t>地上</t>
  </si>
  <si>
    <t>底商</t>
  </si>
  <si>
    <t>是</t>
  </si>
  <si>
    <t>龙华区龙桥镇</t>
    <phoneticPr fontId="3" type="noConversion"/>
  </si>
  <si>
    <t>住宅</t>
    <phoneticPr fontId="31" type="noConversion"/>
  </si>
  <si>
    <t>较规则</t>
    <phoneticPr fontId="31" type="noConversion"/>
  </si>
  <si>
    <t>较适合</t>
  </si>
  <si>
    <t>较适合</t>
    <phoneticPr fontId="31" type="noConversion"/>
  </si>
  <si>
    <t>六通一平</t>
  </si>
  <si>
    <t>六通一平</t>
    <phoneticPr fontId="31" type="noConversion"/>
  </si>
  <si>
    <t>较好</t>
    <phoneticPr fontId="31" type="noConversion"/>
  </si>
  <si>
    <t>J-01</t>
    <phoneticPr fontId="3" type="noConversion"/>
  </si>
  <si>
    <t xml:space="preserve"> 龙华区龙桥镇</t>
    <phoneticPr fontId="3" type="noConversion"/>
  </si>
  <si>
    <t>51—02</t>
    <phoneticPr fontId="3" type="noConversion"/>
  </si>
  <si>
    <t>秀英区永兴镇</t>
    <phoneticPr fontId="3" type="noConversion"/>
  </si>
  <si>
    <t>23—02</t>
    <phoneticPr fontId="3" type="noConversion"/>
  </si>
  <si>
    <t>独立商业</t>
  </si>
  <si>
    <t>收益法</t>
  </si>
  <si>
    <t>收益法会所</t>
  </si>
  <si>
    <t>收益法会所</t>
    <phoneticPr fontId="16" type="noConversion"/>
  </si>
  <si>
    <t>在建（套用方法）</t>
  </si>
  <si>
    <t>押一</t>
  </si>
  <si>
    <t>按租金收入计税</t>
  </si>
  <si>
    <t>非生产用房</t>
  </si>
  <si>
    <t>省会市名称</t>
  </si>
  <si>
    <t>建筑型式</t>
  </si>
  <si>
    <t>说明</t>
  </si>
  <si>
    <t>多层</t>
  </si>
  <si>
    <t>小高层</t>
  </si>
  <si>
    <t>海口</t>
  </si>
  <si>
    <t>2622</t>
  </si>
  <si>
    <t>2891</t>
  </si>
  <si>
    <t>3124</t>
  </si>
  <si>
    <t>执行全装修标准,主要材料价格变化引起造价指标动态变化。</t>
  </si>
  <si>
    <t>层次</t>
  </si>
  <si>
    <t>房  号</t>
  </si>
  <si>
    <t>套内建筑面积</t>
  </si>
  <si>
    <t>建筑面积</t>
  </si>
  <si>
    <t>规划用途</t>
  </si>
  <si>
    <t>户型</t>
  </si>
  <si>
    <t>1-2层</t>
  </si>
  <si>
    <t>1#</t>
  </si>
  <si>
    <t>其他</t>
  </si>
  <si>
    <t>S101</t>
  </si>
  <si>
    <t>其它</t>
  </si>
  <si>
    <t>S102</t>
  </si>
  <si>
    <t>S103</t>
  </si>
  <si>
    <t>S105</t>
  </si>
  <si>
    <t>S106</t>
  </si>
  <si>
    <t>S107</t>
  </si>
  <si>
    <t>S108</t>
  </si>
  <si>
    <t>S109</t>
  </si>
  <si>
    <t>S110</t>
  </si>
  <si>
    <t>S111</t>
  </si>
  <si>
    <t>一居室</t>
  </si>
  <si>
    <t>二居室</t>
  </si>
  <si>
    <t>3A01</t>
  </si>
  <si>
    <t>3A02</t>
  </si>
  <si>
    <t>3A03</t>
  </si>
  <si>
    <t>3A05</t>
  </si>
  <si>
    <t>3A06</t>
  </si>
  <si>
    <t>3A07</t>
  </si>
  <si>
    <t>3A08</t>
  </si>
  <si>
    <t>1层</t>
  </si>
  <si>
    <t>3层</t>
  </si>
  <si>
    <t>1居室</t>
  </si>
  <si>
    <t>2居室</t>
  </si>
  <si>
    <t>4层</t>
  </si>
  <si>
    <t>5层</t>
  </si>
  <si>
    <t>6层</t>
  </si>
  <si>
    <t>2层</t>
  </si>
  <si>
    <t>S201</t>
  </si>
  <si>
    <t>S202</t>
  </si>
  <si>
    <t>3居室</t>
  </si>
  <si>
    <t>3A09</t>
  </si>
  <si>
    <t>S112</t>
  </si>
  <si>
    <t>S113</t>
  </si>
  <si>
    <t>3A10</t>
  </si>
  <si>
    <t>3A11</t>
  </si>
  <si>
    <t>3A12</t>
  </si>
  <si>
    <t>3A13</t>
  </si>
  <si>
    <t>请录依据文件名称：《海口市城市基础设施配套费征收管理办法》</t>
    <phoneticPr fontId="3" type="noConversion"/>
  </si>
  <si>
    <r>
      <rPr>
        <sz val="10"/>
        <color indexed="8"/>
        <rFont val="宋体"/>
        <family val="3"/>
        <charset val="134"/>
      </rPr>
      <t>海府</t>
    </r>
    <r>
      <rPr>
        <sz val="10"/>
        <color indexed="8"/>
        <rFont val="Arial"/>
        <family val="2"/>
      </rPr>
      <t>[2013]245</t>
    </r>
    <r>
      <rPr>
        <sz val="10"/>
        <color indexed="8"/>
        <rFont val="宋体"/>
        <family val="3"/>
        <charset val="134"/>
      </rPr>
      <t>号</t>
    </r>
    <r>
      <rPr>
        <sz val="10"/>
        <color indexed="8"/>
        <rFont val="Arial"/>
        <family val="2"/>
      </rPr>
      <t xml:space="preserve"> </t>
    </r>
    <r>
      <rPr>
        <sz val="10"/>
        <color indexed="8"/>
        <rFont val="宋体"/>
        <family val="3"/>
        <charset val="134"/>
      </rPr>
      <t>海口市人民政府关于调整</t>
    </r>
    <r>
      <rPr>
        <sz val="10"/>
        <color indexed="8"/>
        <rFont val="Arial"/>
        <family val="2"/>
      </rPr>
      <t xml:space="preserve"> </t>
    </r>
    <r>
      <rPr>
        <sz val="10"/>
        <color indexed="8"/>
        <rFont val="宋体"/>
        <family val="3"/>
        <charset val="134"/>
      </rPr>
      <t>海口市城镇土地使用税级距税额的通告</t>
    </r>
    <phoneticPr fontId="3" type="noConversion"/>
  </si>
  <si>
    <t>项目局部</t>
  </si>
  <si>
    <t>成本比率</t>
  </si>
  <si>
    <t>情况3</t>
  </si>
  <si>
    <t>自行开发建设</t>
  </si>
  <si>
    <t>非个人房产</t>
  </si>
  <si>
    <t>三通一平</t>
  </si>
  <si>
    <t>三通一平</t>
    <phoneticPr fontId="31" type="noConversion"/>
  </si>
  <si>
    <t>企业提供（在右侧录入）</t>
  </si>
  <si>
    <t>比较法-住宅</t>
  </si>
  <si>
    <t>山湖海</t>
    <phoneticPr fontId="3" type="noConversion"/>
  </si>
  <si>
    <t>云龙镇云定路</t>
    <phoneticPr fontId="3" type="noConversion"/>
  </si>
  <si>
    <t>——</t>
    <phoneticPr fontId="143" type="noConversion"/>
  </si>
  <si>
    <t>1期</t>
    <phoneticPr fontId="254" type="noConversion"/>
  </si>
  <si>
    <t>土地</t>
  </si>
  <si>
    <t>大配套</t>
  </si>
  <si>
    <t>前期</t>
  </si>
  <si>
    <t>建安</t>
  </si>
  <si>
    <t>市配</t>
  </si>
  <si>
    <t>公配</t>
  </si>
  <si>
    <t>不可预见费</t>
  </si>
  <si>
    <t>…</t>
  </si>
  <si>
    <t>2期</t>
    <phoneticPr fontId="254" type="noConversion"/>
  </si>
  <si>
    <t>3期</t>
    <phoneticPr fontId="254" type="noConversion"/>
  </si>
  <si>
    <t>4期</t>
    <phoneticPr fontId="254" type="noConversion"/>
  </si>
  <si>
    <t>郑燚</t>
  </si>
  <si>
    <t>王鹏</t>
  </si>
  <si>
    <t>楼栋</t>
  </si>
  <si>
    <t>单元</t>
  </si>
  <si>
    <t>3号楼</t>
  </si>
  <si>
    <t>9号楼</t>
  </si>
  <si>
    <t>分摊公用面积</t>
    <phoneticPr fontId="143" type="noConversion"/>
  </si>
  <si>
    <t>S205</t>
  </si>
  <si>
    <t>合计</t>
    <phoneticPr fontId="143" type="noConversion"/>
  </si>
  <si>
    <t>1号楼</t>
    <phoneticPr fontId="3" type="noConversion"/>
  </si>
  <si>
    <t>2号楼</t>
    <phoneticPr fontId="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</si>
  <si>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</si>
  <si>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</si>
  <si>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</si>
  <si>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</si>
  <si>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</si>
  <si>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</si>
  <si>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1单元</t>
  </si>
  <si>
    <t>1层</t>
    <phoneticPr fontId="143" type="noConversion"/>
  </si>
  <si>
    <t>2单元</t>
  </si>
  <si>
    <t>2层</t>
    <phoneticPr fontId="143" type="noConversion"/>
  </si>
  <si>
    <t>4层</t>
    <phoneticPr fontId="143" type="noConversion"/>
  </si>
  <si>
    <t>5层</t>
    <phoneticPr fontId="143" type="noConversion"/>
  </si>
  <si>
    <t>6层</t>
    <phoneticPr fontId="143" type="noConversion"/>
  </si>
  <si>
    <t>10号楼</t>
  </si>
  <si>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</si>
  <si>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</si>
  <si>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</si>
  <si>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</si>
  <si>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</si>
  <si>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</si>
  <si>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11号楼</t>
  </si>
  <si>
    <t>18号楼</t>
  </si>
  <si>
    <t>19号楼</t>
  </si>
  <si>
    <t>20号楼</t>
  </si>
  <si>
    <t>21号楼</t>
  </si>
  <si>
    <t>22号楼</t>
  </si>
  <si>
    <t>26号楼</t>
  </si>
  <si>
    <t>4号楼</t>
    <phoneticPr fontId="143" type="noConversion"/>
  </si>
  <si>
    <t>5号楼</t>
  </si>
  <si>
    <t>6号楼</t>
  </si>
  <si>
    <t>7号楼</t>
  </si>
  <si>
    <t>12号楼</t>
    <phoneticPr fontId="143" type="noConversion"/>
  </si>
  <si>
    <t>13号楼</t>
  </si>
  <si>
    <t>14号楼</t>
  </si>
  <si>
    <t>15号楼</t>
  </si>
  <si>
    <t>16号楼</t>
  </si>
  <si>
    <t>27号楼</t>
    <phoneticPr fontId="143" type="noConversion"/>
  </si>
  <si>
    <t>28号楼</t>
  </si>
  <si>
    <t>4号楼</t>
    <phoneticPr fontId="143" type="noConversion"/>
  </si>
  <si>
    <t>13号楼</t>
    <phoneticPr fontId="143" type="noConversion"/>
  </si>
  <si>
    <t>商业会所</t>
    <phoneticPr fontId="143" type="noConversion"/>
  </si>
  <si>
    <t>住宅</t>
    <phoneticPr fontId="143" type="noConversion"/>
  </si>
  <si>
    <t>商业</t>
    <phoneticPr fontId="143" type="noConversion"/>
  </si>
  <si>
    <t>会所</t>
    <phoneticPr fontId="143" type="noConversion"/>
  </si>
  <si>
    <t>序号</t>
    <phoneticPr fontId="143" type="noConversion"/>
  </si>
  <si>
    <t>较不规则</t>
  </si>
  <si>
    <t>较不规则</t>
    <phoneticPr fontId="31" type="noConversion"/>
  </si>
  <si>
    <t>序号</t>
  </si>
  <si>
    <r>
      <t>房</t>
    </r>
    <r>
      <rPr>
        <sz val="9"/>
        <color theme="1"/>
        <rFont val="Arial"/>
        <family val="2"/>
      </rPr>
      <t xml:space="preserve">  </t>
    </r>
    <r>
      <rPr>
        <sz val="9"/>
        <color theme="1"/>
        <rFont val="华文细黑"/>
        <family val="3"/>
        <charset val="134"/>
      </rPr>
      <t>号</t>
    </r>
  </si>
  <si>
    <r>
      <t>10</t>
    </r>
    <r>
      <rPr>
        <sz val="9"/>
        <color theme="1"/>
        <rFont val="华文细黑"/>
        <family val="3"/>
        <charset val="134"/>
      </rPr>
      <t>号楼</t>
    </r>
  </si>
  <si>
    <r>
      <t>1</t>
    </r>
    <r>
      <rPr>
        <sz val="9"/>
        <color theme="1"/>
        <rFont val="华文细黑"/>
        <family val="3"/>
        <charset val="134"/>
      </rPr>
      <t>层</t>
    </r>
  </si>
  <si>
    <r>
      <t>1</t>
    </r>
    <r>
      <rPr>
        <sz val="9"/>
        <color theme="1"/>
        <rFont val="华文细黑"/>
        <family val="3"/>
        <charset val="134"/>
      </rPr>
      <t>单元</t>
    </r>
  </si>
  <si>
    <r>
      <t>2</t>
    </r>
    <r>
      <rPr>
        <sz val="9"/>
        <color theme="1"/>
        <rFont val="华文细黑"/>
        <family val="3"/>
        <charset val="134"/>
      </rPr>
      <t>单元</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</si>
  <si>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</si>
  <si>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</si>
  <si>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</si>
  <si>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</si>
  <si>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</si>
  <si>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</si>
  <si>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</si>
  <si>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</si>
  <si>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</si>
  <si>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</si>
  <si>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</si>
  <si>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18</t>
    </r>
    <r>
      <rPr>
        <sz val="9"/>
        <color theme="1"/>
        <rFont val="华文细黑"/>
        <family val="3"/>
        <charset val="134"/>
      </rPr>
      <t>号楼</t>
    </r>
  </si>
  <si>
    <r>
      <t>19</t>
    </r>
    <r>
      <rPr>
        <sz val="9"/>
        <color theme="1"/>
        <rFont val="华文细黑"/>
        <family val="3"/>
        <charset val="134"/>
      </rPr>
      <t>号楼</t>
    </r>
  </si>
  <si>
    <r>
      <t>20</t>
    </r>
    <r>
      <rPr>
        <sz val="9"/>
        <color theme="1"/>
        <rFont val="华文细黑"/>
        <family val="3"/>
        <charset val="134"/>
      </rPr>
      <t>号楼</t>
    </r>
  </si>
  <si>
    <r>
      <t>21</t>
    </r>
    <r>
      <rPr>
        <sz val="9"/>
        <color theme="1"/>
        <rFont val="华文细黑"/>
        <family val="3"/>
        <charset val="134"/>
      </rPr>
      <t>号楼</t>
    </r>
  </si>
  <si>
    <r>
      <t>22</t>
    </r>
    <r>
      <rPr>
        <sz val="9"/>
        <color theme="1"/>
        <rFont val="华文细黑"/>
        <family val="3"/>
        <charset val="134"/>
      </rPr>
      <t>号楼</t>
    </r>
  </si>
  <si>
    <t>3A06</t>
    <phoneticPr fontId="143" type="noConversion"/>
  </si>
  <si>
    <r>
      <t>26</t>
    </r>
    <r>
      <rPr>
        <sz val="9"/>
        <color theme="1"/>
        <rFont val="华文细黑"/>
        <family val="3"/>
        <charset val="134"/>
      </rPr>
      <t>号楼</t>
    </r>
  </si>
  <si>
    <r>
      <t>27</t>
    </r>
    <r>
      <rPr>
        <sz val="9"/>
        <color theme="1"/>
        <rFont val="华文细黑"/>
        <family val="3"/>
        <charset val="134"/>
      </rPr>
      <t>号楼</t>
    </r>
  </si>
  <si>
    <r>
      <t>28</t>
    </r>
    <r>
      <rPr>
        <sz val="9"/>
        <color theme="1"/>
        <rFont val="华文细黑"/>
        <family val="3"/>
        <charset val="134"/>
      </rPr>
      <t>号楼</t>
    </r>
  </si>
  <si>
    <r>
      <t>3</t>
    </r>
    <r>
      <rPr>
        <sz val="9"/>
        <color theme="1"/>
        <rFont val="华文细黑"/>
        <family val="3"/>
        <charset val="134"/>
      </rPr>
      <t>号楼</t>
    </r>
  </si>
  <si>
    <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</si>
  <si>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</si>
  <si>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</si>
  <si>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</si>
  <si>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9</t>
    </r>
    <r>
      <rPr>
        <sz val="9"/>
        <color theme="1"/>
        <rFont val="华文细黑"/>
        <family val="3"/>
        <charset val="134"/>
      </rPr>
      <t>号楼</t>
    </r>
  </si>
  <si>
    <t>5号楼</t>
    <phoneticPr fontId="143" type="noConversion"/>
  </si>
  <si>
    <t>6层</t>
    <phoneticPr fontId="143" type="noConversion"/>
  </si>
  <si>
    <t>住宅</t>
    <phoneticPr fontId="143" type="noConversion"/>
  </si>
  <si>
    <t>6号楼</t>
    <phoneticPr fontId="143" type="noConversion"/>
  </si>
  <si>
    <r>
      <t>1</t>
    </r>
    <r>
      <rPr>
        <sz val="9"/>
        <color theme="1"/>
        <rFont val="华文细黑"/>
        <family val="3"/>
        <charset val="134"/>
      </rPr>
      <t>号楼</t>
    </r>
  </si>
  <si>
    <r>
      <t>1-2</t>
    </r>
    <r>
      <rPr>
        <sz val="9"/>
        <color theme="1"/>
        <rFont val="华文细黑"/>
        <family val="3"/>
        <charset val="134"/>
      </rPr>
      <t>层</t>
    </r>
  </si>
  <si>
    <t>商业会所</t>
  </si>
  <si>
    <r>
      <t>2</t>
    </r>
    <r>
      <rPr>
        <sz val="9"/>
        <color theme="1"/>
        <rFont val="华文细黑"/>
        <family val="3"/>
        <charset val="134"/>
      </rPr>
      <t>号楼</t>
    </r>
  </si>
  <si>
    <t>合计</t>
    <phoneticPr fontId="143" type="noConversion"/>
  </si>
  <si>
    <r>
      <rPr>
        <sz val="9"/>
        <color theme="1"/>
        <rFont val="宋体"/>
        <family val="3"/>
        <charset val="134"/>
      </rPr>
      <t>住宅</t>
    </r>
    <phoneticPr fontId="143" type="noConversion"/>
  </si>
  <si>
    <r>
      <rPr>
        <sz val="9"/>
        <color theme="1"/>
        <rFont val="宋体"/>
        <family val="3"/>
        <charset val="134"/>
      </rPr>
      <t>商业</t>
    </r>
    <phoneticPr fontId="143" type="noConversion"/>
  </si>
  <si>
    <r>
      <rPr>
        <sz val="9"/>
        <color theme="1"/>
        <rFont val="宋体"/>
        <family val="3"/>
        <charset val="134"/>
      </rPr>
      <t>商业会所</t>
    </r>
    <phoneticPr fontId="143" type="noConversion"/>
  </si>
  <si>
    <t>部分</t>
    <phoneticPr fontId="143" type="noConversion"/>
  </si>
  <si>
    <t>一期</t>
    <phoneticPr fontId="143" type="noConversion"/>
  </si>
  <si>
    <t>二期</t>
    <phoneticPr fontId="143" type="noConversion"/>
  </si>
  <si>
    <t>5号楼</t>
    <phoneticPr fontId="143" type="noConversion"/>
  </si>
  <si>
    <t>6层</t>
    <phoneticPr fontId="143" type="noConversion"/>
  </si>
  <si>
    <t>住宅</t>
    <phoneticPr fontId="143" type="noConversion"/>
  </si>
  <si>
    <t>6号楼</t>
    <phoneticPr fontId="143" type="noConversion"/>
  </si>
  <si>
    <t>6层</t>
    <phoneticPr fontId="143" type="noConversion"/>
  </si>
  <si>
    <t>住宅</t>
    <phoneticPr fontId="143" type="noConversion"/>
  </si>
  <si>
    <t>7号楼</t>
    <phoneticPr fontId="143" type="noConversion"/>
  </si>
  <si>
    <t>4层</t>
    <phoneticPr fontId="143" type="noConversion"/>
  </si>
  <si>
    <t>5层</t>
    <phoneticPr fontId="143" type="noConversion"/>
  </si>
  <si>
    <t>9号楼</t>
    <phoneticPr fontId="143" type="noConversion"/>
  </si>
  <si>
    <t>2层</t>
    <phoneticPr fontId="143" type="noConversion"/>
  </si>
  <si>
    <r>
      <t>2</t>
    </r>
    <r>
      <rPr>
        <sz val="9"/>
        <color theme="1"/>
        <rFont val="宋体"/>
        <family val="3"/>
        <charset val="134"/>
      </rPr>
      <t>单元</t>
    </r>
    <phoneticPr fontId="143" type="noConversion"/>
  </si>
  <si>
    <t>3层</t>
    <phoneticPr fontId="143" type="noConversion"/>
  </si>
  <si>
    <r>
      <rPr>
        <sz val="9"/>
        <color theme="1"/>
        <rFont val="宋体"/>
        <family val="2"/>
      </rPr>
      <t>住宅</t>
    </r>
    <phoneticPr fontId="143" type="noConversion"/>
  </si>
  <si>
    <r>
      <rPr>
        <sz val="9"/>
        <color theme="1"/>
        <rFont val="宋体"/>
        <family val="2"/>
      </rPr>
      <t>商业</t>
    </r>
    <phoneticPr fontId="143" type="noConversion"/>
  </si>
  <si>
    <r>
      <rPr>
        <sz val="9"/>
        <color theme="1"/>
        <rFont val="宋体"/>
        <family val="2"/>
      </rPr>
      <t>商业会所</t>
    </r>
    <phoneticPr fontId="143" type="noConversion"/>
  </si>
  <si>
    <t>住宅</t>
    <phoneticPr fontId="143" type="noConversion"/>
  </si>
  <si>
    <t>商业</t>
    <phoneticPr fontId="143" type="noConversion"/>
  </si>
  <si>
    <t>规划建筑面积</t>
    <phoneticPr fontId="143" type="noConversion"/>
  </si>
  <si>
    <t>合计</t>
    <phoneticPr fontId="143" type="noConversion"/>
  </si>
  <si>
    <t>单价</t>
    <phoneticPr fontId="143" type="noConversion"/>
  </si>
  <si>
    <t>总价</t>
    <phoneticPr fontId="143" type="noConversion"/>
  </si>
  <si>
    <t>12号楼</t>
  </si>
  <si>
    <t>27号楼</t>
  </si>
  <si>
    <t>4号楼</t>
  </si>
  <si>
    <t>1号楼</t>
  </si>
  <si>
    <t>2号楼</t>
  </si>
  <si>
    <t>合计</t>
    <phoneticPr fontId="143" type="noConversion"/>
  </si>
  <si>
    <r>
      <rPr>
        <sz val="10"/>
        <color theme="1"/>
        <rFont val="宋体"/>
        <family val="2"/>
      </rPr>
      <t>住宅</t>
    </r>
    <phoneticPr fontId="143" type="noConversion"/>
  </si>
  <si>
    <r>
      <rPr>
        <sz val="10"/>
        <color theme="1"/>
        <rFont val="宋体"/>
        <family val="2"/>
      </rPr>
      <t>商业</t>
    </r>
    <phoneticPr fontId="143" type="noConversion"/>
  </si>
  <si>
    <r>
      <rPr>
        <sz val="10"/>
        <color theme="1"/>
        <rFont val="宋体"/>
        <family val="2"/>
      </rPr>
      <t>商业会所</t>
    </r>
    <phoneticPr fontId="143" type="noConversion"/>
  </si>
  <si>
    <t>出让金+开发费</t>
  </si>
  <si>
    <t>楼面地价</t>
  </si>
  <si>
    <t>序号</t>
    <phoneticPr fontId="143" type="noConversion"/>
  </si>
  <si>
    <t>楼栋</t>
    <phoneticPr fontId="143" type="noConversion"/>
  </si>
  <si>
    <t>层次</t>
    <phoneticPr fontId="143" type="noConversion"/>
  </si>
  <si>
    <t>单元</t>
    <phoneticPr fontId="143" type="noConversion"/>
  </si>
  <si>
    <t>房号</t>
    <phoneticPr fontId="143" type="noConversion"/>
  </si>
  <si>
    <t>建筑面积</t>
    <phoneticPr fontId="143" type="noConversion"/>
  </si>
  <si>
    <t>规划用途</t>
    <phoneticPr fontId="143" type="noConversion"/>
  </si>
  <si>
    <t>—</t>
    <phoneticPr fontId="143" type="noConversion"/>
  </si>
  <si>
    <t>3#-608</t>
  </si>
  <si>
    <t>住宅</t>
    <phoneticPr fontId="143" type="noConversion"/>
  </si>
  <si>
    <t>3#-502</t>
  </si>
  <si>
    <t>3#-3A08</t>
  </si>
  <si>
    <t>5#-607</t>
  </si>
  <si>
    <t>5#-508</t>
  </si>
  <si>
    <t>5#-506</t>
  </si>
  <si>
    <t>5#-505</t>
  </si>
  <si>
    <t>5#-503</t>
  </si>
  <si>
    <t>5#-3A08</t>
  </si>
  <si>
    <t>5#-3A07</t>
  </si>
  <si>
    <t>5#-3A06</t>
  </si>
  <si>
    <t>5#-3A05</t>
  </si>
  <si>
    <t>5#-3A03</t>
  </si>
  <si>
    <t>5#-3A02</t>
  </si>
  <si>
    <t>5#-307</t>
  </si>
  <si>
    <t>5#-306</t>
  </si>
  <si>
    <t>5#-305</t>
  </si>
  <si>
    <t>5#-303</t>
  </si>
  <si>
    <t>5#-302</t>
  </si>
  <si>
    <t>7#-606</t>
  </si>
  <si>
    <t>7#-601</t>
  </si>
  <si>
    <t>7#-501</t>
  </si>
  <si>
    <t>7#-3A07</t>
  </si>
  <si>
    <t>7#-305</t>
  </si>
  <si>
    <t>7#-205</t>
  </si>
  <si>
    <t>7#-202</t>
  </si>
  <si>
    <t>9#-2-601</t>
  </si>
  <si>
    <t>9#-2-506</t>
  </si>
  <si>
    <t>9#-2-503</t>
  </si>
  <si>
    <t>9#-2-502</t>
  </si>
  <si>
    <t>9#-2-501</t>
  </si>
  <si>
    <t>9#-2-201</t>
  </si>
  <si>
    <t>9#-1-607</t>
  </si>
  <si>
    <t>9#-1-601</t>
  </si>
  <si>
    <t>9#-1-501</t>
  </si>
  <si>
    <t>9#-1-3A05</t>
  </si>
  <si>
    <t>9#-1-3A03</t>
  </si>
  <si>
    <t>9#-1-3A02</t>
  </si>
  <si>
    <t>9#-1-307</t>
  </si>
  <si>
    <t>9#-1-305</t>
  </si>
  <si>
    <t>9#-1-303</t>
  </si>
  <si>
    <t>9#-1-301</t>
  </si>
  <si>
    <t>9#-1-205</t>
  </si>
  <si>
    <t>9#-1-201</t>
  </si>
  <si>
    <t>10#-1-3A01</t>
  </si>
  <si>
    <t>11#-2-602</t>
  </si>
  <si>
    <t>11#-2-501</t>
  </si>
  <si>
    <t>11#-2-3A03</t>
  </si>
  <si>
    <t>11#-2-3A02</t>
  </si>
  <si>
    <t>11#-2-305</t>
  </si>
  <si>
    <t>11#-2-303</t>
  </si>
  <si>
    <t>11#-2-302</t>
  </si>
  <si>
    <t>11#-2-203</t>
  </si>
  <si>
    <t>11#-2-202</t>
  </si>
  <si>
    <t>住宅</t>
    <phoneticPr fontId="143" type="noConversion"/>
  </si>
  <si>
    <t>11#-1-601</t>
  </si>
  <si>
    <t>11#-1-501</t>
  </si>
  <si>
    <t>11#-1-3A05</t>
  </si>
  <si>
    <t>11#-1-3A03</t>
  </si>
  <si>
    <t>11#-1-3A02</t>
  </si>
  <si>
    <t>11#-1-3A01</t>
  </si>
  <si>
    <t>11#-1-301</t>
  </si>
  <si>
    <t>11#-1-205</t>
  </si>
  <si>
    <t>11#-1-201</t>
  </si>
  <si>
    <t>13#-2-307</t>
  </si>
  <si>
    <t>19#-2-607</t>
  </si>
  <si>
    <t>19#-2-605</t>
  </si>
  <si>
    <t>19#-2-3A07</t>
  </si>
  <si>
    <t>19#-2-3A01</t>
  </si>
  <si>
    <t>19#-2-306</t>
  </si>
  <si>
    <t>19#-2-303</t>
  </si>
  <si>
    <t>19#-2-205</t>
  </si>
  <si>
    <t>19#-2-202</t>
  </si>
  <si>
    <t>19#-1-603</t>
  </si>
  <si>
    <t>19#-1-602</t>
  </si>
  <si>
    <t>19#-1-601</t>
  </si>
  <si>
    <t>19#-1-501</t>
  </si>
  <si>
    <t>住宅</t>
    <phoneticPr fontId="143" type="noConversion"/>
  </si>
  <si>
    <t>19#-1-3A06</t>
  </si>
  <si>
    <t>19#-1-3A02</t>
  </si>
  <si>
    <t>19#-1-3A01</t>
  </si>
  <si>
    <t>19#-1-301</t>
  </si>
  <si>
    <t>19#-1-206</t>
  </si>
  <si>
    <t>19#-1-202</t>
  </si>
  <si>
    <t>20#-2-607</t>
  </si>
  <si>
    <t>20#-2-601</t>
  </si>
  <si>
    <t>20#-2-505</t>
  </si>
  <si>
    <t>20#-2-503</t>
  </si>
  <si>
    <t>20#-2-502</t>
  </si>
  <si>
    <t>20#-2-3A06</t>
  </si>
  <si>
    <t>20#-2-3A05</t>
  </si>
  <si>
    <t>20#-2-3A02</t>
  </si>
  <si>
    <t>20#-2-305</t>
  </si>
  <si>
    <t>20#-2-303</t>
  </si>
  <si>
    <t>20#-2-302</t>
  </si>
  <si>
    <t>住宅</t>
    <phoneticPr fontId="143" type="noConversion"/>
  </si>
  <si>
    <t>20#-2-301</t>
  </si>
  <si>
    <t>20#-2-206</t>
  </si>
  <si>
    <t>20#-2-205</t>
  </si>
  <si>
    <t>住宅</t>
    <phoneticPr fontId="143" type="noConversion"/>
  </si>
  <si>
    <t>20#-2-203</t>
  </si>
  <si>
    <t>20#-2-202</t>
  </si>
  <si>
    <t>20#-2-201</t>
  </si>
  <si>
    <t>20#-2-102</t>
  </si>
  <si>
    <t>20#-1-607</t>
  </si>
  <si>
    <t>20#-1-606</t>
  </si>
  <si>
    <t>20#-1-601</t>
  </si>
  <si>
    <t>20#-1-506</t>
  </si>
  <si>
    <t>20#-1-505</t>
  </si>
  <si>
    <t>20#-1-503</t>
  </si>
  <si>
    <t>20#-1-502</t>
  </si>
  <si>
    <t>20#-1-501</t>
  </si>
  <si>
    <t>20#-1-3A05</t>
  </si>
  <si>
    <t>20#-1-3A03</t>
  </si>
  <si>
    <t>20#-1-3A02</t>
  </si>
  <si>
    <t>20#-1-3A01</t>
  </si>
  <si>
    <t>20#-1-307</t>
  </si>
  <si>
    <t>20#-1-306</t>
  </si>
  <si>
    <t>20#-1-305</t>
  </si>
  <si>
    <t>20#-1-303</t>
  </si>
  <si>
    <t>20#-1-207</t>
  </si>
  <si>
    <t>20#-1-206</t>
  </si>
  <si>
    <t>20#-1-205</t>
  </si>
  <si>
    <t>20#-1-203</t>
  </si>
  <si>
    <t>—</t>
    <phoneticPr fontId="143" type="noConversion"/>
  </si>
  <si>
    <t>21#-607</t>
  </si>
  <si>
    <t>—</t>
    <phoneticPr fontId="143" type="noConversion"/>
  </si>
  <si>
    <t>21#-601</t>
  </si>
  <si>
    <t>21#-505</t>
  </si>
  <si>
    <t>21#-503</t>
  </si>
  <si>
    <t>21#-502</t>
  </si>
  <si>
    <t>—</t>
    <phoneticPr fontId="143" type="noConversion"/>
  </si>
  <si>
    <t>21#-501</t>
  </si>
  <si>
    <t>21#-3A06</t>
  </si>
  <si>
    <t>21#-3A05</t>
  </si>
  <si>
    <t>21#-3A03</t>
  </si>
  <si>
    <t>21#-3A02</t>
  </si>
  <si>
    <t>21#-3A01</t>
  </si>
  <si>
    <t>21#-306</t>
  </si>
  <si>
    <t>21#-305</t>
  </si>
  <si>
    <t>21#-303</t>
  </si>
  <si>
    <t>21#-302</t>
  </si>
  <si>
    <t>21#-301</t>
  </si>
  <si>
    <t>21#-207</t>
  </si>
  <si>
    <t>21#-206</t>
  </si>
  <si>
    <t>21#-205</t>
  </si>
  <si>
    <t>21#-203</t>
  </si>
  <si>
    <t>21#-202</t>
  </si>
  <si>
    <t>21#-201</t>
  </si>
  <si>
    <t>22#-606</t>
  </si>
  <si>
    <t>22#-501</t>
  </si>
  <si>
    <t>22#-3A01</t>
  </si>
  <si>
    <t>22#-302</t>
  </si>
  <si>
    <t>26#-2-607</t>
  </si>
  <si>
    <t>26#-2-601</t>
  </si>
  <si>
    <t>26#-2-506</t>
  </si>
  <si>
    <t>26#-2-505</t>
  </si>
  <si>
    <t>26#-2-3A07</t>
  </si>
  <si>
    <t>26#-2-3A05</t>
  </si>
  <si>
    <t>26#-2-3A03</t>
  </si>
  <si>
    <t>26#-2-305</t>
  </si>
  <si>
    <t>26#-2-303</t>
  </si>
  <si>
    <t>26#-2-205</t>
  </si>
  <si>
    <t>26#-2-203</t>
  </si>
  <si>
    <t>26#-1-607</t>
  </si>
  <si>
    <t>26#-1-505</t>
  </si>
  <si>
    <t>26#-1-503</t>
  </si>
  <si>
    <t>26#-1-502</t>
  </si>
  <si>
    <t>26#-1-3A06</t>
  </si>
  <si>
    <t>26#-1-3A05</t>
  </si>
  <si>
    <t>26#-1-3A03</t>
  </si>
  <si>
    <t>26#-1-3A02</t>
  </si>
  <si>
    <t>26#-1-305</t>
  </si>
  <si>
    <t>26#-1-303</t>
  </si>
  <si>
    <t>26#-1-302</t>
  </si>
  <si>
    <t>26#-1-206</t>
  </si>
  <si>
    <t>26#-1-205</t>
  </si>
  <si>
    <t>26#-1-203</t>
  </si>
  <si>
    <t>26#-1-202</t>
  </si>
  <si>
    <t>部分</t>
  </si>
  <si>
    <t>房号</t>
  </si>
  <si>
    <t>一期</t>
  </si>
  <si>
    <t>二期</t>
  </si>
  <si>
    <r>
      <t>3</t>
    </r>
    <r>
      <rPr>
        <sz val="9"/>
        <color theme="1"/>
        <rFont val="宋体"/>
        <family val="3"/>
        <charset val="134"/>
      </rPr>
      <t>号楼</t>
    </r>
    <phoneticPr fontId="143" type="noConversion"/>
  </si>
  <si>
    <r>
      <t>5</t>
    </r>
    <r>
      <rPr>
        <sz val="9"/>
        <color theme="1"/>
        <rFont val="宋体"/>
        <family val="3"/>
        <charset val="134"/>
      </rPr>
      <t>号楼</t>
    </r>
    <phoneticPr fontId="143" type="noConversion"/>
  </si>
  <si>
    <r>
      <t>7</t>
    </r>
    <r>
      <rPr>
        <sz val="9"/>
        <color theme="1"/>
        <rFont val="宋体"/>
        <family val="3"/>
        <charset val="134"/>
      </rPr>
      <t>号楼</t>
    </r>
    <phoneticPr fontId="143" type="noConversion"/>
  </si>
  <si>
    <r>
      <t>9</t>
    </r>
    <r>
      <rPr>
        <sz val="9"/>
        <color theme="1"/>
        <rFont val="宋体"/>
        <family val="3"/>
        <charset val="134"/>
      </rPr>
      <t>号楼</t>
    </r>
    <phoneticPr fontId="143" type="noConversion"/>
  </si>
  <si>
    <r>
      <t>10</t>
    </r>
    <r>
      <rPr>
        <sz val="9"/>
        <color theme="1"/>
        <rFont val="宋体"/>
        <family val="3"/>
        <charset val="134"/>
      </rPr>
      <t>号楼</t>
    </r>
    <phoneticPr fontId="143" type="noConversion"/>
  </si>
  <si>
    <r>
      <t>11号楼</t>
    </r>
    <r>
      <rPr>
        <sz val="9"/>
        <color theme="1"/>
        <rFont val="宋体"/>
        <family val="3"/>
        <charset val="134"/>
      </rPr>
      <t/>
    </r>
  </si>
  <si>
    <r>
      <t>13</t>
    </r>
    <r>
      <rPr>
        <sz val="9"/>
        <color theme="1"/>
        <rFont val="宋体"/>
        <family val="3"/>
        <charset val="134"/>
      </rPr>
      <t>号楼</t>
    </r>
    <phoneticPr fontId="143" type="noConversion"/>
  </si>
  <si>
    <r>
      <t>19</t>
    </r>
    <r>
      <rPr>
        <sz val="9"/>
        <color theme="1"/>
        <rFont val="宋体"/>
        <family val="3"/>
        <charset val="134"/>
      </rPr>
      <t>号楼</t>
    </r>
    <phoneticPr fontId="143" type="noConversion"/>
  </si>
  <si>
    <r>
      <t>20号楼</t>
    </r>
    <r>
      <rPr>
        <sz val="9"/>
        <color theme="1"/>
        <rFont val="宋体"/>
        <family val="3"/>
        <charset val="134"/>
      </rPr>
      <t/>
    </r>
  </si>
  <si>
    <r>
      <t>21号楼</t>
    </r>
    <r>
      <rPr>
        <sz val="9"/>
        <color theme="1"/>
        <rFont val="宋体"/>
        <family val="3"/>
        <charset val="134"/>
      </rPr>
      <t/>
    </r>
  </si>
  <si>
    <r>
      <t>22号楼</t>
    </r>
    <r>
      <rPr>
        <sz val="9"/>
        <color theme="1"/>
        <rFont val="宋体"/>
        <family val="3"/>
        <charset val="134"/>
      </rPr>
      <t/>
    </r>
  </si>
  <si>
    <r>
      <t>26</t>
    </r>
    <r>
      <rPr>
        <sz val="9"/>
        <color theme="1"/>
        <rFont val="宋体"/>
        <family val="3"/>
        <charset val="134"/>
      </rPr>
      <t>号楼</t>
    </r>
    <phoneticPr fontId="143" type="noConversion"/>
  </si>
  <si>
    <r>
      <t>6</t>
    </r>
    <r>
      <rPr>
        <sz val="9"/>
        <color theme="1"/>
        <rFont val="宋体"/>
        <family val="3"/>
        <charset val="134"/>
      </rPr>
      <t>层</t>
    </r>
    <phoneticPr fontId="143" type="noConversion"/>
  </si>
  <si>
    <t>5层</t>
    <phoneticPr fontId="143" type="noConversion"/>
  </si>
  <si>
    <r>
      <t>4</t>
    </r>
    <r>
      <rPr>
        <sz val="9"/>
        <color theme="1"/>
        <rFont val="宋体"/>
        <family val="3"/>
        <charset val="134"/>
      </rPr>
      <t>层</t>
    </r>
    <phoneticPr fontId="143" type="noConversion"/>
  </si>
  <si>
    <r>
      <t>3</t>
    </r>
    <r>
      <rPr>
        <sz val="9"/>
        <color theme="1"/>
        <rFont val="宋体"/>
        <family val="3"/>
        <charset val="134"/>
      </rPr>
      <t>层</t>
    </r>
    <phoneticPr fontId="143" type="noConversion"/>
  </si>
  <si>
    <r>
      <t>2</t>
    </r>
    <r>
      <rPr>
        <sz val="9"/>
        <color theme="1"/>
        <rFont val="宋体"/>
        <family val="3"/>
        <charset val="134"/>
      </rPr>
      <t>层</t>
    </r>
    <phoneticPr fontId="143" type="noConversion"/>
  </si>
  <si>
    <r>
      <t>1</t>
    </r>
    <r>
      <rPr>
        <sz val="9"/>
        <color theme="1"/>
        <rFont val="宋体"/>
        <family val="3"/>
        <charset val="134"/>
      </rPr>
      <t>层</t>
    </r>
    <phoneticPr fontId="143" type="noConversion"/>
  </si>
  <si>
    <r>
      <t>2</t>
    </r>
    <r>
      <rPr>
        <sz val="9"/>
        <color theme="1"/>
        <rFont val="宋体"/>
        <family val="3"/>
        <charset val="134"/>
      </rPr>
      <t>单元</t>
    </r>
    <phoneticPr fontId="143" type="noConversion"/>
  </si>
  <si>
    <r>
      <t>1</t>
    </r>
    <r>
      <rPr>
        <sz val="9"/>
        <color theme="1"/>
        <rFont val="宋体"/>
        <family val="3"/>
        <charset val="134"/>
      </rPr>
      <t>单元</t>
    </r>
    <phoneticPr fontId="143" type="noConversion"/>
  </si>
  <si>
    <t>建筑面积（㎡）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</si>
</sst>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0_);_(* \(#,##0\);_(* &quot;-&quot;_);_(@_)"/>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b/>
      <sz val="9"/>
      <color theme="1"/>
      <name val="华文中宋"/>
      <family val="3"/>
      <charset val="134"/>
    </font>
    <font>
      <sz val="12"/>
      <name val="宋体"/>
      <family val="3"/>
      <charset val="134"/>
      <scheme val="minor"/>
    </font>
    <font>
      <sz val="9"/>
      <color theme="1"/>
      <name val="华文细黑"/>
      <family val="3"/>
      <charset val="134"/>
    </font>
    <font>
      <sz val="9"/>
      <color theme="1"/>
      <name val="Arial"/>
      <family val="2"/>
    </font>
    <font>
      <sz val="9"/>
      <color theme="1"/>
      <name val="宋体"/>
      <family val="3"/>
      <charset val="134"/>
    </font>
    <font>
      <sz val="9"/>
      <color theme="1"/>
      <name val="宋体"/>
      <family val="2"/>
    </font>
    <font>
      <sz val="10"/>
      <color theme="1"/>
      <name val="宋体"/>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5" fillId="0" borderId="0" applyFont="0" applyFill="0" applyBorder="0" applyAlignment="0" applyProtection="0">
      <alignment vertical="center"/>
    </xf>
  </cellStyleXfs>
  <cellXfs count="33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47" fillId="0" borderId="70" xfId="0" applyNumberFormat="1" applyFont="1" applyFill="1" applyBorder="1" applyAlignment="1" applyProtection="1">
      <alignment horizontal="center" vertical="center"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horizontal="center" vertical="top" wrapText="1"/>
      <protection locked="0"/>
    </xf>
    <xf numFmtId="0" fontId="83" fillId="0" borderId="157" xfId="1" applyFont="1" applyFill="1" applyBorder="1" applyAlignment="1" applyProtection="1">
      <alignment horizontal="center" vertical="top" wrapText="1"/>
      <protection locked="0"/>
    </xf>
    <xf numFmtId="0" fontId="80" fillId="0" borderId="157" xfId="1"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1" xfId="0" applyBorder="1">
      <alignment vertical="center"/>
    </xf>
    <xf numFmtId="57" fontId="0" fillId="0" borderId="1" xfId="0" applyNumberFormat="1" applyBorder="1">
      <alignment vertical="center"/>
    </xf>
    <xf numFmtId="198" fontId="256" fillId="0" borderId="1" xfId="17" applyNumberFormat="1" applyFont="1" applyFill="1" applyBorder="1" applyAlignment="1">
      <alignment horizontal="center" vertical="center"/>
    </xf>
    <xf numFmtId="198" fontId="0" fillId="0" borderId="0" xfId="0" applyNumberFormat="1">
      <alignment vertical="center"/>
    </xf>
    <xf numFmtId="0" fontId="108" fillId="17" borderId="82" xfId="0" applyFont="1" applyFill="1" applyBorder="1" applyAlignment="1" applyProtection="1">
      <alignment horizontal="center" vertical="center"/>
    </xf>
    <xf numFmtId="0" fontId="56" fillId="17" borderId="0" xfId="0" applyFont="1" applyFill="1" applyBorder="1" applyAlignment="1" applyProtection="1">
      <alignment horizontal="center" vertical="center"/>
      <protection locked="0"/>
    </xf>
    <xf numFmtId="0" fontId="64" fillId="17" borderId="3" xfId="0" applyNumberFormat="1" applyFont="1" applyFill="1" applyBorder="1" applyAlignment="1" applyProtection="1">
      <alignment horizontal="center" vertical="center" wrapText="1"/>
      <protection locked="0"/>
    </xf>
    <xf numFmtId="0" fontId="257" fillId="0" borderId="1" xfId="0" applyFont="1" applyFill="1" applyBorder="1" applyAlignment="1">
      <alignment horizontal="left" vertical="center"/>
    </xf>
    <xf numFmtId="0" fontId="257" fillId="0" borderId="1" xfId="0" applyNumberFormat="1" applyFont="1" applyFill="1" applyBorder="1" applyAlignment="1">
      <alignment horizontal="left" vertical="center"/>
    </xf>
    <xf numFmtId="0" fontId="257" fillId="0" borderId="1" xfId="4" applyFont="1" applyFill="1" applyBorder="1" applyAlignment="1">
      <alignment horizontal="left" vertical="center"/>
    </xf>
    <xf numFmtId="0" fontId="257" fillId="0" borderId="1" xfId="4" applyNumberFormat="1" applyFont="1" applyFill="1" applyBorder="1" applyAlignment="1">
      <alignment horizontal="left" vertical="center"/>
    </xf>
    <xf numFmtId="0" fontId="156" fillId="0" borderId="1" xfId="0" applyFont="1" applyFill="1" applyBorder="1" applyAlignment="1">
      <alignment horizontal="left" vertical="center"/>
    </xf>
    <xf numFmtId="0" fontId="257" fillId="0" borderId="0" xfId="0" applyFont="1" applyFill="1" applyBorder="1" applyAlignment="1">
      <alignment horizontal="left" vertical="center"/>
    </xf>
    <xf numFmtId="0" fontId="156" fillId="0" borderId="3" xfId="0" applyFont="1" applyFill="1" applyBorder="1" applyAlignment="1">
      <alignment horizontal="left" vertical="center"/>
    </xf>
    <xf numFmtId="177" fontId="257" fillId="0" borderId="1" xfId="4" applyNumberFormat="1" applyFont="1" applyFill="1" applyBorder="1" applyAlignment="1">
      <alignment horizontal="left" vertical="center"/>
    </xf>
    <xf numFmtId="180" fontId="257" fillId="0" borderId="1" xfId="4" applyNumberFormat="1" applyFont="1" applyFill="1" applyBorder="1" applyAlignment="1">
      <alignment horizontal="left" vertical="center"/>
    </xf>
    <xf numFmtId="49" fontId="257" fillId="0" borderId="1" xfId="4" applyNumberFormat="1" applyFont="1" applyFill="1" applyBorder="1" applyAlignment="1">
      <alignment horizontal="left" vertical="center"/>
    </xf>
    <xf numFmtId="0" fontId="257" fillId="0" borderId="1" xfId="4" applyFont="1" applyFill="1" applyBorder="1" applyAlignment="1">
      <alignment horizontal="left" vertical="center" wrapText="1"/>
    </xf>
    <xf numFmtId="180" fontId="257" fillId="0" borderId="1" xfId="4" applyNumberFormat="1" applyFont="1" applyFill="1" applyBorder="1" applyAlignment="1">
      <alignment horizontal="left" vertical="center" wrapText="1"/>
    </xf>
    <xf numFmtId="0" fontId="257" fillId="0" borderId="0" xfId="4" applyFont="1" applyFill="1" applyBorder="1" applyAlignment="1">
      <alignment horizontal="left" vertical="center"/>
    </xf>
    <xf numFmtId="177" fontId="257" fillId="0" borderId="0" xfId="4" applyNumberFormat="1" applyFont="1" applyFill="1" applyBorder="1" applyAlignment="1">
      <alignment horizontal="left" vertical="center"/>
    </xf>
    <xf numFmtId="0" fontId="156" fillId="0" borderId="1" xfId="0" applyNumberFormat="1" applyFont="1" applyFill="1" applyBorder="1" applyAlignment="1">
      <alignment horizontal="left" vertical="center"/>
    </xf>
    <xf numFmtId="0" fontId="156" fillId="0" borderId="22" xfId="0" applyFont="1" applyFill="1" applyBorder="1" applyAlignment="1">
      <alignment horizontal="left" vertical="center"/>
    </xf>
    <xf numFmtId="0" fontId="156" fillId="0" borderId="13" xfId="0" applyFont="1" applyFill="1" applyBorder="1" applyAlignment="1">
      <alignment horizontal="left" vertical="center"/>
    </xf>
    <xf numFmtId="0" fontId="156" fillId="0" borderId="0" xfId="0" applyFont="1" applyFill="1" applyBorder="1" applyAlignment="1">
      <alignment horizontal="left" vertical="center"/>
    </xf>
    <xf numFmtId="0" fontId="156" fillId="0" borderId="0" xfId="0" applyNumberFormat="1" applyFont="1" applyFill="1" applyBorder="1" applyAlignment="1">
      <alignment horizontal="left" vertical="center"/>
    </xf>
    <xf numFmtId="0" fontId="156" fillId="0" borderId="5" xfId="0" applyFont="1" applyFill="1" applyBorder="1" applyAlignment="1">
      <alignment horizontal="left" vertical="center"/>
    </xf>
    <xf numFmtId="177" fontId="156" fillId="0" borderId="1" xfId="0" applyNumberFormat="1" applyFont="1" applyFill="1" applyBorder="1" applyAlignment="1">
      <alignment horizontal="left" vertical="center"/>
    </xf>
    <xf numFmtId="177" fontId="156" fillId="0" borderId="0" xfId="0" applyNumberFormat="1" applyFont="1" applyFill="1" applyBorder="1" applyAlignment="1">
      <alignment horizontal="left" vertical="center"/>
    </xf>
    <xf numFmtId="0" fontId="257" fillId="0" borderId="0" xfId="4" applyFont="1" applyFill="1" applyBorder="1" applyAlignment="1">
      <alignment horizontal="left" vertical="center"/>
    </xf>
    <xf numFmtId="10" fontId="50" fillId="8" borderId="1" xfId="1" applyNumberFormat="1" applyFont="1" applyFill="1" applyBorder="1" applyAlignment="1" applyProtection="1">
      <alignment horizontal="center" vertical="center"/>
      <protection locked="0"/>
    </xf>
    <xf numFmtId="177" fontId="47" fillId="8" borderId="24" xfId="1" applyNumberFormat="1" applyFont="1" applyFill="1" applyBorder="1" applyAlignment="1" applyProtection="1">
      <alignment horizontal="center" vertical="center"/>
      <protection locked="0"/>
    </xf>
    <xf numFmtId="0" fontId="258" fillId="0" borderId="82" xfId="0" applyFont="1" applyBorder="1" applyAlignment="1">
      <alignment vertical="center"/>
    </xf>
    <xf numFmtId="0" fontId="258" fillId="0" borderId="65" xfId="0" applyFont="1" applyBorder="1" applyAlignment="1">
      <alignment vertical="center"/>
    </xf>
    <xf numFmtId="0" fontId="259" fillId="0" borderId="81" xfId="0" applyFont="1" applyBorder="1" applyAlignment="1">
      <alignment vertical="center"/>
    </xf>
    <xf numFmtId="0" fontId="259" fillId="0" borderId="43" xfId="0" applyFont="1" applyBorder="1" applyAlignment="1">
      <alignment vertical="center"/>
    </xf>
    <xf numFmtId="0" fontId="258" fillId="0" borderId="43" xfId="0" applyFont="1" applyBorder="1" applyAlignment="1">
      <alignment vertical="center"/>
    </xf>
    <xf numFmtId="0" fontId="259" fillId="0" borderId="43" xfId="0" applyFont="1" applyBorder="1" applyAlignment="1">
      <alignment vertical="center" wrapText="1"/>
    </xf>
    <xf numFmtId="0" fontId="258" fillId="0" borderId="81" xfId="0" applyFont="1" applyBorder="1" applyAlignment="1">
      <alignment vertical="center"/>
    </xf>
    <xf numFmtId="0" fontId="259" fillId="0" borderId="0" xfId="0" applyFont="1" applyFill="1" applyBorder="1" applyAlignment="1">
      <alignment vertical="center" wrapText="1"/>
    </xf>
    <xf numFmtId="0" fontId="260" fillId="0" borderId="43" xfId="0" applyFont="1" applyBorder="1" applyAlignment="1">
      <alignment vertical="center"/>
    </xf>
    <xf numFmtId="0" fontId="80" fillId="7" borderId="0" xfId="0" applyFont="1" applyFill="1" applyProtection="1">
      <alignment vertical="center"/>
      <protection locked="0"/>
    </xf>
    <xf numFmtId="0" fontId="258" fillId="0" borderId="65" xfId="0" applyFont="1" applyBorder="1" applyAlignment="1">
      <alignment horizontal="center" vertical="center"/>
    </xf>
    <xf numFmtId="0" fontId="259" fillId="0" borderId="43" xfId="0" applyFont="1" applyBorder="1" applyAlignment="1">
      <alignment horizontal="center" vertical="center"/>
    </xf>
    <xf numFmtId="2" fontId="258" fillId="0" borderId="65" xfId="0" applyNumberFormat="1" applyFont="1" applyBorder="1" applyAlignment="1">
      <alignment horizontal="center" vertical="center"/>
    </xf>
    <xf numFmtId="182" fontId="50" fillId="9" borderId="24" xfId="0"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78" fontId="50" fillId="9" borderId="1" xfId="1" applyNumberFormat="1" applyFont="1" applyFill="1" applyBorder="1" applyAlignment="1" applyProtection="1">
      <alignment horizontal="center" vertical="center"/>
      <protection locked="0"/>
    </xf>
    <xf numFmtId="0" fontId="99" fillId="0" borderId="0" xfId="0" applyFont="1" applyAlignment="1"/>
    <xf numFmtId="0" fontId="0" fillId="0" borderId="0" xfId="0" applyFont="1" applyAlignment="1"/>
    <xf numFmtId="0" fontId="258" fillId="0" borderId="82" xfId="0" applyFont="1" applyBorder="1" applyAlignment="1">
      <alignment horizontal="center" vertical="center"/>
    </xf>
    <xf numFmtId="0" fontId="259" fillId="0" borderId="81" xfId="0" applyFont="1" applyBorder="1" applyAlignment="1">
      <alignment horizontal="center" vertical="center"/>
    </xf>
    <xf numFmtId="0" fontId="258" fillId="0" borderId="43" xfId="0" applyFont="1" applyBorder="1" applyAlignment="1">
      <alignment horizontal="center" vertical="center"/>
    </xf>
    <xf numFmtId="0" fontId="259" fillId="14" borderId="43" xfId="0" applyFont="1" applyFill="1" applyBorder="1" applyAlignment="1">
      <alignment horizontal="center" vertical="center"/>
    </xf>
    <xf numFmtId="0" fontId="258" fillId="14" borderId="43" xfId="0" applyFont="1" applyFill="1" applyBorder="1" applyAlignment="1">
      <alignment horizontal="center" vertical="center"/>
    </xf>
    <xf numFmtId="0" fontId="259" fillId="0" borderId="43" xfId="0" applyFont="1" applyBorder="1" applyAlignment="1">
      <alignment horizontal="center" vertical="center" wrapText="1"/>
    </xf>
    <xf numFmtId="0" fontId="259" fillId="14" borderId="43" xfId="0" applyFont="1" applyFill="1" applyBorder="1" applyAlignment="1">
      <alignment horizontal="center" vertical="center" wrapText="1"/>
    </xf>
    <xf numFmtId="0" fontId="258" fillId="0" borderId="81" xfId="0" applyFont="1" applyBorder="1" applyAlignment="1">
      <alignment horizontal="center" vertical="center"/>
    </xf>
    <xf numFmtId="0" fontId="0" fillId="0" borderId="0" xfId="0" applyAlignment="1">
      <alignment horizontal="center"/>
    </xf>
    <xf numFmtId="0" fontId="105" fillId="0" borderId="0" xfId="0" applyFont="1" applyFill="1" applyBorder="1" applyAlignment="1">
      <alignment vertical="center" wrapText="1"/>
    </xf>
    <xf numFmtId="0" fontId="0" fillId="0" borderId="0" xfId="0" applyAlignment="1">
      <alignment horizontal="center" vertical="center"/>
    </xf>
    <xf numFmtId="0" fontId="0" fillId="0" borderId="0" xfId="0" applyFill="1" applyAlignment="1">
      <alignment horizontal="center" vertical="center"/>
    </xf>
    <xf numFmtId="0" fontId="0" fillId="5" borderId="0" xfId="0" applyFill="1" applyAlignment="1">
      <alignment horizontal="center" vertical="center"/>
    </xf>
    <xf numFmtId="0" fontId="0" fillId="5" borderId="0" xfId="0" applyFill="1" applyAlignment="1">
      <alignment horizontal="center"/>
    </xf>
    <xf numFmtId="0" fontId="0" fillId="5" borderId="0" xfId="0" applyFill="1" applyAlignment="1"/>
    <xf numFmtId="0" fontId="259" fillId="5" borderId="43" xfId="0" applyFont="1" applyFill="1" applyBorder="1" applyAlignment="1">
      <alignment horizontal="center" vertical="center"/>
    </xf>
    <xf numFmtId="0" fontId="259" fillId="5" borderId="43" xfId="0" applyFont="1" applyFill="1" applyBorder="1" applyAlignment="1">
      <alignment horizontal="center" vertical="center" wrapText="1"/>
    </xf>
    <xf numFmtId="0" fontId="258" fillId="5" borderId="43" xfId="0" applyFont="1" applyFill="1" applyBorder="1" applyAlignment="1">
      <alignment horizontal="center" vertical="center"/>
    </xf>
    <xf numFmtId="0" fontId="99" fillId="0" borderId="0" xfId="0" applyFont="1" applyAlignment="1">
      <alignment horizontal="center" vertical="center"/>
    </xf>
    <xf numFmtId="0" fontId="99" fillId="0" borderId="0" xfId="0" applyFont="1" applyFill="1" applyAlignment="1">
      <alignment horizontal="center" vertical="center"/>
    </xf>
    <xf numFmtId="0" fontId="99" fillId="0" borderId="0" xfId="0" applyFont="1" applyAlignment="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1" applyFont="1" applyFill="1" applyBorder="1" applyAlignment="1" applyProtection="1">
      <alignment horizontal="center" vertical="top"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vertical="top" wrapText="1"/>
      <protection locked="0"/>
    </xf>
    <xf numFmtId="0" fontId="80" fillId="0" borderId="157" xfId="1"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0" xfId="4" applyFont="1" applyFill="1" applyBorder="1" applyAlignment="1">
      <alignment horizontal="left" vertical="center"/>
    </xf>
    <xf numFmtId="0" fontId="258" fillId="0" borderId="82" xfId="0" applyFont="1" applyBorder="1" applyAlignment="1">
      <alignment horizontal="justify" vertical="center"/>
    </xf>
    <xf numFmtId="0" fontId="258" fillId="0" borderId="65" xfId="0" applyFont="1" applyBorder="1" applyAlignment="1">
      <alignment horizontal="justify" vertical="center"/>
    </xf>
    <xf numFmtId="0" fontId="259" fillId="0" borderId="81" xfId="0" applyFont="1" applyBorder="1" applyAlignment="1">
      <alignment horizontal="justify" vertical="center"/>
    </xf>
    <xf numFmtId="0" fontId="258" fillId="0" borderId="43" xfId="0" applyFont="1" applyBorder="1" applyAlignment="1">
      <alignment horizontal="justify" vertical="center"/>
    </xf>
    <xf numFmtId="0" fontId="259" fillId="0" borderId="43" xfId="0" applyFont="1" applyBorder="1" applyAlignment="1">
      <alignment horizontal="justify" vertical="center"/>
    </xf>
    <xf numFmtId="0" fontId="259" fillId="0" borderId="43" xfId="0" applyFont="1" applyBorder="1" applyAlignment="1">
      <alignment horizontal="justify" vertical="center" wrapText="1"/>
    </xf>
    <xf numFmtId="0" fontId="260" fillId="0" borderId="43" xfId="0" applyFont="1" applyBorder="1" applyAlignment="1">
      <alignment horizontal="justify"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62864</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6664" cy="3438525"/>
        </a:xfrm>
        <a:prstGeom prst="rect">
          <a:avLst/>
        </a:prstGeom>
      </xdr:spPr>
    </xdr:pic>
    <xdr:clientData/>
  </xdr:twoCellAnchor>
  <xdr:twoCellAnchor editAs="oneCell">
    <xdr:from>
      <xdr:col>0</xdr:col>
      <xdr:colOff>0</xdr:colOff>
      <xdr:row>21</xdr:row>
      <xdr:rowOff>0</xdr:rowOff>
    </xdr:from>
    <xdr:to>
      <xdr:col>11</xdr:col>
      <xdr:colOff>129013</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672813" cy="3476625"/>
        </a:xfrm>
        <a:prstGeom prst="rect">
          <a:avLst/>
        </a:prstGeom>
      </xdr:spPr>
    </xdr:pic>
    <xdr:clientData/>
  </xdr:twoCellAnchor>
  <xdr:twoCellAnchor editAs="oneCell">
    <xdr:from>
      <xdr:col>0</xdr:col>
      <xdr:colOff>0</xdr:colOff>
      <xdr:row>42</xdr:row>
      <xdr:rowOff>0</xdr:rowOff>
    </xdr:from>
    <xdr:to>
      <xdr:col>11</xdr:col>
      <xdr:colOff>98803</xdr:colOff>
      <xdr:row>59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7642603" cy="2981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7096;&#20998;&#27979;&#31639;9.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汇总）"/>
      <sheetName val="酒店收入计算"/>
      <sheetName val="收益法会所"/>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清单一期"/>
      <sheetName val="抵押物清单二期"/>
      <sheetName val="规证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64861.71</v>
          </cell>
        </row>
      </sheetData>
      <sheetData sheetId="12" refreshError="1"/>
      <sheetData sheetId="13" refreshError="1"/>
      <sheetData sheetId="14" refreshError="1"/>
      <sheetData sheetId="15" refreshError="1"/>
      <sheetData sheetId="16">
        <row r="14">
          <cell r="B14">
            <v>116695.34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出让国有建设用地使用权及在建建筑物房地产抵押价值预评估</v>
      </c>
    </row>
    <row r="3" spans="1:2" s="1588" customFormat="1">
      <c r="A3" s="1586" t="s">
        <v>1217</v>
      </c>
      <c r="B3" s="1587">
        <f>'预评函-封皮'!B40</f>
        <v>0</v>
      </c>
    </row>
    <row r="4" spans="1:2" s="1588" customFormat="1">
      <c r="A4" s="1586" t="s">
        <v>1218</v>
      </c>
      <c r="B4" s="1587" t="str">
        <f ca="1">'预评函-封皮'!B46</f>
        <v>郑燚（注册号：1120070131)、王鹏（注册号：1120050019)</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受贵公司委托，我公司对出让国有建设用地使用权及在建建筑物房地产抵押价值进行了预评估。</v>
      </c>
    </row>
    <row r="7" spans="1:2" s="1588" customFormat="1">
      <c r="A7" s="1586" t="s">
        <v>1260</v>
      </c>
      <c r="B7" s="1587" t="str">
        <f>'预评函-1'!A7</f>
        <v>估价对象为出让国有建设用地使用权及在建建筑物房地产，为所有。根据《国有土地使用证》[]，估价对象（分摊）出让国有建设用地使用权面积为63815.99平方米，建筑面积为71473.9099999998平方米。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出让国有建设用地使用权及在建建筑物房地产,属开发建设的，该项目尚在开发建设中。根据《国有土地使用证》[]，估价对象（分摊）出让国有建设用地使用权面积为63815.99平方米，规划建筑面积为71473.9099999998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2019年10月20日</v>
      </c>
    </row>
    <row r="13" spans="1:2" s="1588" customFormat="1">
      <c r="A13" s="1586" t="s">
        <v>1223</v>
      </c>
      <c r="B13" s="1587" t="str">
        <f>'预评函-1'!A18</f>
        <v>本次估价的“房地产价值”是指在正常市场情况下，在价值时点2019年10月20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62283</v>
      </c>
    </row>
    <row r="21" spans="1:2" s="1588" customFormat="1">
      <c r="A21" s="1586" t="s">
        <v>1231</v>
      </c>
      <c r="B21" s="1587">
        <f ca="1">'预评函-2'!D7</f>
        <v>8714</v>
      </c>
    </row>
    <row r="22" spans="1:2" s="1588" customFormat="1">
      <c r="A22" s="1586" t="s">
        <v>1232</v>
      </c>
      <c r="B22" s="1587" t="str">
        <f ca="1">'预评函-2'!D6</f>
        <v>陆亿贰仟贰佰捌拾叁万元整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62283</v>
      </c>
    </row>
    <row r="31" spans="1:2" s="1588" customFormat="1">
      <c r="A31" s="1586" t="s">
        <v>1270</v>
      </c>
      <c r="B31" s="1587">
        <f ca="1">'预评函-2'!D15</f>
        <v>8714</v>
      </c>
    </row>
    <row r="32" spans="1:2" s="1588" customFormat="1">
      <c r="A32" s="1586" t="s">
        <v>1237</v>
      </c>
      <c r="B32" s="1587" t="str">
        <f ca="1">'预评函-2'!D14</f>
        <v>陆亿贰仟贰佰捌拾叁万元整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4.抵押净值</v>
      </c>
    </row>
    <row r="38" spans="1:2" s="1588" customFormat="1">
      <c r="A38" s="1586" t="s">
        <v>1291</v>
      </c>
      <c r="B38" s="1587">
        <f ca="1">'预评函-2'!D19</f>
        <v>39644</v>
      </c>
    </row>
    <row r="39" spans="1:2" s="1588" customFormat="1">
      <c r="A39" s="1586" t="s">
        <v>1239</v>
      </c>
      <c r="B39" s="1587">
        <f ca="1">'预评函-2'!D21</f>
        <v>5547</v>
      </c>
    </row>
    <row r="40" spans="1:2" s="1588" customFormat="1">
      <c r="A40" s="1586" t="s">
        <v>1240</v>
      </c>
      <c r="B40" s="1587" t="str">
        <f ca="1">'预评函-2'!D20</f>
        <v>叁亿玖仟陆佰肆拾肆万元整</v>
      </c>
    </row>
    <row r="41" spans="1:2" s="1588" customFormat="1">
      <c r="A41" s="1586" t="s">
        <v>1286</v>
      </c>
      <c r="B41" s="1587" t="str">
        <f>'预评函-3'!A4</f>
        <v>出让国有建设用地使用权及在建建筑物房地产</v>
      </c>
    </row>
    <row r="42" spans="1:2" s="1588" customFormat="1">
      <c r="A42" s="1586" t="s">
        <v>1284</v>
      </c>
      <c r="B42" s="1587" t="str">
        <f>'预评函-3'!B2</f>
        <v>建筑面积</v>
      </c>
    </row>
    <row r="43" spans="1:2" s="1588" customFormat="1">
      <c r="A43" s="1586" t="s">
        <v>1285</v>
      </c>
      <c r="B43" s="1587">
        <f>'预评函-3'!B4</f>
        <v>71473.9099999998</v>
      </c>
    </row>
    <row r="44" spans="1:2" s="1588" customFormat="1">
      <c r="A44" s="1586" t="s">
        <v>1269</v>
      </c>
      <c r="B44" s="1587" t="str">
        <f>'预评函-3'!C2</f>
        <v>(分摊)土地面积</v>
      </c>
    </row>
    <row r="45" spans="1:2" s="1588" customFormat="1">
      <c r="A45" s="1586" t="s">
        <v>1241</v>
      </c>
      <c r="B45" s="1587">
        <f>'预评函-3'!C4</f>
        <v>63815.99</v>
      </c>
    </row>
    <row r="46" spans="1:2" s="1588" customFormat="1">
      <c r="A46" s="1586" t="s">
        <v>1267</v>
      </c>
      <c r="B46" s="1587" t="str">
        <f>'预评函-3'!D2</f>
        <v>出让国有建设用地使用权价值</v>
      </c>
    </row>
    <row r="47" spans="1:2" s="1588" customFormat="1">
      <c r="A47" s="1586" t="s">
        <v>1242</v>
      </c>
      <c r="B47" s="1587">
        <f ca="1">'预评函-3'!D4</f>
        <v>34567</v>
      </c>
    </row>
    <row r="48" spans="1:2" s="1588" customFormat="1">
      <c r="A48" s="1586" t="s">
        <v>1243</v>
      </c>
      <c r="B48" s="1587">
        <f ca="1">'预评函-3'!E4</f>
        <v>4836</v>
      </c>
    </row>
    <row r="49" spans="1:2" s="1588" customFormat="1">
      <c r="A49" s="1586" t="s">
        <v>1244</v>
      </c>
      <c r="B49" s="1587" t="str">
        <f ca="1">'预评函-3'!D5</f>
        <v>叁亿肆仟伍佰陆拾柒万元整</v>
      </c>
    </row>
    <row r="50" spans="1:2" s="1588" customFormat="1">
      <c r="A50" s="1586" t="s">
        <v>1268</v>
      </c>
      <c r="B50" s="1587" t="str">
        <f>'预评函-3'!F2</f>
        <v>在建建筑物价值</v>
      </c>
    </row>
    <row r="51" spans="1:2" s="1588" customFormat="1">
      <c r="A51" s="1586" t="s">
        <v>1245</v>
      </c>
      <c r="B51" s="1587">
        <f ca="1">'预评函-3'!F4</f>
        <v>27716</v>
      </c>
    </row>
    <row r="52" spans="1:2" s="1588" customFormat="1">
      <c r="A52" s="1586" t="s">
        <v>1246</v>
      </c>
      <c r="B52" s="1587">
        <f ca="1">'预评函-3'!G4</f>
        <v>3878</v>
      </c>
    </row>
    <row r="53" spans="1:2" s="1588" customFormat="1">
      <c r="A53" s="1586" t="s">
        <v>1274</v>
      </c>
      <c r="B53" s="1587" t="str">
        <f ca="1">'预评函-3'!F5</f>
        <v>贰亿柒仟柒佰壹拾陆万元整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抵押净值</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王鹏</v>
      </c>
    </row>
    <row r="73" spans="1:2" s="1582" customFormat="1" ht="15" thickBot="1">
      <c r="A73" s="1589" t="s">
        <v>1259</v>
      </c>
      <c r="B73" s="1590">
        <f ca="1">'预评函-4'!B5</f>
        <v>1120050019</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744"/>
  <sheetViews>
    <sheetView topLeftCell="A728" workbookViewId="0">
      <selection activeCell="G63" sqref="G63:G738"/>
    </sheetView>
  </sheetViews>
  <sheetFormatPr defaultRowHeight="13.5"/>
  <cols>
    <col min="1" max="16384" width="9" style="1630"/>
  </cols>
  <sheetData>
    <row r="1" spans="1:8" ht="14.25" thickBot="1">
      <c r="A1" s="2997" t="s">
        <v>3254</v>
      </c>
      <c r="B1" s="2998" t="s">
        <v>3298</v>
      </c>
      <c r="C1" s="2998" t="s">
        <v>3198</v>
      </c>
      <c r="D1" s="2998" t="s">
        <v>3123</v>
      </c>
      <c r="E1" s="2998" t="s">
        <v>3199</v>
      </c>
      <c r="F1" s="2998" t="s">
        <v>3255</v>
      </c>
      <c r="G1" s="2998" t="s">
        <v>3126</v>
      </c>
      <c r="H1" s="2998" t="s">
        <v>3127</v>
      </c>
    </row>
    <row r="2" spans="1:8" ht="14.25" hidden="1" thickBot="1">
      <c r="A2" s="2999">
        <v>1</v>
      </c>
      <c r="B2" s="3005" t="s">
        <v>3299</v>
      </c>
      <c r="C2" s="3000" t="s">
        <v>3256</v>
      </c>
      <c r="D2" s="3000" t="s">
        <v>3257</v>
      </c>
      <c r="E2" s="3000" t="s">
        <v>3258</v>
      </c>
      <c r="F2" s="3000">
        <v>101</v>
      </c>
      <c r="G2" s="3000">
        <v>66.069999999999993</v>
      </c>
      <c r="H2" s="3001" t="s">
        <v>3055</v>
      </c>
    </row>
    <row r="3" spans="1:8" ht="14.25" hidden="1" thickBot="1">
      <c r="A3" s="2999">
        <v>2</v>
      </c>
      <c r="B3" s="3005" t="s">
        <v>3299</v>
      </c>
      <c r="C3" s="3000" t="s">
        <v>3256</v>
      </c>
      <c r="D3" s="3000" t="s">
        <v>3257</v>
      </c>
      <c r="E3" s="3000" t="s">
        <v>3258</v>
      </c>
      <c r="F3" s="3000">
        <v>103</v>
      </c>
      <c r="G3" s="3000">
        <v>69.72</v>
      </c>
      <c r="H3" s="3001" t="s">
        <v>3055</v>
      </c>
    </row>
    <row r="4" spans="1:8" ht="14.25" hidden="1" thickBot="1">
      <c r="A4" s="2999">
        <v>3</v>
      </c>
      <c r="B4" s="3005" t="s">
        <v>3299</v>
      </c>
      <c r="C4" s="3000" t="s">
        <v>3256</v>
      </c>
      <c r="D4" s="3000" t="s">
        <v>3257</v>
      </c>
      <c r="E4" s="3000" t="s">
        <v>3258</v>
      </c>
      <c r="F4" s="3000">
        <v>105</v>
      </c>
      <c r="G4" s="3000">
        <v>69.56</v>
      </c>
      <c r="H4" s="3001" t="s">
        <v>3055</v>
      </c>
    </row>
    <row r="5" spans="1:8" ht="14.25" hidden="1" thickBot="1">
      <c r="A5" s="2999">
        <v>4</v>
      </c>
      <c r="B5" s="3005" t="s">
        <v>3299</v>
      </c>
      <c r="C5" s="3000" t="s">
        <v>3256</v>
      </c>
      <c r="D5" s="3000" t="s">
        <v>3257</v>
      </c>
      <c r="E5" s="3000" t="s">
        <v>3258</v>
      </c>
      <c r="F5" s="3000">
        <v>106</v>
      </c>
      <c r="G5" s="3000">
        <v>94.74</v>
      </c>
      <c r="H5" s="3001" t="s">
        <v>3055</v>
      </c>
    </row>
    <row r="6" spans="1:8" ht="14.25" hidden="1" thickBot="1">
      <c r="A6" s="2999">
        <v>5</v>
      </c>
      <c r="B6" s="3005" t="s">
        <v>3299</v>
      </c>
      <c r="C6" s="3000" t="s">
        <v>3256</v>
      </c>
      <c r="D6" s="3000" t="s">
        <v>3257</v>
      </c>
      <c r="E6" s="3000" t="s">
        <v>3259</v>
      </c>
      <c r="F6" s="3000">
        <v>101</v>
      </c>
      <c r="G6" s="3000">
        <v>94.74</v>
      </c>
      <c r="H6" s="3001" t="s">
        <v>3055</v>
      </c>
    </row>
    <row r="7" spans="1:8" ht="14.25" hidden="1" thickBot="1">
      <c r="A7" s="2999">
        <v>6</v>
      </c>
      <c r="B7" s="3005" t="s">
        <v>3299</v>
      </c>
      <c r="C7" s="3000" t="s">
        <v>3256</v>
      </c>
      <c r="D7" s="3000" t="s">
        <v>3257</v>
      </c>
      <c r="E7" s="3000" t="s">
        <v>3259</v>
      </c>
      <c r="F7" s="3000">
        <v>106</v>
      </c>
      <c r="G7" s="3000">
        <v>66.069999999999993</v>
      </c>
      <c r="H7" s="3001" t="s">
        <v>3055</v>
      </c>
    </row>
    <row r="8" spans="1:8" ht="14.25" hidden="1" thickBot="1">
      <c r="A8" s="2999">
        <v>7</v>
      </c>
      <c r="B8" s="3005" t="s">
        <v>3299</v>
      </c>
      <c r="C8" s="3000" t="s">
        <v>3256</v>
      </c>
      <c r="D8" s="3000" t="s">
        <v>3260</v>
      </c>
      <c r="E8" s="3000" t="s">
        <v>3258</v>
      </c>
      <c r="F8" s="3000">
        <v>201</v>
      </c>
      <c r="G8" s="3000">
        <v>66.069999999999993</v>
      </c>
      <c r="H8" s="3001" t="s">
        <v>3055</v>
      </c>
    </row>
    <row r="9" spans="1:8" ht="14.25" hidden="1" thickBot="1">
      <c r="A9" s="2999">
        <v>8</v>
      </c>
      <c r="B9" s="3005" t="s">
        <v>3299</v>
      </c>
      <c r="C9" s="3000" t="s">
        <v>3256</v>
      </c>
      <c r="D9" s="3000" t="s">
        <v>3260</v>
      </c>
      <c r="E9" s="3000" t="s">
        <v>3258</v>
      </c>
      <c r="F9" s="3000">
        <v>202</v>
      </c>
      <c r="G9" s="3000">
        <v>69.56</v>
      </c>
      <c r="H9" s="3001" t="s">
        <v>3055</v>
      </c>
    </row>
    <row r="10" spans="1:8" ht="14.25" hidden="1" thickBot="1">
      <c r="A10" s="2999">
        <v>9</v>
      </c>
      <c r="B10" s="3005" t="s">
        <v>3299</v>
      </c>
      <c r="C10" s="3000" t="s">
        <v>3256</v>
      </c>
      <c r="D10" s="3000" t="s">
        <v>3260</v>
      </c>
      <c r="E10" s="3000" t="s">
        <v>3258</v>
      </c>
      <c r="F10" s="3000">
        <v>206</v>
      </c>
      <c r="G10" s="3000">
        <v>69.56</v>
      </c>
      <c r="H10" s="3001" t="s">
        <v>3055</v>
      </c>
    </row>
    <row r="11" spans="1:8" ht="14.25" hidden="1" thickBot="1">
      <c r="A11" s="2999">
        <v>10</v>
      </c>
      <c r="B11" s="3005" t="s">
        <v>3299</v>
      </c>
      <c r="C11" s="3000" t="s">
        <v>3256</v>
      </c>
      <c r="D11" s="3000" t="s">
        <v>3260</v>
      </c>
      <c r="E11" s="3000" t="s">
        <v>3258</v>
      </c>
      <c r="F11" s="3000">
        <v>207</v>
      </c>
      <c r="G11" s="3000">
        <v>94.74</v>
      </c>
      <c r="H11" s="3001" t="s">
        <v>3055</v>
      </c>
    </row>
    <row r="12" spans="1:8" ht="14.25" hidden="1" thickBot="1">
      <c r="A12" s="2999">
        <v>11</v>
      </c>
      <c r="B12" s="3005" t="s">
        <v>3299</v>
      </c>
      <c r="C12" s="3000" t="s">
        <v>3256</v>
      </c>
      <c r="D12" s="3000" t="s">
        <v>3260</v>
      </c>
      <c r="E12" s="3000" t="s">
        <v>3259</v>
      </c>
      <c r="F12" s="3000">
        <v>201</v>
      </c>
      <c r="G12" s="3000">
        <v>94.74</v>
      </c>
      <c r="H12" s="3001" t="s">
        <v>3055</v>
      </c>
    </row>
    <row r="13" spans="1:8" ht="14.25" hidden="1" thickBot="1">
      <c r="A13" s="2999">
        <v>12</v>
      </c>
      <c r="B13" s="3005" t="s">
        <v>3299</v>
      </c>
      <c r="C13" s="3000" t="s">
        <v>3256</v>
      </c>
      <c r="D13" s="3000" t="s">
        <v>3261</v>
      </c>
      <c r="E13" s="3000" t="s">
        <v>3258</v>
      </c>
      <c r="F13" s="3000">
        <v>301</v>
      </c>
      <c r="G13" s="3000">
        <v>66.069999999999993</v>
      </c>
      <c r="H13" s="3001" t="s">
        <v>3055</v>
      </c>
    </row>
    <row r="14" spans="1:8" ht="14.25" hidden="1" thickBot="1">
      <c r="A14" s="2999">
        <v>13</v>
      </c>
      <c r="B14" s="3005" t="s">
        <v>3299</v>
      </c>
      <c r="C14" s="3000" t="s">
        <v>3256</v>
      </c>
      <c r="D14" s="3000" t="s">
        <v>3261</v>
      </c>
      <c r="E14" s="3000" t="s">
        <v>3258</v>
      </c>
      <c r="F14" s="3000">
        <v>303</v>
      </c>
      <c r="G14" s="3000">
        <v>69.75</v>
      </c>
      <c r="H14" s="3001" t="s">
        <v>3055</v>
      </c>
    </row>
    <row r="15" spans="1:8" ht="14.25" hidden="1" thickBot="1">
      <c r="A15" s="2999">
        <v>14</v>
      </c>
      <c r="B15" s="3005" t="s">
        <v>3299</v>
      </c>
      <c r="C15" s="3000" t="s">
        <v>3256</v>
      </c>
      <c r="D15" s="3000" t="s">
        <v>3261</v>
      </c>
      <c r="E15" s="3000" t="s">
        <v>3258</v>
      </c>
      <c r="F15" s="3000">
        <v>305</v>
      </c>
      <c r="G15" s="3000">
        <v>69.75</v>
      </c>
      <c r="H15" s="3001" t="s">
        <v>3055</v>
      </c>
    </row>
    <row r="16" spans="1:8" ht="14.25" hidden="1" thickBot="1">
      <c r="A16" s="2999">
        <v>15</v>
      </c>
      <c r="B16" s="3005" t="s">
        <v>3299</v>
      </c>
      <c r="C16" s="3000" t="s">
        <v>3256</v>
      </c>
      <c r="D16" s="3000" t="s">
        <v>3261</v>
      </c>
      <c r="E16" s="3000" t="s">
        <v>3258</v>
      </c>
      <c r="F16" s="3000">
        <v>306</v>
      </c>
      <c r="G16" s="3000">
        <v>69.56</v>
      </c>
      <c r="H16" s="3001" t="s">
        <v>3055</v>
      </c>
    </row>
    <row r="17" spans="1:8" ht="14.25" hidden="1" thickBot="1">
      <c r="A17" s="2999">
        <v>16</v>
      </c>
      <c r="B17" s="3005" t="s">
        <v>3299</v>
      </c>
      <c r="C17" s="3000" t="s">
        <v>3256</v>
      </c>
      <c r="D17" s="3000" t="s">
        <v>3261</v>
      </c>
      <c r="E17" s="3000" t="s">
        <v>3258</v>
      </c>
      <c r="F17" s="3000">
        <v>307</v>
      </c>
      <c r="G17" s="3000">
        <v>94.74</v>
      </c>
      <c r="H17" s="3001" t="s">
        <v>3055</v>
      </c>
    </row>
    <row r="18" spans="1:8" ht="14.25" hidden="1" thickBot="1">
      <c r="A18" s="2999">
        <v>17</v>
      </c>
      <c r="B18" s="3005" t="s">
        <v>3299</v>
      </c>
      <c r="C18" s="3000" t="s">
        <v>3256</v>
      </c>
      <c r="D18" s="3000" t="s">
        <v>3261</v>
      </c>
      <c r="E18" s="3000" t="s">
        <v>3259</v>
      </c>
      <c r="F18" s="3000">
        <v>302</v>
      </c>
      <c r="G18" s="3000">
        <v>69.56</v>
      </c>
      <c r="H18" s="3001" t="s">
        <v>3055</v>
      </c>
    </row>
    <row r="19" spans="1:8" ht="14.25" hidden="1" thickBot="1">
      <c r="A19" s="2999">
        <v>18</v>
      </c>
      <c r="B19" s="3005" t="s">
        <v>3299</v>
      </c>
      <c r="C19" s="3000" t="s">
        <v>3256</v>
      </c>
      <c r="D19" s="3000" t="s">
        <v>3261</v>
      </c>
      <c r="E19" s="3000" t="s">
        <v>3259</v>
      </c>
      <c r="F19" s="3000">
        <v>303</v>
      </c>
      <c r="G19" s="3000">
        <v>69.75</v>
      </c>
      <c r="H19" s="3001" t="s">
        <v>3055</v>
      </c>
    </row>
    <row r="20" spans="1:8" ht="14.25" hidden="1" thickBot="1">
      <c r="A20" s="2999">
        <v>19</v>
      </c>
      <c r="B20" s="3005" t="s">
        <v>3299</v>
      </c>
      <c r="C20" s="3000" t="s">
        <v>3256</v>
      </c>
      <c r="D20" s="3000" t="s">
        <v>3261</v>
      </c>
      <c r="E20" s="3000" t="s">
        <v>3259</v>
      </c>
      <c r="F20" s="3000">
        <v>305</v>
      </c>
      <c r="G20" s="3000">
        <v>69.75</v>
      </c>
      <c r="H20" s="3001" t="s">
        <v>3055</v>
      </c>
    </row>
    <row r="21" spans="1:8" ht="14.25" hidden="1" thickBot="1">
      <c r="A21" s="2999">
        <v>20</v>
      </c>
      <c r="B21" s="3005" t="s">
        <v>3299</v>
      </c>
      <c r="C21" s="3000" t="s">
        <v>3256</v>
      </c>
      <c r="D21" s="3000" t="s">
        <v>3261</v>
      </c>
      <c r="E21" s="3000" t="s">
        <v>3259</v>
      </c>
      <c r="F21" s="3000">
        <v>306</v>
      </c>
      <c r="G21" s="3000">
        <v>69.56</v>
      </c>
      <c r="H21" s="3001" t="s">
        <v>3055</v>
      </c>
    </row>
    <row r="22" spans="1:8" ht="14.25" hidden="1" thickBot="1">
      <c r="A22" s="2999">
        <v>21</v>
      </c>
      <c r="B22" s="3005" t="s">
        <v>3299</v>
      </c>
      <c r="C22" s="3000" t="s">
        <v>3256</v>
      </c>
      <c r="D22" s="3000" t="s">
        <v>3261</v>
      </c>
      <c r="E22" s="3000" t="s">
        <v>3259</v>
      </c>
      <c r="F22" s="3000">
        <v>307</v>
      </c>
      <c r="G22" s="3000">
        <v>66.069999999999993</v>
      </c>
      <c r="H22" s="3001" t="s">
        <v>3055</v>
      </c>
    </row>
    <row r="23" spans="1:8" ht="14.25" hidden="1" thickBot="1">
      <c r="A23" s="2999">
        <v>22</v>
      </c>
      <c r="B23" s="3005" t="s">
        <v>3299</v>
      </c>
      <c r="C23" s="3000" t="s">
        <v>3256</v>
      </c>
      <c r="D23" s="3000" t="s">
        <v>3262</v>
      </c>
      <c r="E23" s="3000" t="s">
        <v>3258</v>
      </c>
      <c r="F23" s="3000" t="s">
        <v>3146</v>
      </c>
      <c r="G23" s="3000">
        <v>69.56</v>
      </c>
      <c r="H23" s="3001" t="s">
        <v>3055</v>
      </c>
    </row>
    <row r="24" spans="1:8" ht="14.25" hidden="1" thickBot="1">
      <c r="A24" s="2999">
        <v>23</v>
      </c>
      <c r="B24" s="3005" t="s">
        <v>3299</v>
      </c>
      <c r="C24" s="3000" t="s">
        <v>3256</v>
      </c>
      <c r="D24" s="3000" t="s">
        <v>3262</v>
      </c>
      <c r="E24" s="3000" t="s">
        <v>3258</v>
      </c>
      <c r="F24" s="3000" t="s">
        <v>3148</v>
      </c>
      <c r="G24" s="3000">
        <v>69.75</v>
      </c>
      <c r="H24" s="3001" t="s">
        <v>3055</v>
      </c>
    </row>
    <row r="25" spans="1:8" ht="14.25" hidden="1" thickBot="1">
      <c r="A25" s="2999">
        <v>24</v>
      </c>
      <c r="B25" s="3005" t="s">
        <v>3299</v>
      </c>
      <c r="C25" s="3000" t="s">
        <v>3256</v>
      </c>
      <c r="D25" s="3000" t="s">
        <v>3262</v>
      </c>
      <c r="E25" s="3000" t="s">
        <v>3258</v>
      </c>
      <c r="F25" s="3000" t="s">
        <v>3149</v>
      </c>
      <c r="G25" s="3000">
        <v>69.56</v>
      </c>
      <c r="H25" s="3001" t="s">
        <v>3055</v>
      </c>
    </row>
    <row r="26" spans="1:8" ht="14.25" hidden="1" thickBot="1">
      <c r="A26" s="2999">
        <v>25</v>
      </c>
      <c r="B26" s="3005" t="s">
        <v>3299</v>
      </c>
      <c r="C26" s="3000" t="s">
        <v>3256</v>
      </c>
      <c r="D26" s="3000" t="s">
        <v>3262</v>
      </c>
      <c r="E26" s="3000" t="s">
        <v>3259</v>
      </c>
      <c r="F26" s="3000" t="s">
        <v>3145</v>
      </c>
      <c r="G26" s="3000">
        <v>94.74</v>
      </c>
      <c r="H26" s="3001" t="s">
        <v>3055</v>
      </c>
    </row>
    <row r="27" spans="1:8" ht="14.25" hidden="1" thickBot="1">
      <c r="A27" s="2999">
        <v>26</v>
      </c>
      <c r="B27" s="3005" t="s">
        <v>3299</v>
      </c>
      <c r="C27" s="3000" t="s">
        <v>3256</v>
      </c>
      <c r="D27" s="3000" t="s">
        <v>3262</v>
      </c>
      <c r="E27" s="3000" t="s">
        <v>3259</v>
      </c>
      <c r="F27" s="3000" t="s">
        <v>3146</v>
      </c>
      <c r="G27" s="3000">
        <v>69.56</v>
      </c>
      <c r="H27" s="3001" t="s">
        <v>3055</v>
      </c>
    </row>
    <row r="28" spans="1:8" ht="14.25" hidden="1" thickBot="1">
      <c r="A28" s="2999">
        <v>27</v>
      </c>
      <c r="B28" s="3005" t="s">
        <v>3299</v>
      </c>
      <c r="C28" s="3000" t="s">
        <v>3256</v>
      </c>
      <c r="D28" s="3000" t="s">
        <v>3262</v>
      </c>
      <c r="E28" s="3000" t="s">
        <v>3259</v>
      </c>
      <c r="F28" s="3000" t="s">
        <v>3147</v>
      </c>
      <c r="G28" s="3000">
        <v>69.75</v>
      </c>
      <c r="H28" s="3001" t="s">
        <v>3055</v>
      </c>
    </row>
    <row r="29" spans="1:8" ht="14.25" hidden="1" thickBot="1">
      <c r="A29" s="2999">
        <v>28</v>
      </c>
      <c r="B29" s="3005" t="s">
        <v>3299</v>
      </c>
      <c r="C29" s="3000" t="s">
        <v>3256</v>
      </c>
      <c r="D29" s="3000" t="s">
        <v>3262</v>
      </c>
      <c r="E29" s="3000" t="s">
        <v>3259</v>
      </c>
      <c r="F29" s="3000" t="s">
        <v>3148</v>
      </c>
      <c r="G29" s="3000">
        <v>69.75</v>
      </c>
      <c r="H29" s="3001" t="s">
        <v>3055</v>
      </c>
    </row>
    <row r="30" spans="1:8" ht="14.25" hidden="1" thickBot="1">
      <c r="A30" s="2999">
        <v>29</v>
      </c>
      <c r="B30" s="3005" t="s">
        <v>3299</v>
      </c>
      <c r="C30" s="3000" t="s">
        <v>3256</v>
      </c>
      <c r="D30" s="3000" t="s">
        <v>3262</v>
      </c>
      <c r="E30" s="3000" t="s">
        <v>3259</v>
      </c>
      <c r="F30" s="3000" t="s">
        <v>3150</v>
      </c>
      <c r="G30" s="3000">
        <v>66.069999999999993</v>
      </c>
      <c r="H30" s="3001" t="s">
        <v>3055</v>
      </c>
    </row>
    <row r="31" spans="1:8" ht="14.25" hidden="1" thickBot="1">
      <c r="A31" s="2999">
        <v>30</v>
      </c>
      <c r="B31" s="3005" t="s">
        <v>3299</v>
      </c>
      <c r="C31" s="3000" t="s">
        <v>3256</v>
      </c>
      <c r="D31" s="3000" t="s">
        <v>3263</v>
      </c>
      <c r="E31" s="3000" t="s">
        <v>3258</v>
      </c>
      <c r="F31" s="3000">
        <v>502</v>
      </c>
      <c r="G31" s="3000">
        <v>69.56</v>
      </c>
      <c r="H31" s="3001" t="s">
        <v>3055</v>
      </c>
    </row>
    <row r="32" spans="1:8" ht="14.25" hidden="1" thickBot="1">
      <c r="A32" s="2999">
        <v>31</v>
      </c>
      <c r="B32" s="3005" t="s">
        <v>3299</v>
      </c>
      <c r="C32" s="3000" t="s">
        <v>3256</v>
      </c>
      <c r="D32" s="3000" t="s">
        <v>3263</v>
      </c>
      <c r="E32" s="3000" t="s">
        <v>3258</v>
      </c>
      <c r="F32" s="3000">
        <v>503</v>
      </c>
      <c r="G32" s="3000">
        <v>69.75</v>
      </c>
      <c r="H32" s="3001" t="s">
        <v>3055</v>
      </c>
    </row>
    <row r="33" spans="1:8" ht="14.25" hidden="1" thickBot="1">
      <c r="A33" s="2999">
        <v>32</v>
      </c>
      <c r="B33" s="3005" t="s">
        <v>3299</v>
      </c>
      <c r="C33" s="3000" t="s">
        <v>3256</v>
      </c>
      <c r="D33" s="3000" t="s">
        <v>3263</v>
      </c>
      <c r="E33" s="3000" t="s">
        <v>3258</v>
      </c>
      <c r="F33" s="3000">
        <v>505</v>
      </c>
      <c r="G33" s="3000">
        <v>69.75</v>
      </c>
      <c r="H33" s="3001" t="s">
        <v>3055</v>
      </c>
    </row>
    <row r="34" spans="1:8" ht="14.25" hidden="1" thickBot="1">
      <c r="A34" s="2999">
        <v>33</v>
      </c>
      <c r="B34" s="3005" t="s">
        <v>3299</v>
      </c>
      <c r="C34" s="3000" t="s">
        <v>3256</v>
      </c>
      <c r="D34" s="3000" t="s">
        <v>3263</v>
      </c>
      <c r="E34" s="3000" t="s">
        <v>3258</v>
      </c>
      <c r="F34" s="3000">
        <v>506</v>
      </c>
      <c r="G34" s="3000">
        <v>69.56</v>
      </c>
      <c r="H34" s="3001" t="s">
        <v>3055</v>
      </c>
    </row>
    <row r="35" spans="1:8" ht="14.25" hidden="1" thickBot="1">
      <c r="A35" s="2999">
        <v>34</v>
      </c>
      <c r="B35" s="3005" t="s">
        <v>3299</v>
      </c>
      <c r="C35" s="3000" t="s">
        <v>3256</v>
      </c>
      <c r="D35" s="3000" t="s">
        <v>3263</v>
      </c>
      <c r="E35" s="3000" t="s">
        <v>3258</v>
      </c>
      <c r="F35" s="3000">
        <v>507</v>
      </c>
      <c r="G35" s="3000">
        <v>94.74</v>
      </c>
      <c r="H35" s="3001" t="s">
        <v>3055</v>
      </c>
    </row>
    <row r="36" spans="1:8" ht="14.25" hidden="1" thickBot="1">
      <c r="A36" s="2999">
        <v>35</v>
      </c>
      <c r="B36" s="3005" t="s">
        <v>3299</v>
      </c>
      <c r="C36" s="3000" t="s">
        <v>3256</v>
      </c>
      <c r="D36" s="3000" t="s">
        <v>3263</v>
      </c>
      <c r="E36" s="3000" t="s">
        <v>3259</v>
      </c>
      <c r="F36" s="3000">
        <v>502</v>
      </c>
      <c r="G36" s="3000">
        <v>69.56</v>
      </c>
      <c r="H36" s="3001" t="s">
        <v>3055</v>
      </c>
    </row>
    <row r="37" spans="1:8" ht="14.25" hidden="1" thickBot="1">
      <c r="A37" s="2999">
        <v>36</v>
      </c>
      <c r="B37" s="3005" t="s">
        <v>3299</v>
      </c>
      <c r="C37" s="3000" t="s">
        <v>3256</v>
      </c>
      <c r="D37" s="3000" t="s">
        <v>3263</v>
      </c>
      <c r="E37" s="3000" t="s">
        <v>3259</v>
      </c>
      <c r="F37" s="3000">
        <v>503</v>
      </c>
      <c r="G37" s="3000">
        <v>69.75</v>
      </c>
      <c r="H37" s="3001" t="s">
        <v>3055</v>
      </c>
    </row>
    <row r="38" spans="1:8" ht="14.25" hidden="1" thickBot="1">
      <c r="A38" s="2999">
        <v>37</v>
      </c>
      <c r="B38" s="3005" t="s">
        <v>3299</v>
      </c>
      <c r="C38" s="3000" t="s">
        <v>3256</v>
      </c>
      <c r="D38" s="3000" t="s">
        <v>3263</v>
      </c>
      <c r="E38" s="3000" t="s">
        <v>3259</v>
      </c>
      <c r="F38" s="3000">
        <v>505</v>
      </c>
      <c r="G38" s="3000">
        <v>69.75</v>
      </c>
      <c r="H38" s="3001" t="s">
        <v>3055</v>
      </c>
    </row>
    <row r="39" spans="1:8" ht="14.25" hidden="1" thickBot="1">
      <c r="A39" s="2999">
        <v>38</v>
      </c>
      <c r="B39" s="3005" t="s">
        <v>3299</v>
      </c>
      <c r="C39" s="3000" t="s">
        <v>3256</v>
      </c>
      <c r="D39" s="3000" t="s">
        <v>3263</v>
      </c>
      <c r="E39" s="3000" t="s">
        <v>3259</v>
      </c>
      <c r="F39" s="3000">
        <v>507</v>
      </c>
      <c r="G39" s="3000">
        <v>66.069999999999993</v>
      </c>
      <c r="H39" s="3001" t="s">
        <v>3055</v>
      </c>
    </row>
    <row r="40" spans="1:8" ht="14.25" hidden="1" thickBot="1">
      <c r="A40" s="2999">
        <v>39</v>
      </c>
      <c r="B40" s="3005" t="s">
        <v>3299</v>
      </c>
      <c r="C40" s="3000" t="s">
        <v>3256</v>
      </c>
      <c r="D40" s="3000" t="s">
        <v>3264</v>
      </c>
      <c r="E40" s="3000" t="s">
        <v>3258</v>
      </c>
      <c r="F40" s="3000">
        <v>607</v>
      </c>
      <c r="G40" s="3000">
        <v>94.74</v>
      </c>
      <c r="H40" s="3001" t="s">
        <v>3055</v>
      </c>
    </row>
    <row r="41" spans="1:8" ht="14.25" hidden="1" thickBot="1">
      <c r="A41" s="2999">
        <v>40</v>
      </c>
      <c r="B41" s="3005" t="s">
        <v>3299</v>
      </c>
      <c r="C41" s="3000" t="s">
        <v>3256</v>
      </c>
      <c r="D41" s="3000" t="s">
        <v>3264</v>
      </c>
      <c r="E41" s="3000" t="s">
        <v>3259</v>
      </c>
      <c r="F41" s="3000">
        <v>602</v>
      </c>
      <c r="G41" s="3000">
        <v>69.56</v>
      </c>
      <c r="H41" s="3001" t="s">
        <v>3055</v>
      </c>
    </row>
    <row r="42" spans="1:8" ht="14.25" hidden="1" thickBot="1">
      <c r="A42" s="2999">
        <v>41</v>
      </c>
      <c r="B42" s="3005" t="s">
        <v>3299</v>
      </c>
      <c r="C42" s="3000" t="s">
        <v>3256</v>
      </c>
      <c r="D42" s="3000" t="s">
        <v>3264</v>
      </c>
      <c r="E42" s="3000" t="s">
        <v>3259</v>
      </c>
      <c r="F42" s="3000">
        <v>607</v>
      </c>
      <c r="G42" s="3000">
        <v>66.069999999999993</v>
      </c>
      <c r="H42" s="3001" t="s">
        <v>3055</v>
      </c>
    </row>
    <row r="43" spans="1:8" ht="14.25" hidden="1" thickBot="1">
      <c r="A43" s="2999">
        <v>42</v>
      </c>
      <c r="B43" s="3005" t="s">
        <v>3299</v>
      </c>
      <c r="C43" s="3000" t="s">
        <v>3265</v>
      </c>
      <c r="D43" s="3000" t="s">
        <v>3257</v>
      </c>
      <c r="E43" s="3000" t="s">
        <v>3258</v>
      </c>
      <c r="F43" s="3000">
        <v>101</v>
      </c>
      <c r="G43" s="3000">
        <v>67.23</v>
      </c>
      <c r="H43" s="3001" t="s">
        <v>3055</v>
      </c>
    </row>
    <row r="44" spans="1:8" ht="14.25" hidden="1" thickBot="1">
      <c r="A44" s="2999">
        <v>43</v>
      </c>
      <c r="B44" s="3005" t="s">
        <v>3299</v>
      </c>
      <c r="C44" s="3000" t="s">
        <v>3265</v>
      </c>
      <c r="D44" s="3000" t="s">
        <v>3257</v>
      </c>
      <c r="E44" s="3000" t="s">
        <v>3258</v>
      </c>
      <c r="F44" s="3000">
        <v>102</v>
      </c>
      <c r="G44" s="3000">
        <v>86.67</v>
      </c>
      <c r="H44" s="3001" t="s">
        <v>3055</v>
      </c>
    </row>
    <row r="45" spans="1:8" ht="14.25" hidden="1" thickBot="1">
      <c r="A45" s="2999">
        <v>44</v>
      </c>
      <c r="B45" s="3005" t="s">
        <v>3299</v>
      </c>
      <c r="C45" s="3000" t="s">
        <v>3265</v>
      </c>
      <c r="D45" s="3000" t="s">
        <v>3257</v>
      </c>
      <c r="E45" s="3000" t="s">
        <v>3258</v>
      </c>
      <c r="F45" s="3000">
        <v>103</v>
      </c>
      <c r="G45" s="3000">
        <v>86.67</v>
      </c>
      <c r="H45" s="3001" t="s">
        <v>3055</v>
      </c>
    </row>
    <row r="46" spans="1:8" ht="14.25" hidden="1" thickBot="1">
      <c r="A46" s="2999">
        <v>45</v>
      </c>
      <c r="B46" s="3005" t="s">
        <v>3299</v>
      </c>
      <c r="C46" s="3000" t="s">
        <v>3265</v>
      </c>
      <c r="D46" s="3000" t="s">
        <v>3257</v>
      </c>
      <c r="E46" s="3000" t="s">
        <v>3258</v>
      </c>
      <c r="F46" s="3000">
        <v>105</v>
      </c>
      <c r="G46" s="3000">
        <v>72.48</v>
      </c>
      <c r="H46" s="3001" t="s">
        <v>3055</v>
      </c>
    </row>
    <row r="47" spans="1:8" ht="14.25" hidden="1" thickBot="1">
      <c r="A47" s="2999">
        <v>46</v>
      </c>
      <c r="B47" s="3005" t="s">
        <v>3299</v>
      </c>
      <c r="C47" s="3000" t="s">
        <v>3265</v>
      </c>
      <c r="D47" s="3000" t="s">
        <v>3257</v>
      </c>
      <c r="E47" s="3000" t="s">
        <v>3259</v>
      </c>
      <c r="F47" s="3000">
        <v>101</v>
      </c>
      <c r="G47" s="3000">
        <v>97.31</v>
      </c>
      <c r="H47" s="3001" t="s">
        <v>3055</v>
      </c>
    </row>
    <row r="48" spans="1:8" ht="14.25" hidden="1" thickBot="1">
      <c r="A48" s="2999">
        <v>47</v>
      </c>
      <c r="B48" s="3005" t="s">
        <v>3299</v>
      </c>
      <c r="C48" s="3000" t="s">
        <v>3265</v>
      </c>
      <c r="D48" s="3000" t="s">
        <v>3257</v>
      </c>
      <c r="E48" s="3000" t="s">
        <v>3259</v>
      </c>
      <c r="F48" s="3000">
        <v>102</v>
      </c>
      <c r="G48" s="3000">
        <v>85.45</v>
      </c>
      <c r="H48" s="3001" t="s">
        <v>3055</v>
      </c>
    </row>
    <row r="49" spans="1:8" ht="14.25" hidden="1" thickBot="1">
      <c r="A49" s="2999">
        <v>48</v>
      </c>
      <c r="B49" s="3005" t="s">
        <v>3299</v>
      </c>
      <c r="C49" s="3000" t="s">
        <v>3265</v>
      </c>
      <c r="D49" s="3000" t="s">
        <v>3257</v>
      </c>
      <c r="E49" s="3000" t="s">
        <v>3259</v>
      </c>
      <c r="F49" s="3000">
        <v>103</v>
      </c>
      <c r="G49" s="3000">
        <v>85.45</v>
      </c>
      <c r="H49" s="3001" t="s">
        <v>3055</v>
      </c>
    </row>
    <row r="50" spans="1:8" ht="14.25" hidden="1" thickBot="1">
      <c r="A50" s="2999">
        <v>49</v>
      </c>
      <c r="B50" s="3005" t="s">
        <v>3299</v>
      </c>
      <c r="C50" s="3000" t="s">
        <v>3265</v>
      </c>
      <c r="D50" s="3000" t="s">
        <v>3257</v>
      </c>
      <c r="E50" s="3000" t="s">
        <v>3259</v>
      </c>
      <c r="F50" s="3000">
        <v>105</v>
      </c>
      <c r="G50" s="3000">
        <v>66.28</v>
      </c>
      <c r="H50" s="3001" t="s">
        <v>3055</v>
      </c>
    </row>
    <row r="51" spans="1:8" ht="14.25" hidden="1" thickBot="1">
      <c r="A51" s="2999">
        <v>50</v>
      </c>
      <c r="B51" s="3005" t="s">
        <v>3299</v>
      </c>
      <c r="C51" s="3000" t="s">
        <v>3265</v>
      </c>
      <c r="D51" s="3000" t="s">
        <v>3260</v>
      </c>
      <c r="E51" s="3000" t="s">
        <v>3258</v>
      </c>
      <c r="F51" s="3000">
        <v>202</v>
      </c>
      <c r="G51" s="3000">
        <v>86.67</v>
      </c>
      <c r="H51" s="3001" t="s">
        <v>3055</v>
      </c>
    </row>
    <row r="52" spans="1:8" ht="14.25" hidden="1" thickBot="1">
      <c r="A52" s="2999">
        <v>51</v>
      </c>
      <c r="B52" s="3005" t="s">
        <v>3299</v>
      </c>
      <c r="C52" s="3000" t="s">
        <v>3265</v>
      </c>
      <c r="D52" s="3000" t="s">
        <v>3260</v>
      </c>
      <c r="E52" s="3000" t="s">
        <v>3258</v>
      </c>
      <c r="F52" s="3000">
        <v>203</v>
      </c>
      <c r="G52" s="3000">
        <v>86.67</v>
      </c>
      <c r="H52" s="3001" t="s">
        <v>3055</v>
      </c>
    </row>
    <row r="53" spans="1:8" ht="14.25" hidden="1" thickBot="1">
      <c r="A53" s="2999">
        <v>52</v>
      </c>
      <c r="B53" s="3005" t="s">
        <v>3299</v>
      </c>
      <c r="C53" s="3000" t="s">
        <v>3265</v>
      </c>
      <c r="D53" s="3000" t="s">
        <v>3260</v>
      </c>
      <c r="E53" s="3000" t="s">
        <v>3259</v>
      </c>
      <c r="F53" s="3000">
        <v>201</v>
      </c>
      <c r="G53" s="3000">
        <v>97.31</v>
      </c>
      <c r="H53" s="3001" t="s">
        <v>3055</v>
      </c>
    </row>
    <row r="54" spans="1:8" ht="14.25" hidden="1" thickBot="1">
      <c r="A54" s="2999">
        <v>53</v>
      </c>
      <c r="B54" s="3005" t="s">
        <v>3299</v>
      </c>
      <c r="C54" s="3000" t="s">
        <v>3265</v>
      </c>
      <c r="D54" s="3000" t="s">
        <v>3261</v>
      </c>
      <c r="E54" s="3000" t="s">
        <v>3258</v>
      </c>
      <c r="F54" s="3000">
        <v>302</v>
      </c>
      <c r="G54" s="3000">
        <v>86.67</v>
      </c>
      <c r="H54" s="3001" t="s">
        <v>3055</v>
      </c>
    </row>
    <row r="55" spans="1:8" ht="14.25" hidden="1" thickBot="1">
      <c r="A55" s="2999">
        <v>54</v>
      </c>
      <c r="B55" s="3005" t="s">
        <v>3299</v>
      </c>
      <c r="C55" s="3000" t="s">
        <v>3265</v>
      </c>
      <c r="D55" s="3000" t="s">
        <v>3261</v>
      </c>
      <c r="E55" s="3000" t="s">
        <v>3258</v>
      </c>
      <c r="F55" s="3000">
        <v>305</v>
      </c>
      <c r="G55" s="3000">
        <v>72.48</v>
      </c>
      <c r="H55" s="3001" t="s">
        <v>3055</v>
      </c>
    </row>
    <row r="56" spans="1:8" ht="14.25" hidden="1" thickBot="1">
      <c r="A56" s="2999">
        <v>55</v>
      </c>
      <c r="B56" s="3005" t="s">
        <v>3299</v>
      </c>
      <c r="C56" s="3000" t="s">
        <v>3265</v>
      </c>
      <c r="D56" s="3000" t="s">
        <v>3262</v>
      </c>
      <c r="E56" s="3000" t="s">
        <v>3259</v>
      </c>
      <c r="F56" s="3000" t="s">
        <v>3145</v>
      </c>
      <c r="G56" s="3000">
        <v>97.31</v>
      </c>
      <c r="H56" s="3001" t="s">
        <v>3055</v>
      </c>
    </row>
    <row r="57" spans="1:8" ht="14.25" hidden="1" thickBot="1">
      <c r="A57" s="2999">
        <v>56</v>
      </c>
      <c r="B57" s="3005" t="s">
        <v>3299</v>
      </c>
      <c r="C57" s="3000" t="s">
        <v>3265</v>
      </c>
      <c r="D57" s="3000" t="s">
        <v>3262</v>
      </c>
      <c r="E57" s="3000" t="s">
        <v>3259</v>
      </c>
      <c r="F57" s="3000" t="s">
        <v>3148</v>
      </c>
      <c r="G57" s="3000">
        <v>66.28</v>
      </c>
      <c r="H57" s="3001" t="s">
        <v>3055</v>
      </c>
    </row>
    <row r="58" spans="1:8" ht="14.25" hidden="1" thickBot="1">
      <c r="A58" s="2999">
        <v>57</v>
      </c>
      <c r="B58" s="3005" t="s">
        <v>3299</v>
      </c>
      <c r="C58" s="3000" t="s">
        <v>3265</v>
      </c>
      <c r="D58" s="3000" t="s">
        <v>3263</v>
      </c>
      <c r="E58" s="3000" t="s">
        <v>3258</v>
      </c>
      <c r="F58" s="3000">
        <v>503</v>
      </c>
      <c r="G58" s="3000">
        <v>86.67</v>
      </c>
      <c r="H58" s="3001" t="s">
        <v>3055</v>
      </c>
    </row>
    <row r="59" spans="1:8" ht="14.25" hidden="1" thickBot="1">
      <c r="A59" s="2999">
        <v>58</v>
      </c>
      <c r="B59" s="3005" t="s">
        <v>3299</v>
      </c>
      <c r="C59" s="3000" t="s">
        <v>3265</v>
      </c>
      <c r="D59" s="3000" t="s">
        <v>3263</v>
      </c>
      <c r="E59" s="3000" t="s">
        <v>3258</v>
      </c>
      <c r="F59" s="3000">
        <v>505</v>
      </c>
      <c r="G59" s="3000">
        <v>72.48</v>
      </c>
      <c r="H59" s="3001" t="s">
        <v>3055</v>
      </c>
    </row>
    <row r="60" spans="1:8" ht="14.25" hidden="1" thickBot="1">
      <c r="A60" s="2999">
        <v>59</v>
      </c>
      <c r="B60" s="3005" t="s">
        <v>3299</v>
      </c>
      <c r="C60" s="3000" t="s">
        <v>3265</v>
      </c>
      <c r="D60" s="3000" t="s">
        <v>3264</v>
      </c>
      <c r="E60" s="3000" t="s">
        <v>3258</v>
      </c>
      <c r="F60" s="3000">
        <v>602</v>
      </c>
      <c r="G60" s="3000">
        <v>86.67</v>
      </c>
      <c r="H60" s="3001" t="s">
        <v>3055</v>
      </c>
    </row>
    <row r="61" spans="1:8" ht="14.25" hidden="1" thickBot="1">
      <c r="A61" s="2999">
        <v>60</v>
      </c>
      <c r="B61" s="3005" t="s">
        <v>3299</v>
      </c>
      <c r="C61" s="3000" t="s">
        <v>3265</v>
      </c>
      <c r="D61" s="3000" t="s">
        <v>3264</v>
      </c>
      <c r="E61" s="3000" t="s">
        <v>3258</v>
      </c>
      <c r="F61" s="3000">
        <v>603</v>
      </c>
      <c r="G61" s="3000">
        <v>86.67</v>
      </c>
      <c r="H61" s="3001" t="s">
        <v>3055</v>
      </c>
    </row>
    <row r="62" spans="1:8" ht="14.25" hidden="1" thickBot="1">
      <c r="A62" s="2999">
        <v>61</v>
      </c>
      <c r="B62" s="3005" t="s">
        <v>3299</v>
      </c>
      <c r="C62" s="3000" t="s">
        <v>3265</v>
      </c>
      <c r="D62" s="3000" t="s">
        <v>3264</v>
      </c>
      <c r="E62" s="3000" t="s">
        <v>3259</v>
      </c>
      <c r="F62" s="3000">
        <v>601</v>
      </c>
      <c r="G62" s="3000">
        <v>97.31</v>
      </c>
      <c r="H62" s="3001" t="s">
        <v>3055</v>
      </c>
    </row>
    <row r="63" spans="1:8" ht="14.25" thickBot="1">
      <c r="A63" s="2999">
        <v>62</v>
      </c>
      <c r="B63" s="3005" t="s">
        <v>3300</v>
      </c>
      <c r="C63" s="3000" t="s">
        <v>3266</v>
      </c>
      <c r="D63" s="3002" t="s">
        <v>3257</v>
      </c>
      <c r="E63" s="3000" t="s">
        <v>3259</v>
      </c>
      <c r="F63" s="3002">
        <v>101</v>
      </c>
      <c r="G63" s="3000">
        <v>97.04</v>
      </c>
      <c r="H63" s="3001" t="s">
        <v>3055</v>
      </c>
    </row>
    <row r="64" spans="1:8" ht="14.25" thickBot="1">
      <c r="A64" s="2999">
        <v>63</v>
      </c>
      <c r="B64" s="3005" t="s">
        <v>3300</v>
      </c>
      <c r="C64" s="3000" t="s">
        <v>3266</v>
      </c>
      <c r="D64" s="3002" t="s">
        <v>3257</v>
      </c>
      <c r="E64" s="3000" t="s">
        <v>3259</v>
      </c>
      <c r="F64" s="3002">
        <v>102</v>
      </c>
      <c r="G64" s="3000">
        <v>86.49</v>
      </c>
      <c r="H64" s="3001" t="s">
        <v>3055</v>
      </c>
    </row>
    <row r="65" spans="1:8" ht="14.25" thickBot="1">
      <c r="A65" s="2999">
        <v>64</v>
      </c>
      <c r="B65" s="3005" t="s">
        <v>3300</v>
      </c>
      <c r="C65" s="3000" t="s">
        <v>3266</v>
      </c>
      <c r="D65" s="3002" t="s">
        <v>3257</v>
      </c>
      <c r="E65" s="3000" t="s">
        <v>3259</v>
      </c>
      <c r="F65" s="3002">
        <v>103</v>
      </c>
      <c r="G65" s="3000">
        <v>86.49</v>
      </c>
      <c r="H65" s="3001" t="s">
        <v>3055</v>
      </c>
    </row>
    <row r="66" spans="1:8" ht="14.25" thickBot="1">
      <c r="A66" s="2999">
        <v>65</v>
      </c>
      <c r="B66" s="3005" t="s">
        <v>3300</v>
      </c>
      <c r="C66" s="3000" t="s">
        <v>3266</v>
      </c>
      <c r="D66" s="3002" t="s">
        <v>3257</v>
      </c>
      <c r="E66" s="3000" t="s">
        <v>3259</v>
      </c>
      <c r="F66" s="3002">
        <v>105</v>
      </c>
      <c r="G66" s="3000">
        <v>66.540000000000006</v>
      </c>
      <c r="H66" s="3001" t="s">
        <v>3055</v>
      </c>
    </row>
    <row r="67" spans="1:8" ht="14.25" thickBot="1">
      <c r="A67" s="2999">
        <v>66</v>
      </c>
      <c r="B67" s="3005" t="s">
        <v>3300</v>
      </c>
      <c r="C67" s="3000" t="s">
        <v>3266</v>
      </c>
      <c r="D67" s="3002" t="s">
        <v>3257</v>
      </c>
      <c r="E67" s="3000" t="s">
        <v>3258</v>
      </c>
      <c r="F67" s="3002">
        <v>106</v>
      </c>
      <c r="G67" s="3000">
        <v>67.47</v>
      </c>
      <c r="H67" s="3001" t="s">
        <v>3055</v>
      </c>
    </row>
    <row r="68" spans="1:8" ht="14.25" thickBot="1">
      <c r="A68" s="2999">
        <v>67</v>
      </c>
      <c r="B68" s="3005" t="s">
        <v>3300</v>
      </c>
      <c r="C68" s="3000" t="s">
        <v>3266</v>
      </c>
      <c r="D68" s="3002" t="s">
        <v>3257</v>
      </c>
      <c r="E68" s="3000" t="s">
        <v>3258</v>
      </c>
      <c r="F68" s="3002">
        <v>107</v>
      </c>
      <c r="G68" s="3000">
        <v>87.71</v>
      </c>
      <c r="H68" s="3001" t="s">
        <v>3055</v>
      </c>
    </row>
    <row r="69" spans="1:8" ht="14.25" thickBot="1">
      <c r="A69" s="2999">
        <v>68</v>
      </c>
      <c r="B69" s="3005" t="s">
        <v>3300</v>
      </c>
      <c r="C69" s="3000" t="s">
        <v>3266</v>
      </c>
      <c r="D69" s="3002" t="s">
        <v>3257</v>
      </c>
      <c r="E69" s="3000" t="s">
        <v>3258</v>
      </c>
      <c r="F69" s="3002">
        <v>108</v>
      </c>
      <c r="G69" s="3000">
        <v>87.71</v>
      </c>
      <c r="H69" s="3001" t="s">
        <v>3055</v>
      </c>
    </row>
    <row r="70" spans="1:8" ht="14.25" thickBot="1">
      <c r="A70" s="2999">
        <v>69</v>
      </c>
      <c r="B70" s="3005" t="s">
        <v>3300</v>
      </c>
      <c r="C70" s="3000" t="s">
        <v>3266</v>
      </c>
      <c r="D70" s="3002" t="s">
        <v>3257</v>
      </c>
      <c r="E70" s="3000" t="s">
        <v>3258</v>
      </c>
      <c r="F70" s="3002">
        <v>109</v>
      </c>
      <c r="G70" s="3000">
        <v>72.27</v>
      </c>
      <c r="H70" s="3001" t="s">
        <v>3055</v>
      </c>
    </row>
    <row r="71" spans="1:8" ht="14.25" thickBot="1">
      <c r="A71" s="2999">
        <v>70</v>
      </c>
      <c r="B71" s="3005" t="s">
        <v>3300</v>
      </c>
      <c r="C71" s="3000" t="s">
        <v>3266</v>
      </c>
      <c r="D71" s="3002" t="s">
        <v>3260</v>
      </c>
      <c r="E71" s="3000" t="s">
        <v>3259</v>
      </c>
      <c r="F71" s="3002">
        <v>201</v>
      </c>
      <c r="G71" s="3000">
        <v>97.04</v>
      </c>
      <c r="H71" s="3001" t="s">
        <v>3055</v>
      </c>
    </row>
    <row r="72" spans="1:8" ht="14.25" thickBot="1">
      <c r="A72" s="2999">
        <v>71</v>
      </c>
      <c r="B72" s="3005" t="s">
        <v>3300</v>
      </c>
      <c r="C72" s="3000" t="s">
        <v>3266</v>
      </c>
      <c r="D72" s="3002" t="s">
        <v>3260</v>
      </c>
      <c r="E72" s="3000" t="s">
        <v>3259</v>
      </c>
      <c r="F72" s="3002">
        <v>202</v>
      </c>
      <c r="G72" s="3000">
        <v>86.49</v>
      </c>
      <c r="H72" s="3001" t="s">
        <v>3055</v>
      </c>
    </row>
    <row r="73" spans="1:8" ht="14.25" thickBot="1">
      <c r="A73" s="2999">
        <v>72</v>
      </c>
      <c r="B73" s="3005" t="s">
        <v>3300</v>
      </c>
      <c r="C73" s="3000" t="s">
        <v>3266</v>
      </c>
      <c r="D73" s="3002" t="s">
        <v>3260</v>
      </c>
      <c r="E73" s="3000" t="s">
        <v>3259</v>
      </c>
      <c r="F73" s="3002">
        <v>203</v>
      </c>
      <c r="G73" s="3000">
        <v>86.49</v>
      </c>
      <c r="H73" s="3001" t="s">
        <v>3055</v>
      </c>
    </row>
    <row r="74" spans="1:8" ht="14.25" thickBot="1">
      <c r="A74" s="2999">
        <v>73</v>
      </c>
      <c r="B74" s="3005" t="s">
        <v>3300</v>
      </c>
      <c r="C74" s="3000" t="s">
        <v>3266</v>
      </c>
      <c r="D74" s="3002" t="s">
        <v>3260</v>
      </c>
      <c r="E74" s="3000" t="s">
        <v>3259</v>
      </c>
      <c r="F74" s="3002">
        <v>205</v>
      </c>
      <c r="G74" s="3000">
        <v>66.540000000000006</v>
      </c>
      <c r="H74" s="3001" t="s">
        <v>3055</v>
      </c>
    </row>
    <row r="75" spans="1:8" ht="14.25" thickBot="1">
      <c r="A75" s="2999">
        <v>74</v>
      </c>
      <c r="B75" s="3005" t="s">
        <v>3300</v>
      </c>
      <c r="C75" s="3000" t="s">
        <v>3266</v>
      </c>
      <c r="D75" s="3002" t="s">
        <v>3260</v>
      </c>
      <c r="E75" s="3000" t="s">
        <v>3258</v>
      </c>
      <c r="F75" s="3002">
        <v>206</v>
      </c>
      <c r="G75" s="3000">
        <v>67.47</v>
      </c>
      <c r="H75" s="3001" t="s">
        <v>3055</v>
      </c>
    </row>
    <row r="76" spans="1:8" ht="14.25" thickBot="1">
      <c r="A76" s="2999">
        <v>75</v>
      </c>
      <c r="B76" s="3005" t="s">
        <v>3300</v>
      </c>
      <c r="C76" s="3000" t="s">
        <v>3266</v>
      </c>
      <c r="D76" s="3002" t="s">
        <v>3260</v>
      </c>
      <c r="E76" s="3000" t="s">
        <v>3258</v>
      </c>
      <c r="F76" s="3002">
        <v>207</v>
      </c>
      <c r="G76" s="3000">
        <v>87.71</v>
      </c>
      <c r="H76" s="3001" t="s">
        <v>3055</v>
      </c>
    </row>
    <row r="77" spans="1:8" ht="14.25" thickBot="1">
      <c r="A77" s="2999">
        <v>76</v>
      </c>
      <c r="B77" s="3005" t="s">
        <v>3300</v>
      </c>
      <c r="C77" s="3000" t="s">
        <v>3266</v>
      </c>
      <c r="D77" s="3002" t="s">
        <v>3260</v>
      </c>
      <c r="E77" s="3000" t="s">
        <v>3258</v>
      </c>
      <c r="F77" s="3002">
        <v>208</v>
      </c>
      <c r="G77" s="3000">
        <v>87.71</v>
      </c>
      <c r="H77" s="3001" t="s">
        <v>3055</v>
      </c>
    </row>
    <row r="78" spans="1:8" ht="14.25" thickBot="1">
      <c r="A78" s="2999">
        <v>77</v>
      </c>
      <c r="B78" s="3005" t="s">
        <v>3300</v>
      </c>
      <c r="C78" s="3000" t="s">
        <v>3266</v>
      </c>
      <c r="D78" s="3002" t="s">
        <v>3260</v>
      </c>
      <c r="E78" s="3000" t="s">
        <v>3258</v>
      </c>
      <c r="F78" s="3002">
        <v>209</v>
      </c>
      <c r="G78" s="3000">
        <v>72.27</v>
      </c>
      <c r="H78" s="3001" t="s">
        <v>3055</v>
      </c>
    </row>
    <row r="79" spans="1:8" ht="14.25" thickBot="1">
      <c r="A79" s="2999">
        <v>78</v>
      </c>
      <c r="B79" s="3005" t="s">
        <v>3300</v>
      </c>
      <c r="C79" s="3000" t="s">
        <v>3266</v>
      </c>
      <c r="D79" s="3002" t="s">
        <v>3261</v>
      </c>
      <c r="E79" s="3000" t="s">
        <v>3259</v>
      </c>
      <c r="F79" s="3002">
        <v>301</v>
      </c>
      <c r="G79" s="3000">
        <v>97.04</v>
      </c>
      <c r="H79" s="3001" t="s">
        <v>3055</v>
      </c>
    </row>
    <row r="80" spans="1:8" ht="14.25" thickBot="1">
      <c r="A80" s="2999">
        <v>79</v>
      </c>
      <c r="B80" s="3005" t="s">
        <v>3300</v>
      </c>
      <c r="C80" s="3000" t="s">
        <v>3266</v>
      </c>
      <c r="D80" s="3002" t="s">
        <v>3261</v>
      </c>
      <c r="E80" s="3000" t="s">
        <v>3259</v>
      </c>
      <c r="F80" s="3002">
        <v>302</v>
      </c>
      <c r="G80" s="3000">
        <v>86.49</v>
      </c>
      <c r="H80" s="3001" t="s">
        <v>3055</v>
      </c>
    </row>
    <row r="81" spans="1:8" ht="14.25" thickBot="1">
      <c r="A81" s="2999">
        <v>80</v>
      </c>
      <c r="B81" s="3005" t="s">
        <v>3300</v>
      </c>
      <c r="C81" s="3000" t="s">
        <v>3266</v>
      </c>
      <c r="D81" s="3002" t="s">
        <v>3261</v>
      </c>
      <c r="E81" s="3000" t="s">
        <v>3259</v>
      </c>
      <c r="F81" s="3002">
        <v>303</v>
      </c>
      <c r="G81" s="3000">
        <v>86.49</v>
      </c>
      <c r="H81" s="3001" t="s">
        <v>3055</v>
      </c>
    </row>
    <row r="82" spans="1:8" ht="14.25" thickBot="1">
      <c r="A82" s="2999">
        <v>81</v>
      </c>
      <c r="B82" s="3005" t="s">
        <v>3300</v>
      </c>
      <c r="C82" s="3000" t="s">
        <v>3266</v>
      </c>
      <c r="D82" s="3002" t="s">
        <v>3261</v>
      </c>
      <c r="E82" s="3000" t="s">
        <v>3259</v>
      </c>
      <c r="F82" s="3002">
        <v>305</v>
      </c>
      <c r="G82" s="3000">
        <v>66.540000000000006</v>
      </c>
      <c r="H82" s="3001" t="s">
        <v>3055</v>
      </c>
    </row>
    <row r="83" spans="1:8" ht="14.25" thickBot="1">
      <c r="A83" s="2999">
        <v>82</v>
      </c>
      <c r="B83" s="3005" t="s">
        <v>3300</v>
      </c>
      <c r="C83" s="3000" t="s">
        <v>3266</v>
      </c>
      <c r="D83" s="3002" t="s">
        <v>3261</v>
      </c>
      <c r="E83" s="3000" t="s">
        <v>3258</v>
      </c>
      <c r="F83" s="3002">
        <v>306</v>
      </c>
      <c r="G83" s="3000">
        <v>67.47</v>
      </c>
      <c r="H83" s="3001" t="s">
        <v>3055</v>
      </c>
    </row>
    <row r="84" spans="1:8" ht="14.25" thickBot="1">
      <c r="A84" s="2999">
        <v>83</v>
      </c>
      <c r="B84" s="3005" t="s">
        <v>3300</v>
      </c>
      <c r="C84" s="3000" t="s">
        <v>3266</v>
      </c>
      <c r="D84" s="3002" t="s">
        <v>3261</v>
      </c>
      <c r="E84" s="3000" t="s">
        <v>3258</v>
      </c>
      <c r="F84" s="3002">
        <v>307</v>
      </c>
      <c r="G84" s="3000">
        <v>87.71</v>
      </c>
      <c r="H84" s="3001" t="s">
        <v>3055</v>
      </c>
    </row>
    <row r="85" spans="1:8" ht="14.25" thickBot="1">
      <c r="A85" s="2999">
        <v>84</v>
      </c>
      <c r="B85" s="3005" t="s">
        <v>3300</v>
      </c>
      <c r="C85" s="3000" t="s">
        <v>3266</v>
      </c>
      <c r="D85" s="3002" t="s">
        <v>3261</v>
      </c>
      <c r="E85" s="3000" t="s">
        <v>3258</v>
      </c>
      <c r="F85" s="3002">
        <v>308</v>
      </c>
      <c r="G85" s="3000">
        <v>87.71</v>
      </c>
      <c r="H85" s="3001" t="s">
        <v>3055</v>
      </c>
    </row>
    <row r="86" spans="1:8" ht="14.25" thickBot="1">
      <c r="A86" s="2999">
        <v>85</v>
      </c>
      <c r="B86" s="3005" t="s">
        <v>3300</v>
      </c>
      <c r="C86" s="3000" t="s">
        <v>3266</v>
      </c>
      <c r="D86" s="3002" t="s">
        <v>3261</v>
      </c>
      <c r="E86" s="3000" t="s">
        <v>3258</v>
      </c>
      <c r="F86" s="3002">
        <v>309</v>
      </c>
      <c r="G86" s="3000">
        <v>72.27</v>
      </c>
      <c r="H86" s="3001" t="s">
        <v>3055</v>
      </c>
    </row>
    <row r="87" spans="1:8" ht="14.25" thickBot="1">
      <c r="A87" s="2999">
        <v>86</v>
      </c>
      <c r="B87" s="3005" t="s">
        <v>3300</v>
      </c>
      <c r="C87" s="3000" t="s">
        <v>3266</v>
      </c>
      <c r="D87" s="3002" t="s">
        <v>3262</v>
      </c>
      <c r="E87" s="3000" t="s">
        <v>3259</v>
      </c>
      <c r="F87" s="3002" t="s">
        <v>3145</v>
      </c>
      <c r="G87" s="3000">
        <v>97.04</v>
      </c>
      <c r="H87" s="3001" t="s">
        <v>3055</v>
      </c>
    </row>
    <row r="88" spans="1:8" ht="14.25" thickBot="1">
      <c r="A88" s="2999">
        <v>87</v>
      </c>
      <c r="B88" s="3005" t="s">
        <v>3300</v>
      </c>
      <c r="C88" s="3000" t="s">
        <v>3266</v>
      </c>
      <c r="D88" s="3002" t="s">
        <v>3262</v>
      </c>
      <c r="E88" s="3000" t="s">
        <v>3259</v>
      </c>
      <c r="F88" s="3002" t="s">
        <v>3146</v>
      </c>
      <c r="G88" s="3000">
        <v>86.49</v>
      </c>
      <c r="H88" s="3001" t="s">
        <v>3055</v>
      </c>
    </row>
    <row r="89" spans="1:8" ht="14.25" thickBot="1">
      <c r="A89" s="2999">
        <v>88</v>
      </c>
      <c r="B89" s="3005" t="s">
        <v>3300</v>
      </c>
      <c r="C89" s="3000" t="s">
        <v>3266</v>
      </c>
      <c r="D89" s="3002" t="s">
        <v>3262</v>
      </c>
      <c r="E89" s="3000" t="s">
        <v>3259</v>
      </c>
      <c r="F89" s="3002" t="s">
        <v>3147</v>
      </c>
      <c r="G89" s="3000">
        <v>86.49</v>
      </c>
      <c r="H89" s="3001" t="s">
        <v>3055</v>
      </c>
    </row>
    <row r="90" spans="1:8" ht="14.25" thickBot="1">
      <c r="A90" s="2999">
        <v>89</v>
      </c>
      <c r="B90" s="3005" t="s">
        <v>3300</v>
      </c>
      <c r="C90" s="3000" t="s">
        <v>3266</v>
      </c>
      <c r="D90" s="3002" t="s">
        <v>3262</v>
      </c>
      <c r="E90" s="3000" t="s">
        <v>3259</v>
      </c>
      <c r="F90" s="3002" t="s">
        <v>3148</v>
      </c>
      <c r="G90" s="3000">
        <v>66.540000000000006</v>
      </c>
      <c r="H90" s="3001" t="s">
        <v>3055</v>
      </c>
    </row>
    <row r="91" spans="1:8" ht="14.25" thickBot="1">
      <c r="A91" s="2999">
        <v>90</v>
      </c>
      <c r="B91" s="3005" t="s">
        <v>3300</v>
      </c>
      <c r="C91" s="3000" t="s">
        <v>3266</v>
      </c>
      <c r="D91" s="3002" t="s">
        <v>3262</v>
      </c>
      <c r="E91" s="3000" t="s">
        <v>3258</v>
      </c>
      <c r="F91" s="3002" t="s">
        <v>3149</v>
      </c>
      <c r="G91" s="3000">
        <v>67.47</v>
      </c>
      <c r="H91" s="3001" t="s">
        <v>3055</v>
      </c>
    </row>
    <row r="92" spans="1:8" ht="14.25" thickBot="1">
      <c r="A92" s="2999">
        <v>91</v>
      </c>
      <c r="B92" s="3005" t="s">
        <v>3300</v>
      </c>
      <c r="C92" s="3000" t="s">
        <v>3266</v>
      </c>
      <c r="D92" s="3002" t="s">
        <v>3262</v>
      </c>
      <c r="E92" s="3000" t="s">
        <v>3258</v>
      </c>
      <c r="F92" s="3002" t="s">
        <v>3150</v>
      </c>
      <c r="G92" s="3000">
        <v>87.71</v>
      </c>
      <c r="H92" s="3001" t="s">
        <v>3055</v>
      </c>
    </row>
    <row r="93" spans="1:8" ht="14.25" thickBot="1">
      <c r="A93" s="2999">
        <v>92</v>
      </c>
      <c r="B93" s="3005" t="s">
        <v>3300</v>
      </c>
      <c r="C93" s="3000" t="s">
        <v>3266</v>
      </c>
      <c r="D93" s="3002" t="s">
        <v>3262</v>
      </c>
      <c r="E93" s="3000" t="s">
        <v>3258</v>
      </c>
      <c r="F93" s="3002" t="s">
        <v>3151</v>
      </c>
      <c r="G93" s="3000">
        <v>87.71</v>
      </c>
      <c r="H93" s="3001" t="s">
        <v>3055</v>
      </c>
    </row>
    <row r="94" spans="1:8" ht="14.25" thickBot="1">
      <c r="A94" s="2999">
        <v>93</v>
      </c>
      <c r="B94" s="3005" t="s">
        <v>3300</v>
      </c>
      <c r="C94" s="3000" t="s">
        <v>3266</v>
      </c>
      <c r="D94" s="3002" t="s">
        <v>3262</v>
      </c>
      <c r="E94" s="3000" t="s">
        <v>3258</v>
      </c>
      <c r="F94" s="3002" t="s">
        <v>3163</v>
      </c>
      <c r="G94" s="3000">
        <v>72.27</v>
      </c>
      <c r="H94" s="3001" t="s">
        <v>3055</v>
      </c>
    </row>
    <row r="95" spans="1:8" ht="14.25" thickBot="1">
      <c r="A95" s="2999">
        <v>94</v>
      </c>
      <c r="B95" s="3005" t="s">
        <v>3300</v>
      </c>
      <c r="C95" s="3000" t="s">
        <v>3266</v>
      </c>
      <c r="D95" s="3002" t="s">
        <v>3263</v>
      </c>
      <c r="E95" s="3000" t="s">
        <v>3259</v>
      </c>
      <c r="F95" s="3002">
        <v>501</v>
      </c>
      <c r="G95" s="3000">
        <v>97.04</v>
      </c>
      <c r="H95" s="3001" t="s">
        <v>3055</v>
      </c>
    </row>
    <row r="96" spans="1:8" ht="14.25" thickBot="1">
      <c r="A96" s="2999">
        <v>95</v>
      </c>
      <c r="B96" s="3005" t="s">
        <v>3300</v>
      </c>
      <c r="C96" s="3000" t="s">
        <v>3266</v>
      </c>
      <c r="D96" s="3002" t="s">
        <v>3263</v>
      </c>
      <c r="E96" s="3000" t="s">
        <v>3259</v>
      </c>
      <c r="F96" s="3002">
        <v>502</v>
      </c>
      <c r="G96" s="3000">
        <v>86.49</v>
      </c>
      <c r="H96" s="3001" t="s">
        <v>3055</v>
      </c>
    </row>
    <row r="97" spans="1:8" ht="14.25" thickBot="1">
      <c r="A97" s="2999">
        <v>96</v>
      </c>
      <c r="B97" s="3005" t="s">
        <v>3300</v>
      </c>
      <c r="C97" s="3000" t="s">
        <v>3266</v>
      </c>
      <c r="D97" s="3002" t="s">
        <v>3263</v>
      </c>
      <c r="E97" s="3000" t="s">
        <v>3259</v>
      </c>
      <c r="F97" s="3002">
        <v>503</v>
      </c>
      <c r="G97" s="3000">
        <v>86.49</v>
      </c>
      <c r="H97" s="3001" t="s">
        <v>3055</v>
      </c>
    </row>
    <row r="98" spans="1:8" ht="14.25" thickBot="1">
      <c r="A98" s="2999">
        <v>97</v>
      </c>
      <c r="B98" s="3005" t="s">
        <v>3300</v>
      </c>
      <c r="C98" s="3000" t="s">
        <v>3266</v>
      </c>
      <c r="D98" s="3002" t="s">
        <v>3263</v>
      </c>
      <c r="E98" s="3000" t="s">
        <v>3259</v>
      </c>
      <c r="F98" s="3002">
        <v>505</v>
      </c>
      <c r="G98" s="3000">
        <v>66.540000000000006</v>
      </c>
      <c r="H98" s="3001" t="s">
        <v>3055</v>
      </c>
    </row>
    <row r="99" spans="1:8" ht="14.25" thickBot="1">
      <c r="A99" s="2999">
        <v>98</v>
      </c>
      <c r="B99" s="3005" t="s">
        <v>3300</v>
      </c>
      <c r="C99" s="3000" t="s">
        <v>3266</v>
      </c>
      <c r="D99" s="3002" t="s">
        <v>3263</v>
      </c>
      <c r="E99" s="3000" t="s">
        <v>3258</v>
      </c>
      <c r="F99" s="3002">
        <v>506</v>
      </c>
      <c r="G99" s="3000">
        <v>67.47</v>
      </c>
      <c r="H99" s="3001" t="s">
        <v>3055</v>
      </c>
    </row>
    <row r="100" spans="1:8" ht="14.25" thickBot="1">
      <c r="A100" s="2999">
        <v>99</v>
      </c>
      <c r="B100" s="3005" t="s">
        <v>3300</v>
      </c>
      <c r="C100" s="3000" t="s">
        <v>3266</v>
      </c>
      <c r="D100" s="3002" t="s">
        <v>3263</v>
      </c>
      <c r="E100" s="3000" t="s">
        <v>3258</v>
      </c>
      <c r="F100" s="3002">
        <v>507</v>
      </c>
      <c r="G100" s="3000">
        <v>87.71</v>
      </c>
      <c r="H100" s="3001" t="s">
        <v>3055</v>
      </c>
    </row>
    <row r="101" spans="1:8" ht="14.25" thickBot="1">
      <c r="A101" s="2999">
        <v>100</v>
      </c>
      <c r="B101" s="3005" t="s">
        <v>3300</v>
      </c>
      <c r="C101" s="3000" t="s">
        <v>3266</v>
      </c>
      <c r="D101" s="3002" t="s">
        <v>3263</v>
      </c>
      <c r="E101" s="3000" t="s">
        <v>3258</v>
      </c>
      <c r="F101" s="3002">
        <v>508</v>
      </c>
      <c r="G101" s="3000">
        <v>87.71</v>
      </c>
      <c r="H101" s="3001" t="s">
        <v>3055</v>
      </c>
    </row>
    <row r="102" spans="1:8" ht="14.25" thickBot="1">
      <c r="A102" s="2999">
        <v>101</v>
      </c>
      <c r="B102" s="3005" t="s">
        <v>3300</v>
      </c>
      <c r="C102" s="3000" t="s">
        <v>3266</v>
      </c>
      <c r="D102" s="3002" t="s">
        <v>3263</v>
      </c>
      <c r="E102" s="3000" t="s">
        <v>3258</v>
      </c>
      <c r="F102" s="3002">
        <v>509</v>
      </c>
      <c r="G102" s="3000">
        <v>72.27</v>
      </c>
      <c r="H102" s="3001" t="s">
        <v>3055</v>
      </c>
    </row>
    <row r="103" spans="1:8" ht="14.25" thickBot="1">
      <c r="A103" s="2999">
        <v>102</v>
      </c>
      <c r="B103" s="3005" t="s">
        <v>3300</v>
      </c>
      <c r="C103" s="3000" t="s">
        <v>3266</v>
      </c>
      <c r="D103" s="3002" t="s">
        <v>3264</v>
      </c>
      <c r="E103" s="3000" t="s">
        <v>3259</v>
      </c>
      <c r="F103" s="3002">
        <v>601</v>
      </c>
      <c r="G103" s="3000">
        <v>97.04</v>
      </c>
      <c r="H103" s="3001" t="s">
        <v>3055</v>
      </c>
    </row>
    <row r="104" spans="1:8" ht="14.25" thickBot="1">
      <c r="A104" s="2999">
        <v>103</v>
      </c>
      <c r="B104" s="3005" t="s">
        <v>3300</v>
      </c>
      <c r="C104" s="3000" t="s">
        <v>3266</v>
      </c>
      <c r="D104" s="3002" t="s">
        <v>3264</v>
      </c>
      <c r="E104" s="3000" t="s">
        <v>3259</v>
      </c>
      <c r="F104" s="3002">
        <v>602</v>
      </c>
      <c r="G104" s="3000">
        <v>86.49</v>
      </c>
      <c r="H104" s="3001" t="s">
        <v>3055</v>
      </c>
    </row>
    <row r="105" spans="1:8" ht="14.25" thickBot="1">
      <c r="A105" s="2999">
        <v>104</v>
      </c>
      <c r="B105" s="3005" t="s">
        <v>3300</v>
      </c>
      <c r="C105" s="3000" t="s">
        <v>3266</v>
      </c>
      <c r="D105" s="3002" t="s">
        <v>3264</v>
      </c>
      <c r="E105" s="3000" t="s">
        <v>3259</v>
      </c>
      <c r="F105" s="3002">
        <v>603</v>
      </c>
      <c r="G105" s="3000">
        <v>86.49</v>
      </c>
      <c r="H105" s="3001" t="s">
        <v>3055</v>
      </c>
    </row>
    <row r="106" spans="1:8" ht="14.25" thickBot="1">
      <c r="A106" s="2999">
        <v>105</v>
      </c>
      <c r="B106" s="3005" t="s">
        <v>3300</v>
      </c>
      <c r="C106" s="3000" t="s">
        <v>3266</v>
      </c>
      <c r="D106" s="3002" t="s">
        <v>3264</v>
      </c>
      <c r="E106" s="3000" t="s">
        <v>3259</v>
      </c>
      <c r="F106" s="3002">
        <v>605</v>
      </c>
      <c r="G106" s="3000">
        <v>66.540000000000006</v>
      </c>
      <c r="H106" s="3001" t="s">
        <v>3055</v>
      </c>
    </row>
    <row r="107" spans="1:8" ht="14.25" thickBot="1">
      <c r="A107" s="2999">
        <v>106</v>
      </c>
      <c r="B107" s="3005" t="s">
        <v>3300</v>
      </c>
      <c r="C107" s="3000" t="s">
        <v>3266</v>
      </c>
      <c r="D107" s="3002" t="s">
        <v>3264</v>
      </c>
      <c r="E107" s="3000" t="s">
        <v>3258</v>
      </c>
      <c r="F107" s="3002">
        <v>606</v>
      </c>
      <c r="G107" s="3000">
        <v>67.47</v>
      </c>
      <c r="H107" s="3001" t="s">
        <v>3055</v>
      </c>
    </row>
    <row r="108" spans="1:8" ht="14.25" thickBot="1">
      <c r="A108" s="2999">
        <v>107</v>
      </c>
      <c r="B108" s="3005" t="s">
        <v>3300</v>
      </c>
      <c r="C108" s="3000" t="s">
        <v>3266</v>
      </c>
      <c r="D108" s="3002" t="s">
        <v>3264</v>
      </c>
      <c r="E108" s="3000" t="s">
        <v>3258</v>
      </c>
      <c r="F108" s="3002">
        <v>607</v>
      </c>
      <c r="G108" s="3000">
        <v>87.71</v>
      </c>
      <c r="H108" s="3001" t="s">
        <v>3055</v>
      </c>
    </row>
    <row r="109" spans="1:8" ht="14.25" thickBot="1">
      <c r="A109" s="2999">
        <v>108</v>
      </c>
      <c r="B109" s="3005" t="s">
        <v>3300</v>
      </c>
      <c r="C109" s="3000" t="s">
        <v>3266</v>
      </c>
      <c r="D109" s="3002" t="s">
        <v>3264</v>
      </c>
      <c r="E109" s="3000" t="s">
        <v>3258</v>
      </c>
      <c r="F109" s="3002">
        <v>608</v>
      </c>
      <c r="G109" s="3000">
        <v>87.71</v>
      </c>
      <c r="H109" s="3001" t="s">
        <v>3055</v>
      </c>
    </row>
    <row r="110" spans="1:8" ht="14.25" thickBot="1">
      <c r="A110" s="2999">
        <v>109</v>
      </c>
      <c r="B110" s="3005" t="s">
        <v>3300</v>
      </c>
      <c r="C110" s="3000" t="s">
        <v>3266</v>
      </c>
      <c r="D110" s="3002" t="s">
        <v>3264</v>
      </c>
      <c r="E110" s="3000" t="s">
        <v>3258</v>
      </c>
      <c r="F110" s="3002">
        <v>609</v>
      </c>
      <c r="G110" s="3000">
        <v>72.27</v>
      </c>
      <c r="H110" s="3001" t="s">
        <v>3055</v>
      </c>
    </row>
    <row r="111" spans="1:8" ht="14.25" thickBot="1">
      <c r="A111" s="2999">
        <v>110</v>
      </c>
      <c r="B111" s="3005" t="s">
        <v>3300</v>
      </c>
      <c r="C111" s="3000" t="s">
        <v>3267</v>
      </c>
      <c r="D111" s="3002" t="s">
        <v>3261</v>
      </c>
      <c r="E111" s="3000" t="s">
        <v>3259</v>
      </c>
      <c r="F111" s="3002">
        <v>301</v>
      </c>
      <c r="G111" s="3000">
        <v>97.52</v>
      </c>
      <c r="H111" s="3001" t="s">
        <v>3055</v>
      </c>
    </row>
    <row r="112" spans="1:8" ht="14.25" thickBot="1">
      <c r="A112" s="2999">
        <v>111</v>
      </c>
      <c r="B112" s="3005" t="s">
        <v>3300</v>
      </c>
      <c r="C112" s="3000" t="s">
        <v>3267</v>
      </c>
      <c r="D112" s="3002" t="s">
        <v>3261</v>
      </c>
      <c r="E112" s="3000" t="s">
        <v>3259</v>
      </c>
      <c r="F112" s="3002">
        <v>302</v>
      </c>
      <c r="G112" s="3000">
        <v>71.62</v>
      </c>
      <c r="H112" s="3001" t="s">
        <v>3055</v>
      </c>
    </row>
    <row r="113" spans="1:8" ht="14.25" thickBot="1">
      <c r="A113" s="2999">
        <v>112</v>
      </c>
      <c r="B113" s="3005" t="s">
        <v>3300</v>
      </c>
      <c r="C113" s="3000" t="s">
        <v>3267</v>
      </c>
      <c r="D113" s="3002" t="s">
        <v>3261</v>
      </c>
      <c r="E113" s="3000" t="s">
        <v>3259</v>
      </c>
      <c r="F113" s="3002">
        <v>303</v>
      </c>
      <c r="G113" s="3000">
        <v>71.66</v>
      </c>
      <c r="H113" s="3001" t="s">
        <v>3055</v>
      </c>
    </row>
    <row r="114" spans="1:8" ht="14.25" thickBot="1">
      <c r="A114" s="2999">
        <v>113</v>
      </c>
      <c r="B114" s="3005" t="s">
        <v>3300</v>
      </c>
      <c r="C114" s="3000" t="s">
        <v>3267</v>
      </c>
      <c r="D114" s="3002" t="s">
        <v>3261</v>
      </c>
      <c r="E114" s="3000" t="s">
        <v>3259</v>
      </c>
      <c r="F114" s="3002">
        <v>305</v>
      </c>
      <c r="G114" s="3000">
        <v>71.66</v>
      </c>
      <c r="H114" s="3001" t="s">
        <v>3055</v>
      </c>
    </row>
    <row r="115" spans="1:8" ht="14.25" thickBot="1">
      <c r="A115" s="2999">
        <v>114</v>
      </c>
      <c r="B115" s="3005" t="s">
        <v>3300</v>
      </c>
      <c r="C115" s="3000" t="s">
        <v>3267</v>
      </c>
      <c r="D115" s="3002" t="s">
        <v>3261</v>
      </c>
      <c r="E115" s="3000" t="s">
        <v>3259</v>
      </c>
      <c r="F115" s="3002">
        <v>306</v>
      </c>
      <c r="G115" s="3000">
        <v>71.62</v>
      </c>
      <c r="H115" s="3001" t="s">
        <v>3055</v>
      </c>
    </row>
    <row r="116" spans="1:8" ht="14.25" thickBot="1">
      <c r="A116" s="2999">
        <v>115</v>
      </c>
      <c r="B116" s="3005" t="s">
        <v>3300</v>
      </c>
      <c r="C116" s="3000" t="s">
        <v>3267</v>
      </c>
      <c r="D116" s="3002" t="s">
        <v>3261</v>
      </c>
      <c r="E116" s="3000" t="s">
        <v>3259</v>
      </c>
      <c r="F116" s="3002">
        <v>307</v>
      </c>
      <c r="G116" s="3000">
        <v>67.95</v>
      </c>
      <c r="H116" s="3001" t="s">
        <v>3055</v>
      </c>
    </row>
    <row r="117" spans="1:8" ht="14.25" thickBot="1">
      <c r="A117" s="2999">
        <v>116</v>
      </c>
      <c r="B117" s="3005" t="s">
        <v>3300</v>
      </c>
      <c r="C117" s="3000" t="s">
        <v>3267</v>
      </c>
      <c r="D117" s="3002" t="s">
        <v>3261</v>
      </c>
      <c r="E117" s="3000" t="s">
        <v>3258</v>
      </c>
      <c r="F117" s="3002">
        <v>308</v>
      </c>
      <c r="G117" s="3000">
        <v>68.790000000000006</v>
      </c>
      <c r="H117" s="3001" t="s">
        <v>3055</v>
      </c>
    </row>
    <row r="118" spans="1:8" ht="14.25" thickBot="1">
      <c r="A118" s="2999">
        <v>117</v>
      </c>
      <c r="B118" s="3005" t="s">
        <v>3300</v>
      </c>
      <c r="C118" s="3000" t="s">
        <v>3267</v>
      </c>
      <c r="D118" s="3002" t="s">
        <v>3261</v>
      </c>
      <c r="E118" s="3000" t="s">
        <v>3258</v>
      </c>
      <c r="F118" s="3002">
        <v>309</v>
      </c>
      <c r="G118" s="3000">
        <v>72.510000000000005</v>
      </c>
      <c r="H118" s="3001" t="s">
        <v>3055</v>
      </c>
    </row>
    <row r="119" spans="1:8" ht="14.25" thickBot="1">
      <c r="A119" s="2999">
        <v>118</v>
      </c>
      <c r="B119" s="3005" t="s">
        <v>3300</v>
      </c>
      <c r="C119" s="3000" t="s">
        <v>3267</v>
      </c>
      <c r="D119" s="3002" t="s">
        <v>3261</v>
      </c>
      <c r="E119" s="3000" t="s">
        <v>3258</v>
      </c>
      <c r="F119" s="3002">
        <v>310</v>
      </c>
      <c r="G119" s="3000">
        <v>72.55</v>
      </c>
      <c r="H119" s="3001" t="s">
        <v>3055</v>
      </c>
    </row>
    <row r="120" spans="1:8" ht="14.25" thickBot="1">
      <c r="A120" s="2999">
        <v>119</v>
      </c>
      <c r="B120" s="3005" t="s">
        <v>3300</v>
      </c>
      <c r="C120" s="3000" t="s">
        <v>3267</v>
      </c>
      <c r="D120" s="3002" t="s">
        <v>3261</v>
      </c>
      <c r="E120" s="3000" t="s">
        <v>3258</v>
      </c>
      <c r="F120" s="3002">
        <v>311</v>
      </c>
      <c r="G120" s="3000">
        <v>72.55</v>
      </c>
      <c r="H120" s="3001" t="s">
        <v>3055</v>
      </c>
    </row>
    <row r="121" spans="1:8" ht="14.25" thickBot="1">
      <c r="A121" s="2999">
        <v>120</v>
      </c>
      <c r="B121" s="3005" t="s">
        <v>3300</v>
      </c>
      <c r="C121" s="3000" t="s">
        <v>3267</v>
      </c>
      <c r="D121" s="3002" t="s">
        <v>3261</v>
      </c>
      <c r="E121" s="3000" t="s">
        <v>3258</v>
      </c>
      <c r="F121" s="3002">
        <v>312</v>
      </c>
      <c r="G121" s="3000">
        <v>72.510000000000005</v>
      </c>
      <c r="H121" s="3001" t="s">
        <v>3055</v>
      </c>
    </row>
    <row r="122" spans="1:8" ht="14.25" thickBot="1">
      <c r="A122" s="2999">
        <v>121</v>
      </c>
      <c r="B122" s="3005" t="s">
        <v>3300</v>
      </c>
      <c r="C122" s="3000" t="s">
        <v>3267</v>
      </c>
      <c r="D122" s="3002" t="s">
        <v>3261</v>
      </c>
      <c r="E122" s="3000" t="s">
        <v>3258</v>
      </c>
      <c r="F122" s="3002">
        <v>313</v>
      </c>
      <c r="G122" s="3000">
        <v>69.010000000000005</v>
      </c>
      <c r="H122" s="3001" t="s">
        <v>3055</v>
      </c>
    </row>
    <row r="123" spans="1:8" ht="14.25" thickBot="1">
      <c r="A123" s="2999">
        <v>122</v>
      </c>
      <c r="B123" s="3005" t="s">
        <v>3300</v>
      </c>
      <c r="C123" s="3000" t="s">
        <v>3267</v>
      </c>
      <c r="D123" s="3002" t="s">
        <v>3262</v>
      </c>
      <c r="E123" s="3000" t="s">
        <v>3259</v>
      </c>
      <c r="F123" s="3002" t="s">
        <v>3145</v>
      </c>
      <c r="G123" s="3000">
        <v>97.52</v>
      </c>
      <c r="H123" s="3001" t="s">
        <v>3055</v>
      </c>
    </row>
    <row r="124" spans="1:8" ht="14.25" thickBot="1">
      <c r="A124" s="2999">
        <v>123</v>
      </c>
      <c r="B124" s="3005" t="s">
        <v>3300</v>
      </c>
      <c r="C124" s="3000" t="s">
        <v>3267</v>
      </c>
      <c r="D124" s="3002" t="s">
        <v>3262</v>
      </c>
      <c r="E124" s="3000" t="s">
        <v>3259</v>
      </c>
      <c r="F124" s="3002" t="s">
        <v>3146</v>
      </c>
      <c r="G124" s="3000">
        <v>71.62</v>
      </c>
      <c r="H124" s="3001" t="s">
        <v>3055</v>
      </c>
    </row>
    <row r="125" spans="1:8" ht="14.25" thickBot="1">
      <c r="A125" s="2999">
        <v>124</v>
      </c>
      <c r="B125" s="3005" t="s">
        <v>3300</v>
      </c>
      <c r="C125" s="3000" t="s">
        <v>3267</v>
      </c>
      <c r="D125" s="3002" t="s">
        <v>3262</v>
      </c>
      <c r="E125" s="3000" t="s">
        <v>3259</v>
      </c>
      <c r="F125" s="3002" t="s">
        <v>3147</v>
      </c>
      <c r="G125" s="3000">
        <v>71.66</v>
      </c>
      <c r="H125" s="3001" t="s">
        <v>3055</v>
      </c>
    </row>
    <row r="126" spans="1:8" ht="14.25" thickBot="1">
      <c r="A126" s="2999">
        <v>125</v>
      </c>
      <c r="B126" s="3005" t="s">
        <v>3300</v>
      </c>
      <c r="C126" s="3000" t="s">
        <v>3267</v>
      </c>
      <c r="D126" s="3002" t="s">
        <v>3262</v>
      </c>
      <c r="E126" s="3000" t="s">
        <v>3259</v>
      </c>
      <c r="F126" s="3002" t="s">
        <v>3148</v>
      </c>
      <c r="G126" s="3000">
        <v>71.66</v>
      </c>
      <c r="H126" s="3001" t="s">
        <v>3055</v>
      </c>
    </row>
    <row r="127" spans="1:8" ht="14.25" thickBot="1">
      <c r="A127" s="2999">
        <v>126</v>
      </c>
      <c r="B127" s="3005" t="s">
        <v>3300</v>
      </c>
      <c r="C127" s="3000" t="s">
        <v>3267</v>
      </c>
      <c r="D127" s="3002" t="s">
        <v>3262</v>
      </c>
      <c r="E127" s="3000" t="s">
        <v>3259</v>
      </c>
      <c r="F127" s="3002" t="s">
        <v>3149</v>
      </c>
      <c r="G127" s="3000">
        <v>71.62</v>
      </c>
      <c r="H127" s="3001" t="s">
        <v>3055</v>
      </c>
    </row>
    <row r="128" spans="1:8" ht="14.25" thickBot="1">
      <c r="A128" s="2999">
        <v>127</v>
      </c>
      <c r="B128" s="3005" t="s">
        <v>3300</v>
      </c>
      <c r="C128" s="3000" t="s">
        <v>3267</v>
      </c>
      <c r="D128" s="3002" t="s">
        <v>3262</v>
      </c>
      <c r="E128" s="3000" t="s">
        <v>3259</v>
      </c>
      <c r="F128" s="3002" t="s">
        <v>3150</v>
      </c>
      <c r="G128" s="3000">
        <v>67.95</v>
      </c>
      <c r="H128" s="3001" t="s">
        <v>3055</v>
      </c>
    </row>
    <row r="129" spans="1:8" ht="14.25" thickBot="1">
      <c r="A129" s="2999">
        <v>128</v>
      </c>
      <c r="B129" s="3005" t="s">
        <v>3300</v>
      </c>
      <c r="C129" s="3000" t="s">
        <v>3267</v>
      </c>
      <c r="D129" s="3002" t="s">
        <v>3262</v>
      </c>
      <c r="E129" s="3000" t="s">
        <v>3258</v>
      </c>
      <c r="F129" s="3002" t="s">
        <v>3151</v>
      </c>
      <c r="G129" s="3000">
        <v>68.790000000000006</v>
      </c>
      <c r="H129" s="3001" t="s">
        <v>3055</v>
      </c>
    </row>
    <row r="130" spans="1:8" ht="14.25" thickBot="1">
      <c r="A130" s="2999">
        <v>129</v>
      </c>
      <c r="B130" s="3005" t="s">
        <v>3300</v>
      </c>
      <c r="C130" s="3000" t="s">
        <v>3267</v>
      </c>
      <c r="D130" s="3002" t="s">
        <v>3262</v>
      </c>
      <c r="E130" s="3000" t="s">
        <v>3258</v>
      </c>
      <c r="F130" s="3002" t="s">
        <v>3163</v>
      </c>
      <c r="G130" s="3000">
        <v>72.510000000000005</v>
      </c>
      <c r="H130" s="3001" t="s">
        <v>3055</v>
      </c>
    </row>
    <row r="131" spans="1:8" ht="14.25" thickBot="1">
      <c r="A131" s="2999">
        <v>130</v>
      </c>
      <c r="B131" s="3005" t="s">
        <v>3300</v>
      </c>
      <c r="C131" s="3000" t="s">
        <v>3267</v>
      </c>
      <c r="D131" s="3002" t="s">
        <v>3262</v>
      </c>
      <c r="E131" s="3000" t="s">
        <v>3258</v>
      </c>
      <c r="F131" s="3002" t="s">
        <v>3166</v>
      </c>
      <c r="G131" s="3000">
        <v>72.55</v>
      </c>
      <c r="H131" s="3001" t="s">
        <v>3055</v>
      </c>
    </row>
    <row r="132" spans="1:8" ht="14.25" thickBot="1">
      <c r="A132" s="2999">
        <v>131</v>
      </c>
      <c r="B132" s="3005" t="s">
        <v>3300</v>
      </c>
      <c r="C132" s="3000" t="s">
        <v>3267</v>
      </c>
      <c r="D132" s="3002" t="s">
        <v>3262</v>
      </c>
      <c r="E132" s="3000" t="s">
        <v>3258</v>
      </c>
      <c r="F132" s="3002" t="s">
        <v>3167</v>
      </c>
      <c r="G132" s="3000">
        <v>72.55</v>
      </c>
      <c r="H132" s="3001" t="s">
        <v>3055</v>
      </c>
    </row>
    <row r="133" spans="1:8" ht="14.25" thickBot="1">
      <c r="A133" s="2999">
        <v>132</v>
      </c>
      <c r="B133" s="3005" t="s">
        <v>3300</v>
      </c>
      <c r="C133" s="3000" t="s">
        <v>3267</v>
      </c>
      <c r="D133" s="3002" t="s">
        <v>3262</v>
      </c>
      <c r="E133" s="3000" t="s">
        <v>3258</v>
      </c>
      <c r="F133" s="3002" t="s">
        <v>3168</v>
      </c>
      <c r="G133" s="3000">
        <v>72.510000000000005</v>
      </c>
      <c r="H133" s="3001" t="s">
        <v>3055</v>
      </c>
    </row>
    <row r="134" spans="1:8" ht="14.25" thickBot="1">
      <c r="A134" s="2999">
        <v>133</v>
      </c>
      <c r="B134" s="3005" t="s">
        <v>3300</v>
      </c>
      <c r="C134" s="3000" t="s">
        <v>3267</v>
      </c>
      <c r="D134" s="3002" t="s">
        <v>3262</v>
      </c>
      <c r="E134" s="3000" t="s">
        <v>3258</v>
      </c>
      <c r="F134" s="3002" t="s">
        <v>3169</v>
      </c>
      <c r="G134" s="3000">
        <v>69.010000000000005</v>
      </c>
      <c r="H134" s="3001" t="s">
        <v>3055</v>
      </c>
    </row>
    <row r="135" spans="1:8" ht="14.25" thickBot="1">
      <c r="A135" s="2999">
        <v>134</v>
      </c>
      <c r="B135" s="3005" t="s">
        <v>3300</v>
      </c>
      <c r="C135" s="3000" t="s">
        <v>3267</v>
      </c>
      <c r="D135" s="3002" t="s">
        <v>3263</v>
      </c>
      <c r="E135" s="3000" t="s">
        <v>3259</v>
      </c>
      <c r="F135" s="3002">
        <v>501</v>
      </c>
      <c r="G135" s="3000">
        <v>97.52</v>
      </c>
      <c r="H135" s="3001" t="s">
        <v>3055</v>
      </c>
    </row>
    <row r="136" spans="1:8" ht="14.25" thickBot="1">
      <c r="A136" s="2999">
        <v>135</v>
      </c>
      <c r="B136" s="3005" t="s">
        <v>3300</v>
      </c>
      <c r="C136" s="3000" t="s">
        <v>3267</v>
      </c>
      <c r="D136" s="3002" t="s">
        <v>3263</v>
      </c>
      <c r="E136" s="3000" t="s">
        <v>3259</v>
      </c>
      <c r="F136" s="3002">
        <v>502</v>
      </c>
      <c r="G136" s="3000">
        <v>71.62</v>
      </c>
      <c r="H136" s="3001" t="s">
        <v>3055</v>
      </c>
    </row>
    <row r="137" spans="1:8" ht="14.25" thickBot="1">
      <c r="A137" s="2999">
        <v>136</v>
      </c>
      <c r="B137" s="3005" t="s">
        <v>3300</v>
      </c>
      <c r="C137" s="3000" t="s">
        <v>3267</v>
      </c>
      <c r="D137" s="3002" t="s">
        <v>3263</v>
      </c>
      <c r="E137" s="3000" t="s">
        <v>3259</v>
      </c>
      <c r="F137" s="3002">
        <v>503</v>
      </c>
      <c r="G137" s="3000">
        <v>71.66</v>
      </c>
      <c r="H137" s="3001" t="s">
        <v>3055</v>
      </c>
    </row>
    <row r="138" spans="1:8" ht="14.25" thickBot="1">
      <c r="A138" s="2999">
        <v>137</v>
      </c>
      <c r="B138" s="3005" t="s">
        <v>3300</v>
      </c>
      <c r="C138" s="3000" t="s">
        <v>3267</v>
      </c>
      <c r="D138" s="3002" t="s">
        <v>3263</v>
      </c>
      <c r="E138" s="3000" t="s">
        <v>3259</v>
      </c>
      <c r="F138" s="3002">
        <v>505</v>
      </c>
      <c r="G138" s="3000">
        <v>71.66</v>
      </c>
      <c r="H138" s="3001" t="s">
        <v>3055</v>
      </c>
    </row>
    <row r="139" spans="1:8" ht="14.25" thickBot="1">
      <c r="A139" s="2999">
        <v>138</v>
      </c>
      <c r="B139" s="3005" t="s">
        <v>3300</v>
      </c>
      <c r="C139" s="3000" t="s">
        <v>3267</v>
      </c>
      <c r="D139" s="3002" t="s">
        <v>3263</v>
      </c>
      <c r="E139" s="3000" t="s">
        <v>3259</v>
      </c>
      <c r="F139" s="3002">
        <v>506</v>
      </c>
      <c r="G139" s="3000">
        <v>71.62</v>
      </c>
      <c r="H139" s="3001" t="s">
        <v>3055</v>
      </c>
    </row>
    <row r="140" spans="1:8" ht="14.25" thickBot="1">
      <c r="A140" s="2999">
        <v>139</v>
      </c>
      <c r="B140" s="3005" t="s">
        <v>3300</v>
      </c>
      <c r="C140" s="3000" t="s">
        <v>3267</v>
      </c>
      <c r="D140" s="3002" t="s">
        <v>3263</v>
      </c>
      <c r="E140" s="3000" t="s">
        <v>3259</v>
      </c>
      <c r="F140" s="3002">
        <v>507</v>
      </c>
      <c r="G140" s="3000">
        <v>67.95</v>
      </c>
      <c r="H140" s="3001" t="s">
        <v>3055</v>
      </c>
    </row>
    <row r="141" spans="1:8" ht="14.25" thickBot="1">
      <c r="A141" s="2999">
        <v>140</v>
      </c>
      <c r="B141" s="3005" t="s">
        <v>3300</v>
      </c>
      <c r="C141" s="3000" t="s">
        <v>3267</v>
      </c>
      <c r="D141" s="3002" t="s">
        <v>3263</v>
      </c>
      <c r="E141" s="3000" t="s">
        <v>3258</v>
      </c>
      <c r="F141" s="3002">
        <v>508</v>
      </c>
      <c r="G141" s="3000">
        <v>68.790000000000006</v>
      </c>
      <c r="H141" s="3001" t="s">
        <v>3055</v>
      </c>
    </row>
    <row r="142" spans="1:8" ht="14.25" thickBot="1">
      <c r="A142" s="2999">
        <v>141</v>
      </c>
      <c r="B142" s="3005" t="s">
        <v>3300</v>
      </c>
      <c r="C142" s="3000" t="s">
        <v>3267</v>
      </c>
      <c r="D142" s="3002" t="s">
        <v>3263</v>
      </c>
      <c r="E142" s="3000" t="s">
        <v>3258</v>
      </c>
      <c r="F142" s="3002">
        <v>509</v>
      </c>
      <c r="G142" s="3000">
        <v>72.510000000000005</v>
      </c>
      <c r="H142" s="3001" t="s">
        <v>3055</v>
      </c>
    </row>
    <row r="143" spans="1:8" ht="14.25" thickBot="1">
      <c r="A143" s="2999">
        <v>142</v>
      </c>
      <c r="B143" s="3005" t="s">
        <v>3300</v>
      </c>
      <c r="C143" s="3000" t="s">
        <v>3267</v>
      </c>
      <c r="D143" s="3002" t="s">
        <v>3263</v>
      </c>
      <c r="E143" s="3000" t="s">
        <v>3258</v>
      </c>
      <c r="F143" s="3002">
        <v>510</v>
      </c>
      <c r="G143" s="3000">
        <v>72.55</v>
      </c>
      <c r="H143" s="3001" t="s">
        <v>3055</v>
      </c>
    </row>
    <row r="144" spans="1:8" ht="14.25" thickBot="1">
      <c r="A144" s="2999">
        <v>143</v>
      </c>
      <c r="B144" s="3005" t="s">
        <v>3300</v>
      </c>
      <c r="C144" s="3000" t="s">
        <v>3267</v>
      </c>
      <c r="D144" s="3002" t="s">
        <v>3263</v>
      </c>
      <c r="E144" s="3000" t="s">
        <v>3258</v>
      </c>
      <c r="F144" s="3002">
        <v>511</v>
      </c>
      <c r="G144" s="3000">
        <v>72.55</v>
      </c>
      <c r="H144" s="3001" t="s">
        <v>3055</v>
      </c>
    </row>
    <row r="145" spans="1:8" ht="14.25" thickBot="1">
      <c r="A145" s="2999">
        <v>144</v>
      </c>
      <c r="B145" s="3005" t="s">
        <v>3300</v>
      </c>
      <c r="C145" s="3000" t="s">
        <v>3267</v>
      </c>
      <c r="D145" s="3002" t="s">
        <v>3263</v>
      </c>
      <c r="E145" s="3000" t="s">
        <v>3258</v>
      </c>
      <c r="F145" s="3002">
        <v>512</v>
      </c>
      <c r="G145" s="3000">
        <v>72.510000000000005</v>
      </c>
      <c r="H145" s="3001" t="s">
        <v>3055</v>
      </c>
    </row>
    <row r="146" spans="1:8" ht="14.25" thickBot="1">
      <c r="A146" s="2999">
        <v>145</v>
      </c>
      <c r="B146" s="3005" t="s">
        <v>3300</v>
      </c>
      <c r="C146" s="3000" t="s">
        <v>3267</v>
      </c>
      <c r="D146" s="3002" t="s">
        <v>3263</v>
      </c>
      <c r="E146" s="3000" t="s">
        <v>3258</v>
      </c>
      <c r="F146" s="3002">
        <v>513</v>
      </c>
      <c r="G146" s="3000">
        <v>69.010000000000005</v>
      </c>
      <c r="H146" s="3001" t="s">
        <v>3055</v>
      </c>
    </row>
    <row r="147" spans="1:8" ht="14.25" thickBot="1">
      <c r="A147" s="2999">
        <v>146</v>
      </c>
      <c r="B147" s="3005" t="s">
        <v>3300</v>
      </c>
      <c r="C147" s="3000" t="s">
        <v>3267</v>
      </c>
      <c r="D147" s="3002" t="s">
        <v>3264</v>
      </c>
      <c r="E147" s="3000" t="s">
        <v>3259</v>
      </c>
      <c r="F147" s="3002">
        <v>601</v>
      </c>
      <c r="G147" s="3000">
        <v>97.52</v>
      </c>
      <c r="H147" s="3001" t="s">
        <v>3055</v>
      </c>
    </row>
    <row r="148" spans="1:8" ht="14.25" thickBot="1">
      <c r="A148" s="2999">
        <v>147</v>
      </c>
      <c r="B148" s="3005" t="s">
        <v>3300</v>
      </c>
      <c r="C148" s="3000" t="s">
        <v>3267</v>
      </c>
      <c r="D148" s="3002" t="s">
        <v>3264</v>
      </c>
      <c r="E148" s="3000" t="s">
        <v>3259</v>
      </c>
      <c r="F148" s="3002">
        <v>602</v>
      </c>
      <c r="G148" s="3000">
        <v>71.62</v>
      </c>
      <c r="H148" s="3001" t="s">
        <v>3055</v>
      </c>
    </row>
    <row r="149" spans="1:8" ht="14.25" thickBot="1">
      <c r="A149" s="2999">
        <v>148</v>
      </c>
      <c r="B149" s="3005" t="s">
        <v>3300</v>
      </c>
      <c r="C149" s="3000" t="s">
        <v>3267</v>
      </c>
      <c r="D149" s="3002" t="s">
        <v>3264</v>
      </c>
      <c r="E149" s="3000" t="s">
        <v>3259</v>
      </c>
      <c r="F149" s="3002">
        <v>603</v>
      </c>
      <c r="G149" s="3000">
        <v>71.66</v>
      </c>
      <c r="H149" s="3001" t="s">
        <v>3055</v>
      </c>
    </row>
    <row r="150" spans="1:8" ht="14.25" thickBot="1">
      <c r="A150" s="2999">
        <v>149</v>
      </c>
      <c r="B150" s="3005" t="s">
        <v>3300</v>
      </c>
      <c r="C150" s="3000" t="s">
        <v>3267</v>
      </c>
      <c r="D150" s="3002" t="s">
        <v>3264</v>
      </c>
      <c r="E150" s="3000" t="s">
        <v>3259</v>
      </c>
      <c r="F150" s="3002">
        <v>605</v>
      </c>
      <c r="G150" s="3000">
        <v>71.66</v>
      </c>
      <c r="H150" s="3001" t="s">
        <v>3055</v>
      </c>
    </row>
    <row r="151" spans="1:8" ht="14.25" thickBot="1">
      <c r="A151" s="2999">
        <v>150</v>
      </c>
      <c r="B151" s="3005" t="s">
        <v>3300</v>
      </c>
      <c r="C151" s="3000" t="s">
        <v>3267</v>
      </c>
      <c r="D151" s="3002" t="s">
        <v>3264</v>
      </c>
      <c r="E151" s="3000" t="s">
        <v>3259</v>
      </c>
      <c r="F151" s="3002">
        <v>606</v>
      </c>
      <c r="G151" s="3000">
        <v>71.62</v>
      </c>
      <c r="H151" s="3001" t="s">
        <v>3055</v>
      </c>
    </row>
    <row r="152" spans="1:8" ht="14.25" thickBot="1">
      <c r="A152" s="2999">
        <v>151</v>
      </c>
      <c r="B152" s="3005" t="s">
        <v>3300</v>
      </c>
      <c r="C152" s="3000" t="s">
        <v>3267</v>
      </c>
      <c r="D152" s="3002" t="s">
        <v>3264</v>
      </c>
      <c r="E152" s="3000" t="s">
        <v>3259</v>
      </c>
      <c r="F152" s="3002">
        <v>607</v>
      </c>
      <c r="G152" s="3000">
        <v>67.95</v>
      </c>
      <c r="H152" s="3001" t="s">
        <v>3055</v>
      </c>
    </row>
    <row r="153" spans="1:8" ht="14.25" thickBot="1">
      <c r="A153" s="2999">
        <v>152</v>
      </c>
      <c r="B153" s="3005" t="s">
        <v>3300</v>
      </c>
      <c r="C153" s="3000" t="s">
        <v>3267</v>
      </c>
      <c r="D153" s="3002" t="s">
        <v>3264</v>
      </c>
      <c r="E153" s="3000" t="s">
        <v>3258</v>
      </c>
      <c r="F153" s="3002">
        <v>608</v>
      </c>
      <c r="G153" s="3000">
        <v>68.790000000000006</v>
      </c>
      <c r="H153" s="3001" t="s">
        <v>3055</v>
      </c>
    </row>
    <row r="154" spans="1:8" ht="14.25" thickBot="1">
      <c r="A154" s="2999">
        <v>153</v>
      </c>
      <c r="B154" s="3005" t="s">
        <v>3300</v>
      </c>
      <c r="C154" s="3000" t="s">
        <v>3267</v>
      </c>
      <c r="D154" s="3002" t="s">
        <v>3264</v>
      </c>
      <c r="E154" s="3000" t="s">
        <v>3258</v>
      </c>
      <c r="F154" s="3002">
        <v>609</v>
      </c>
      <c r="G154" s="3000">
        <v>72.510000000000005</v>
      </c>
      <c r="H154" s="3001" t="s">
        <v>3055</v>
      </c>
    </row>
    <row r="155" spans="1:8" ht="14.25" thickBot="1">
      <c r="A155" s="2999">
        <v>154</v>
      </c>
      <c r="B155" s="3005" t="s">
        <v>3300</v>
      </c>
      <c r="C155" s="3000" t="s">
        <v>3267</v>
      </c>
      <c r="D155" s="3002" t="s">
        <v>3264</v>
      </c>
      <c r="E155" s="3000" t="s">
        <v>3258</v>
      </c>
      <c r="F155" s="3002">
        <v>610</v>
      </c>
      <c r="G155" s="3000">
        <v>72.55</v>
      </c>
      <c r="H155" s="3001" t="s">
        <v>3055</v>
      </c>
    </row>
    <row r="156" spans="1:8" ht="14.25" thickBot="1">
      <c r="A156" s="2999">
        <v>155</v>
      </c>
      <c r="B156" s="3005" t="s">
        <v>3300</v>
      </c>
      <c r="C156" s="3000" t="s">
        <v>3267</v>
      </c>
      <c r="D156" s="3002" t="s">
        <v>3264</v>
      </c>
      <c r="E156" s="3000" t="s">
        <v>3258</v>
      </c>
      <c r="F156" s="3002">
        <v>611</v>
      </c>
      <c r="G156" s="3000">
        <v>72.55</v>
      </c>
      <c r="H156" s="3001" t="s">
        <v>3055</v>
      </c>
    </row>
    <row r="157" spans="1:8" ht="14.25" thickBot="1">
      <c r="A157" s="2999">
        <v>156</v>
      </c>
      <c r="B157" s="3005" t="s">
        <v>3300</v>
      </c>
      <c r="C157" s="3000" t="s">
        <v>3267</v>
      </c>
      <c r="D157" s="3002" t="s">
        <v>3264</v>
      </c>
      <c r="E157" s="3000" t="s">
        <v>3258</v>
      </c>
      <c r="F157" s="3002">
        <v>612</v>
      </c>
      <c r="G157" s="3000">
        <v>72.510000000000005</v>
      </c>
      <c r="H157" s="3001" t="s">
        <v>3055</v>
      </c>
    </row>
    <row r="158" spans="1:8" ht="14.25" thickBot="1">
      <c r="A158" s="2999">
        <v>157</v>
      </c>
      <c r="B158" s="3005" t="s">
        <v>3300</v>
      </c>
      <c r="C158" s="3000" t="s">
        <v>3267</v>
      </c>
      <c r="D158" s="3002" t="s">
        <v>3264</v>
      </c>
      <c r="E158" s="3000" t="s">
        <v>3258</v>
      </c>
      <c r="F158" s="3002">
        <v>613</v>
      </c>
      <c r="G158" s="3000">
        <v>69.010000000000005</v>
      </c>
      <c r="H158" s="3001" t="s">
        <v>3055</v>
      </c>
    </row>
    <row r="159" spans="1:8" ht="14.25" thickBot="1">
      <c r="A159" s="2999">
        <v>158</v>
      </c>
      <c r="B159" s="3005" t="s">
        <v>3300</v>
      </c>
      <c r="C159" s="3000" t="s">
        <v>3268</v>
      </c>
      <c r="D159" s="3002" t="s">
        <v>3261</v>
      </c>
      <c r="E159" s="3000" t="s">
        <v>3259</v>
      </c>
      <c r="F159" s="3002">
        <v>301</v>
      </c>
      <c r="G159" s="3000">
        <v>101.78</v>
      </c>
      <c r="H159" s="3001" t="s">
        <v>3055</v>
      </c>
    </row>
    <row r="160" spans="1:8" ht="14.25" thickBot="1">
      <c r="A160" s="2999">
        <v>159</v>
      </c>
      <c r="B160" s="3005" t="s">
        <v>3300</v>
      </c>
      <c r="C160" s="3000" t="s">
        <v>3268</v>
      </c>
      <c r="D160" s="3002" t="s">
        <v>3261</v>
      </c>
      <c r="E160" s="3000" t="s">
        <v>3259</v>
      </c>
      <c r="F160" s="3002">
        <v>302</v>
      </c>
      <c r="G160" s="3000">
        <v>90.71</v>
      </c>
      <c r="H160" s="3001" t="s">
        <v>3055</v>
      </c>
    </row>
    <row r="161" spans="1:8" ht="14.25" thickBot="1">
      <c r="A161" s="2999">
        <v>160</v>
      </c>
      <c r="B161" s="3005" t="s">
        <v>3300</v>
      </c>
      <c r="C161" s="3000" t="s">
        <v>3268</v>
      </c>
      <c r="D161" s="3002" t="s">
        <v>3261</v>
      </c>
      <c r="E161" s="3000" t="s">
        <v>3259</v>
      </c>
      <c r="F161" s="3002">
        <v>303</v>
      </c>
      <c r="G161" s="3000">
        <v>90.71</v>
      </c>
      <c r="H161" s="3001" t="s">
        <v>3055</v>
      </c>
    </row>
    <row r="162" spans="1:8" ht="14.25" thickBot="1">
      <c r="A162" s="2999">
        <v>161</v>
      </c>
      <c r="B162" s="3005" t="s">
        <v>3300</v>
      </c>
      <c r="C162" s="3000" t="s">
        <v>3268</v>
      </c>
      <c r="D162" s="3002" t="s">
        <v>3261</v>
      </c>
      <c r="E162" s="3000" t="s">
        <v>3259</v>
      </c>
      <c r="F162" s="3002">
        <v>305</v>
      </c>
      <c r="G162" s="3000">
        <v>69.78</v>
      </c>
      <c r="H162" s="3001" t="s">
        <v>3055</v>
      </c>
    </row>
    <row r="163" spans="1:8" ht="14.25" thickBot="1">
      <c r="A163" s="2999">
        <v>162</v>
      </c>
      <c r="B163" s="3005" t="s">
        <v>3300</v>
      </c>
      <c r="C163" s="3000" t="s">
        <v>3268</v>
      </c>
      <c r="D163" s="3002" t="s">
        <v>3261</v>
      </c>
      <c r="E163" s="3000" t="s">
        <v>3258</v>
      </c>
      <c r="F163" s="3002">
        <v>306</v>
      </c>
      <c r="G163" s="3000">
        <v>69.78</v>
      </c>
      <c r="H163" s="3001" t="s">
        <v>3055</v>
      </c>
    </row>
    <row r="164" spans="1:8" ht="14.25" thickBot="1">
      <c r="A164" s="2999">
        <v>163</v>
      </c>
      <c r="B164" s="3005" t="s">
        <v>3300</v>
      </c>
      <c r="C164" s="3000" t="s">
        <v>3268</v>
      </c>
      <c r="D164" s="3002" t="s">
        <v>3261</v>
      </c>
      <c r="E164" s="3000" t="s">
        <v>3258</v>
      </c>
      <c r="F164" s="3002">
        <v>307</v>
      </c>
      <c r="G164" s="3000">
        <v>90.71</v>
      </c>
      <c r="H164" s="3001" t="s">
        <v>3055</v>
      </c>
    </row>
    <row r="165" spans="1:8" ht="14.25" thickBot="1">
      <c r="A165" s="2999">
        <v>164</v>
      </c>
      <c r="B165" s="3005" t="s">
        <v>3300</v>
      </c>
      <c r="C165" s="3000" t="s">
        <v>3268</v>
      </c>
      <c r="D165" s="3002" t="s">
        <v>3261</v>
      </c>
      <c r="E165" s="3000" t="s">
        <v>3258</v>
      </c>
      <c r="F165" s="3002">
        <v>308</v>
      </c>
      <c r="G165" s="3000">
        <v>90.71</v>
      </c>
      <c r="H165" s="3001" t="s">
        <v>3055</v>
      </c>
    </row>
    <row r="166" spans="1:8" ht="14.25" thickBot="1">
      <c r="A166" s="2999">
        <v>165</v>
      </c>
      <c r="B166" s="3005" t="s">
        <v>3300</v>
      </c>
      <c r="C166" s="3000" t="s">
        <v>3268</v>
      </c>
      <c r="D166" s="3002" t="s">
        <v>3261</v>
      </c>
      <c r="E166" s="3000" t="s">
        <v>3258</v>
      </c>
      <c r="F166" s="3002">
        <v>309</v>
      </c>
      <c r="G166" s="3000">
        <v>101.78</v>
      </c>
      <c r="H166" s="3001" t="s">
        <v>3055</v>
      </c>
    </row>
    <row r="167" spans="1:8" ht="14.25" thickBot="1">
      <c r="A167" s="2999">
        <v>166</v>
      </c>
      <c r="B167" s="3005" t="s">
        <v>3300</v>
      </c>
      <c r="C167" s="3000" t="s">
        <v>3268</v>
      </c>
      <c r="D167" s="3002" t="s">
        <v>3262</v>
      </c>
      <c r="E167" s="3000" t="s">
        <v>3259</v>
      </c>
      <c r="F167" s="3002" t="s">
        <v>3145</v>
      </c>
      <c r="G167" s="3000">
        <v>101.78</v>
      </c>
      <c r="H167" s="3001" t="s">
        <v>3055</v>
      </c>
    </row>
    <row r="168" spans="1:8" ht="14.25" thickBot="1">
      <c r="A168" s="2999">
        <v>167</v>
      </c>
      <c r="B168" s="3005" t="s">
        <v>3300</v>
      </c>
      <c r="C168" s="3000" t="s">
        <v>3268</v>
      </c>
      <c r="D168" s="3002" t="s">
        <v>3262</v>
      </c>
      <c r="E168" s="3000" t="s">
        <v>3259</v>
      </c>
      <c r="F168" s="3002" t="s">
        <v>3146</v>
      </c>
      <c r="G168" s="3000">
        <v>90.71</v>
      </c>
      <c r="H168" s="3001" t="s">
        <v>3055</v>
      </c>
    </row>
    <row r="169" spans="1:8" ht="14.25" thickBot="1">
      <c r="A169" s="2999">
        <v>168</v>
      </c>
      <c r="B169" s="3005" t="s">
        <v>3300</v>
      </c>
      <c r="C169" s="3000" t="s">
        <v>3268</v>
      </c>
      <c r="D169" s="3002" t="s">
        <v>3262</v>
      </c>
      <c r="E169" s="3000" t="s">
        <v>3259</v>
      </c>
      <c r="F169" s="3002" t="s">
        <v>3147</v>
      </c>
      <c r="G169" s="3000">
        <v>90.71</v>
      </c>
      <c r="H169" s="3001" t="s">
        <v>3055</v>
      </c>
    </row>
    <row r="170" spans="1:8" ht="14.25" thickBot="1">
      <c r="A170" s="2999">
        <v>169</v>
      </c>
      <c r="B170" s="3005" t="s">
        <v>3300</v>
      </c>
      <c r="C170" s="3000" t="s">
        <v>3268</v>
      </c>
      <c r="D170" s="3002" t="s">
        <v>3262</v>
      </c>
      <c r="E170" s="3000" t="s">
        <v>3259</v>
      </c>
      <c r="F170" s="3002" t="s">
        <v>3148</v>
      </c>
      <c r="G170" s="3000">
        <v>69.78</v>
      </c>
      <c r="H170" s="3001" t="s">
        <v>3055</v>
      </c>
    </row>
    <row r="171" spans="1:8" ht="14.25" thickBot="1">
      <c r="A171" s="2999">
        <v>170</v>
      </c>
      <c r="B171" s="3005" t="s">
        <v>3300</v>
      </c>
      <c r="C171" s="3000" t="s">
        <v>3268</v>
      </c>
      <c r="D171" s="3002" t="s">
        <v>3262</v>
      </c>
      <c r="E171" s="3000" t="s">
        <v>3258</v>
      </c>
      <c r="F171" s="3002" t="s">
        <v>3149</v>
      </c>
      <c r="G171" s="3000">
        <v>69.78</v>
      </c>
      <c r="H171" s="3001" t="s">
        <v>3055</v>
      </c>
    </row>
    <row r="172" spans="1:8" ht="14.25" thickBot="1">
      <c r="A172" s="2999">
        <v>171</v>
      </c>
      <c r="B172" s="3005" t="s">
        <v>3300</v>
      </c>
      <c r="C172" s="3000" t="s">
        <v>3268</v>
      </c>
      <c r="D172" s="3002" t="s">
        <v>3262</v>
      </c>
      <c r="E172" s="3000" t="s">
        <v>3258</v>
      </c>
      <c r="F172" s="3002" t="s">
        <v>3150</v>
      </c>
      <c r="G172" s="3000">
        <v>90.71</v>
      </c>
      <c r="H172" s="3001" t="s">
        <v>3055</v>
      </c>
    </row>
    <row r="173" spans="1:8" ht="14.25" thickBot="1">
      <c r="A173" s="2999">
        <v>172</v>
      </c>
      <c r="B173" s="3005" t="s">
        <v>3300</v>
      </c>
      <c r="C173" s="3000" t="s">
        <v>3268</v>
      </c>
      <c r="D173" s="3002" t="s">
        <v>3262</v>
      </c>
      <c r="E173" s="3000" t="s">
        <v>3258</v>
      </c>
      <c r="F173" s="3002" t="s">
        <v>3151</v>
      </c>
      <c r="G173" s="3000">
        <v>90.71</v>
      </c>
      <c r="H173" s="3001" t="s">
        <v>3055</v>
      </c>
    </row>
    <row r="174" spans="1:8" ht="14.25" thickBot="1">
      <c r="A174" s="2999">
        <v>173</v>
      </c>
      <c r="B174" s="3005" t="s">
        <v>3300</v>
      </c>
      <c r="C174" s="3000" t="s">
        <v>3268</v>
      </c>
      <c r="D174" s="3002" t="s">
        <v>3262</v>
      </c>
      <c r="E174" s="3000" t="s">
        <v>3258</v>
      </c>
      <c r="F174" s="3002" t="s">
        <v>3163</v>
      </c>
      <c r="G174" s="3000">
        <v>101.78</v>
      </c>
      <c r="H174" s="3001" t="s">
        <v>3055</v>
      </c>
    </row>
    <row r="175" spans="1:8" ht="14.25" thickBot="1">
      <c r="A175" s="2999">
        <v>174</v>
      </c>
      <c r="B175" s="3005" t="s">
        <v>3300</v>
      </c>
      <c r="C175" s="3000" t="s">
        <v>3268</v>
      </c>
      <c r="D175" s="3002" t="s">
        <v>3263</v>
      </c>
      <c r="E175" s="3000" t="s">
        <v>3259</v>
      </c>
      <c r="F175" s="3002">
        <v>501</v>
      </c>
      <c r="G175" s="3000">
        <v>101.78</v>
      </c>
      <c r="H175" s="3001" t="s">
        <v>3055</v>
      </c>
    </row>
    <row r="176" spans="1:8" ht="14.25" thickBot="1">
      <c r="A176" s="2999">
        <v>175</v>
      </c>
      <c r="B176" s="3005" t="s">
        <v>3300</v>
      </c>
      <c r="C176" s="3000" t="s">
        <v>3268</v>
      </c>
      <c r="D176" s="3002" t="s">
        <v>3263</v>
      </c>
      <c r="E176" s="3000" t="s">
        <v>3259</v>
      </c>
      <c r="F176" s="3002">
        <v>502</v>
      </c>
      <c r="G176" s="3000">
        <v>90.71</v>
      </c>
      <c r="H176" s="3001" t="s">
        <v>3055</v>
      </c>
    </row>
    <row r="177" spans="1:8" ht="14.25" thickBot="1">
      <c r="A177" s="2999">
        <v>176</v>
      </c>
      <c r="B177" s="3005" t="s">
        <v>3300</v>
      </c>
      <c r="C177" s="3000" t="s">
        <v>3268</v>
      </c>
      <c r="D177" s="3002" t="s">
        <v>3263</v>
      </c>
      <c r="E177" s="3000" t="s">
        <v>3259</v>
      </c>
      <c r="F177" s="3002">
        <v>503</v>
      </c>
      <c r="G177" s="3000">
        <v>90.71</v>
      </c>
      <c r="H177" s="3001" t="s">
        <v>3055</v>
      </c>
    </row>
    <row r="178" spans="1:8" ht="14.25" thickBot="1">
      <c r="A178" s="2999">
        <v>177</v>
      </c>
      <c r="B178" s="3005" t="s">
        <v>3300</v>
      </c>
      <c r="C178" s="3000" t="s">
        <v>3268</v>
      </c>
      <c r="D178" s="3002" t="s">
        <v>3263</v>
      </c>
      <c r="E178" s="3000" t="s">
        <v>3259</v>
      </c>
      <c r="F178" s="3002">
        <v>505</v>
      </c>
      <c r="G178" s="3000">
        <v>69.78</v>
      </c>
      <c r="H178" s="3001" t="s">
        <v>3055</v>
      </c>
    </row>
    <row r="179" spans="1:8" ht="14.25" thickBot="1">
      <c r="A179" s="2999">
        <v>178</v>
      </c>
      <c r="B179" s="3005" t="s">
        <v>3300</v>
      </c>
      <c r="C179" s="3000" t="s">
        <v>3268</v>
      </c>
      <c r="D179" s="3002" t="s">
        <v>3263</v>
      </c>
      <c r="E179" s="3000" t="s">
        <v>3258</v>
      </c>
      <c r="F179" s="3002">
        <v>506</v>
      </c>
      <c r="G179" s="3000">
        <v>69.78</v>
      </c>
      <c r="H179" s="3001" t="s">
        <v>3055</v>
      </c>
    </row>
    <row r="180" spans="1:8" ht="14.25" thickBot="1">
      <c r="A180" s="2999">
        <v>179</v>
      </c>
      <c r="B180" s="3005" t="s">
        <v>3300</v>
      </c>
      <c r="C180" s="3000" t="s">
        <v>3268</v>
      </c>
      <c r="D180" s="3002" t="s">
        <v>3263</v>
      </c>
      <c r="E180" s="3000" t="s">
        <v>3258</v>
      </c>
      <c r="F180" s="3002">
        <v>507</v>
      </c>
      <c r="G180" s="3000">
        <v>90.71</v>
      </c>
      <c r="H180" s="3001" t="s">
        <v>3055</v>
      </c>
    </row>
    <row r="181" spans="1:8" ht="14.25" thickBot="1">
      <c r="A181" s="2999">
        <v>180</v>
      </c>
      <c r="B181" s="3005" t="s">
        <v>3300</v>
      </c>
      <c r="C181" s="3000" t="s">
        <v>3268</v>
      </c>
      <c r="D181" s="3002" t="s">
        <v>3263</v>
      </c>
      <c r="E181" s="3000" t="s">
        <v>3258</v>
      </c>
      <c r="F181" s="3002">
        <v>508</v>
      </c>
      <c r="G181" s="3000">
        <v>90.71</v>
      </c>
      <c r="H181" s="3001" t="s">
        <v>3055</v>
      </c>
    </row>
    <row r="182" spans="1:8" ht="14.25" thickBot="1">
      <c r="A182" s="2999">
        <v>181</v>
      </c>
      <c r="B182" s="3005" t="s">
        <v>3300</v>
      </c>
      <c r="C182" s="3000" t="s">
        <v>3268</v>
      </c>
      <c r="D182" s="3002" t="s">
        <v>3263</v>
      </c>
      <c r="E182" s="3000" t="s">
        <v>3258</v>
      </c>
      <c r="F182" s="3002">
        <v>509</v>
      </c>
      <c r="G182" s="3000">
        <v>101.78</v>
      </c>
      <c r="H182" s="3001" t="s">
        <v>3055</v>
      </c>
    </row>
    <row r="183" spans="1:8" ht="14.25" thickBot="1">
      <c r="A183" s="2999">
        <v>182</v>
      </c>
      <c r="B183" s="3005" t="s">
        <v>3300</v>
      </c>
      <c r="C183" s="3000" t="s">
        <v>3268</v>
      </c>
      <c r="D183" s="3002" t="s">
        <v>3264</v>
      </c>
      <c r="E183" s="3000" t="s">
        <v>3259</v>
      </c>
      <c r="F183" s="3002">
        <v>601</v>
      </c>
      <c r="G183" s="3000">
        <v>101.78</v>
      </c>
      <c r="H183" s="3001" t="s">
        <v>3055</v>
      </c>
    </row>
    <row r="184" spans="1:8" ht="14.25" thickBot="1">
      <c r="A184" s="2999">
        <v>183</v>
      </c>
      <c r="B184" s="3005" t="s">
        <v>3300</v>
      </c>
      <c r="C184" s="3000" t="s">
        <v>3268</v>
      </c>
      <c r="D184" s="3002" t="s">
        <v>3264</v>
      </c>
      <c r="E184" s="3000" t="s">
        <v>3259</v>
      </c>
      <c r="F184" s="3002">
        <v>602</v>
      </c>
      <c r="G184" s="3000">
        <v>90.71</v>
      </c>
      <c r="H184" s="3001" t="s">
        <v>3055</v>
      </c>
    </row>
    <row r="185" spans="1:8" ht="14.25" thickBot="1">
      <c r="A185" s="2999">
        <v>184</v>
      </c>
      <c r="B185" s="3005" t="s">
        <v>3300</v>
      </c>
      <c r="C185" s="3000" t="s">
        <v>3268</v>
      </c>
      <c r="D185" s="3002" t="s">
        <v>3264</v>
      </c>
      <c r="E185" s="3000" t="s">
        <v>3259</v>
      </c>
      <c r="F185" s="3002">
        <v>603</v>
      </c>
      <c r="G185" s="3000">
        <v>90.71</v>
      </c>
      <c r="H185" s="3001" t="s">
        <v>3055</v>
      </c>
    </row>
    <row r="186" spans="1:8" ht="14.25" thickBot="1">
      <c r="A186" s="2999">
        <v>185</v>
      </c>
      <c r="B186" s="3005" t="s">
        <v>3300</v>
      </c>
      <c r="C186" s="3000" t="s">
        <v>3268</v>
      </c>
      <c r="D186" s="3002" t="s">
        <v>3264</v>
      </c>
      <c r="E186" s="3000" t="s">
        <v>3259</v>
      </c>
      <c r="F186" s="3002">
        <v>605</v>
      </c>
      <c r="G186" s="3000">
        <v>69.78</v>
      </c>
      <c r="H186" s="3001" t="s">
        <v>3055</v>
      </c>
    </row>
    <row r="187" spans="1:8" ht="14.25" thickBot="1">
      <c r="A187" s="2999">
        <v>186</v>
      </c>
      <c r="B187" s="3005" t="s">
        <v>3300</v>
      </c>
      <c r="C187" s="3000" t="s">
        <v>3268</v>
      </c>
      <c r="D187" s="3002" t="s">
        <v>3264</v>
      </c>
      <c r="E187" s="3000" t="s">
        <v>3258</v>
      </c>
      <c r="F187" s="3002">
        <v>606</v>
      </c>
      <c r="G187" s="3000">
        <v>69.78</v>
      </c>
      <c r="H187" s="3001" t="s">
        <v>3055</v>
      </c>
    </row>
    <row r="188" spans="1:8" ht="14.25" thickBot="1">
      <c r="A188" s="2999">
        <v>187</v>
      </c>
      <c r="B188" s="3005" t="s">
        <v>3300</v>
      </c>
      <c r="C188" s="3000" t="s">
        <v>3268</v>
      </c>
      <c r="D188" s="3002" t="s">
        <v>3264</v>
      </c>
      <c r="E188" s="3000" t="s">
        <v>3258</v>
      </c>
      <c r="F188" s="3002">
        <v>607</v>
      </c>
      <c r="G188" s="3000">
        <v>90.71</v>
      </c>
      <c r="H188" s="3001" t="s">
        <v>3055</v>
      </c>
    </row>
    <row r="189" spans="1:8" ht="14.25" thickBot="1">
      <c r="A189" s="2999">
        <v>188</v>
      </c>
      <c r="B189" s="3005" t="s">
        <v>3300</v>
      </c>
      <c r="C189" s="3000" t="s">
        <v>3268</v>
      </c>
      <c r="D189" s="3002" t="s">
        <v>3264</v>
      </c>
      <c r="E189" s="3000" t="s">
        <v>3258</v>
      </c>
      <c r="F189" s="3002">
        <v>608</v>
      </c>
      <c r="G189" s="3000">
        <v>90.71</v>
      </c>
      <c r="H189" s="3001" t="s">
        <v>3055</v>
      </c>
    </row>
    <row r="190" spans="1:8" ht="14.25" thickBot="1">
      <c r="A190" s="2999">
        <v>189</v>
      </c>
      <c r="B190" s="3005" t="s">
        <v>3300</v>
      </c>
      <c r="C190" s="3000" t="s">
        <v>3268</v>
      </c>
      <c r="D190" s="3002" t="s">
        <v>3264</v>
      </c>
      <c r="E190" s="3000" t="s">
        <v>3258</v>
      </c>
      <c r="F190" s="3002">
        <v>609</v>
      </c>
      <c r="G190" s="3000">
        <v>101.78</v>
      </c>
      <c r="H190" s="3001" t="s">
        <v>3055</v>
      </c>
    </row>
    <row r="191" spans="1:8" ht="14.25" thickBot="1">
      <c r="A191" s="2999">
        <v>190</v>
      </c>
      <c r="B191" s="3005" t="s">
        <v>3300</v>
      </c>
      <c r="C191" s="3000" t="s">
        <v>3269</v>
      </c>
      <c r="D191" s="3002" t="s">
        <v>3257</v>
      </c>
      <c r="E191" s="3000" t="s">
        <v>70</v>
      </c>
      <c r="F191" s="3002">
        <v>101</v>
      </c>
      <c r="G191" s="3000">
        <v>94.54</v>
      </c>
      <c r="H191" s="3001" t="s">
        <v>3055</v>
      </c>
    </row>
    <row r="192" spans="1:8" ht="14.25" thickBot="1">
      <c r="A192" s="2999">
        <v>191</v>
      </c>
      <c r="B192" s="3005" t="s">
        <v>3300</v>
      </c>
      <c r="C192" s="3000" t="s">
        <v>3269</v>
      </c>
      <c r="D192" s="3002" t="s">
        <v>3257</v>
      </c>
      <c r="E192" s="3000" t="s">
        <v>70</v>
      </c>
      <c r="F192" s="3002">
        <v>102</v>
      </c>
      <c r="G192" s="3000">
        <v>69.53</v>
      </c>
      <c r="H192" s="3001" t="s">
        <v>3055</v>
      </c>
    </row>
    <row r="193" spans="1:8" ht="14.25" thickBot="1">
      <c r="A193" s="2999">
        <v>192</v>
      </c>
      <c r="B193" s="3005" t="s">
        <v>3300</v>
      </c>
      <c r="C193" s="3000" t="s">
        <v>3269</v>
      </c>
      <c r="D193" s="3002" t="s">
        <v>3257</v>
      </c>
      <c r="E193" s="3000" t="s">
        <v>70</v>
      </c>
      <c r="F193" s="3002">
        <v>103</v>
      </c>
      <c r="G193" s="3000">
        <v>69.47</v>
      </c>
      <c r="H193" s="3001" t="s">
        <v>3055</v>
      </c>
    </row>
    <row r="194" spans="1:8" ht="14.25" thickBot="1">
      <c r="A194" s="2999">
        <v>193</v>
      </c>
      <c r="B194" s="3005" t="s">
        <v>3300</v>
      </c>
      <c r="C194" s="3000" t="s">
        <v>3269</v>
      </c>
      <c r="D194" s="3002" t="s">
        <v>3257</v>
      </c>
      <c r="E194" s="3000" t="s">
        <v>70</v>
      </c>
      <c r="F194" s="3002">
        <v>106</v>
      </c>
      <c r="G194" s="3000">
        <v>69.53</v>
      </c>
      <c r="H194" s="3001" t="s">
        <v>3055</v>
      </c>
    </row>
    <row r="195" spans="1:8" ht="14.25" thickBot="1">
      <c r="A195" s="2999">
        <v>194</v>
      </c>
      <c r="B195" s="3005" t="s">
        <v>3300</v>
      </c>
      <c r="C195" s="3000" t="s">
        <v>3269</v>
      </c>
      <c r="D195" s="3002" t="s">
        <v>3257</v>
      </c>
      <c r="E195" s="3000" t="s">
        <v>70</v>
      </c>
      <c r="F195" s="3002">
        <v>107</v>
      </c>
      <c r="G195" s="3000">
        <v>66.08</v>
      </c>
      <c r="H195" s="3001" t="s">
        <v>3055</v>
      </c>
    </row>
    <row r="196" spans="1:8" ht="14.25" thickBot="1">
      <c r="A196" s="2999">
        <v>195</v>
      </c>
      <c r="B196" s="3005" t="s">
        <v>3300</v>
      </c>
      <c r="C196" s="3000" t="s">
        <v>3269</v>
      </c>
      <c r="D196" s="3002" t="s">
        <v>3260</v>
      </c>
      <c r="E196" s="3000" t="s">
        <v>70</v>
      </c>
      <c r="F196" s="3002">
        <v>201</v>
      </c>
      <c r="G196" s="3000">
        <v>94.54</v>
      </c>
      <c r="H196" s="3001" t="s">
        <v>3055</v>
      </c>
    </row>
    <row r="197" spans="1:8" ht="14.25" thickBot="1">
      <c r="A197" s="2999">
        <v>196</v>
      </c>
      <c r="B197" s="3005" t="s">
        <v>3300</v>
      </c>
      <c r="C197" s="3000" t="s">
        <v>3269</v>
      </c>
      <c r="D197" s="3002" t="s">
        <v>3260</v>
      </c>
      <c r="E197" s="3000" t="s">
        <v>70</v>
      </c>
      <c r="F197" s="3002">
        <v>202</v>
      </c>
      <c r="G197" s="3000">
        <v>69.53</v>
      </c>
      <c r="H197" s="3001" t="s">
        <v>3055</v>
      </c>
    </row>
    <row r="198" spans="1:8" ht="14.25" thickBot="1">
      <c r="A198" s="2999">
        <v>197</v>
      </c>
      <c r="B198" s="3005" t="s">
        <v>3300</v>
      </c>
      <c r="C198" s="3000" t="s">
        <v>3269</v>
      </c>
      <c r="D198" s="3002" t="s">
        <v>3260</v>
      </c>
      <c r="E198" s="3000" t="s">
        <v>70</v>
      </c>
      <c r="F198" s="3002">
        <v>203</v>
      </c>
      <c r="G198" s="3000">
        <v>69.47</v>
      </c>
      <c r="H198" s="3001" t="s">
        <v>3055</v>
      </c>
    </row>
    <row r="199" spans="1:8" ht="14.25" thickBot="1">
      <c r="A199" s="2999">
        <v>198</v>
      </c>
      <c r="B199" s="3005" t="s">
        <v>3300</v>
      </c>
      <c r="C199" s="3000" t="s">
        <v>3269</v>
      </c>
      <c r="D199" s="3002" t="s">
        <v>3260</v>
      </c>
      <c r="E199" s="3000" t="s">
        <v>70</v>
      </c>
      <c r="F199" s="3002">
        <v>205</v>
      </c>
      <c r="G199" s="3000">
        <v>69.47</v>
      </c>
      <c r="H199" s="3001" t="s">
        <v>3055</v>
      </c>
    </row>
    <row r="200" spans="1:8" ht="14.25" thickBot="1">
      <c r="A200" s="2999">
        <v>199</v>
      </c>
      <c r="B200" s="3005" t="s">
        <v>3300</v>
      </c>
      <c r="C200" s="3000" t="s">
        <v>3269</v>
      </c>
      <c r="D200" s="3002" t="s">
        <v>3260</v>
      </c>
      <c r="E200" s="3000" t="s">
        <v>70</v>
      </c>
      <c r="F200" s="3002">
        <v>206</v>
      </c>
      <c r="G200" s="3000">
        <v>69.53</v>
      </c>
      <c r="H200" s="3001" t="s">
        <v>3055</v>
      </c>
    </row>
    <row r="201" spans="1:8" ht="14.25" thickBot="1">
      <c r="A201" s="2999">
        <v>200</v>
      </c>
      <c r="B201" s="3005" t="s">
        <v>3300</v>
      </c>
      <c r="C201" s="3000" t="s">
        <v>3269</v>
      </c>
      <c r="D201" s="3002" t="s">
        <v>3260</v>
      </c>
      <c r="E201" s="3000" t="s">
        <v>70</v>
      </c>
      <c r="F201" s="3002">
        <v>207</v>
      </c>
      <c r="G201" s="3000">
        <v>66.08</v>
      </c>
      <c r="H201" s="3001" t="s">
        <v>3055</v>
      </c>
    </row>
    <row r="202" spans="1:8" ht="14.25" thickBot="1">
      <c r="A202" s="2999">
        <v>201</v>
      </c>
      <c r="B202" s="3005" t="s">
        <v>3300</v>
      </c>
      <c r="C202" s="3000" t="s">
        <v>3269</v>
      </c>
      <c r="D202" s="3002" t="s">
        <v>3261</v>
      </c>
      <c r="E202" s="3000" t="s">
        <v>70</v>
      </c>
      <c r="F202" s="3002">
        <v>301</v>
      </c>
      <c r="G202" s="3000">
        <v>94.54</v>
      </c>
      <c r="H202" s="3001" t="s">
        <v>3055</v>
      </c>
    </row>
    <row r="203" spans="1:8" ht="14.25" thickBot="1">
      <c r="A203" s="2999">
        <v>202</v>
      </c>
      <c r="B203" s="3005" t="s">
        <v>3300</v>
      </c>
      <c r="C203" s="3000" t="s">
        <v>3269</v>
      </c>
      <c r="D203" s="3002" t="s">
        <v>3261</v>
      </c>
      <c r="E203" s="3000" t="s">
        <v>70</v>
      </c>
      <c r="F203" s="3002">
        <v>302</v>
      </c>
      <c r="G203" s="3000">
        <v>69.53</v>
      </c>
      <c r="H203" s="3001" t="s">
        <v>3055</v>
      </c>
    </row>
    <row r="204" spans="1:8" ht="14.25" thickBot="1">
      <c r="A204" s="2999">
        <v>203</v>
      </c>
      <c r="B204" s="3005" t="s">
        <v>3300</v>
      </c>
      <c r="C204" s="3000" t="s">
        <v>3269</v>
      </c>
      <c r="D204" s="3002" t="s">
        <v>3261</v>
      </c>
      <c r="E204" s="3000" t="s">
        <v>70</v>
      </c>
      <c r="F204" s="3002">
        <v>303</v>
      </c>
      <c r="G204" s="3000">
        <v>69.47</v>
      </c>
      <c r="H204" s="3001" t="s">
        <v>3055</v>
      </c>
    </row>
    <row r="205" spans="1:8" ht="14.25" thickBot="1">
      <c r="A205" s="2999">
        <v>204</v>
      </c>
      <c r="B205" s="3005" t="s">
        <v>3300</v>
      </c>
      <c r="C205" s="3000" t="s">
        <v>3269</v>
      </c>
      <c r="D205" s="3002" t="s">
        <v>3261</v>
      </c>
      <c r="E205" s="3000" t="s">
        <v>70</v>
      </c>
      <c r="F205" s="3002">
        <v>305</v>
      </c>
      <c r="G205" s="3000">
        <v>69.47</v>
      </c>
      <c r="H205" s="3001" t="s">
        <v>3055</v>
      </c>
    </row>
    <row r="206" spans="1:8" ht="14.25" thickBot="1">
      <c r="A206" s="2999">
        <v>205</v>
      </c>
      <c r="B206" s="3005" t="s">
        <v>3300</v>
      </c>
      <c r="C206" s="3000" t="s">
        <v>3269</v>
      </c>
      <c r="D206" s="3002" t="s">
        <v>3261</v>
      </c>
      <c r="E206" s="3000" t="s">
        <v>70</v>
      </c>
      <c r="F206" s="3002">
        <v>306</v>
      </c>
      <c r="G206" s="3000">
        <v>69.53</v>
      </c>
      <c r="H206" s="3001" t="s">
        <v>3055</v>
      </c>
    </row>
    <row r="207" spans="1:8" ht="14.25" thickBot="1">
      <c r="A207" s="2999">
        <v>206</v>
      </c>
      <c r="B207" s="3005" t="s">
        <v>3300</v>
      </c>
      <c r="C207" s="3000" t="s">
        <v>3269</v>
      </c>
      <c r="D207" s="3002" t="s">
        <v>3261</v>
      </c>
      <c r="E207" s="3000" t="s">
        <v>70</v>
      </c>
      <c r="F207" s="3002">
        <v>307</v>
      </c>
      <c r="G207" s="3000">
        <v>66.08</v>
      </c>
      <c r="H207" s="3001" t="s">
        <v>3055</v>
      </c>
    </row>
    <row r="208" spans="1:8" ht="14.25" thickBot="1">
      <c r="A208" s="2999">
        <v>207</v>
      </c>
      <c r="B208" s="3005" t="s">
        <v>3300</v>
      </c>
      <c r="C208" s="3000" t="s">
        <v>3269</v>
      </c>
      <c r="D208" s="3002" t="s">
        <v>3262</v>
      </c>
      <c r="E208" s="3000" t="s">
        <v>70</v>
      </c>
      <c r="F208" s="3002" t="s">
        <v>3145</v>
      </c>
      <c r="G208" s="3000">
        <v>94.54</v>
      </c>
      <c r="H208" s="3001" t="s">
        <v>3055</v>
      </c>
    </row>
    <row r="209" spans="1:8" ht="14.25" thickBot="1">
      <c r="A209" s="2999">
        <v>208</v>
      </c>
      <c r="B209" s="3005" t="s">
        <v>3300</v>
      </c>
      <c r="C209" s="3000" t="s">
        <v>3269</v>
      </c>
      <c r="D209" s="3002" t="s">
        <v>3262</v>
      </c>
      <c r="E209" s="3000" t="s">
        <v>70</v>
      </c>
      <c r="F209" s="3002" t="s">
        <v>3146</v>
      </c>
      <c r="G209" s="3000">
        <v>69.53</v>
      </c>
      <c r="H209" s="3001" t="s">
        <v>3055</v>
      </c>
    </row>
    <row r="210" spans="1:8" ht="14.25" thickBot="1">
      <c r="A210" s="2999">
        <v>209</v>
      </c>
      <c r="B210" s="3005" t="s">
        <v>3300</v>
      </c>
      <c r="C210" s="3000" t="s">
        <v>3269</v>
      </c>
      <c r="D210" s="3002" t="s">
        <v>3262</v>
      </c>
      <c r="E210" s="3000" t="s">
        <v>70</v>
      </c>
      <c r="F210" s="3002" t="s">
        <v>3147</v>
      </c>
      <c r="G210" s="3000">
        <v>69.47</v>
      </c>
      <c r="H210" s="3001" t="s">
        <v>3055</v>
      </c>
    </row>
    <row r="211" spans="1:8" ht="14.25" thickBot="1">
      <c r="A211" s="2999">
        <v>210</v>
      </c>
      <c r="B211" s="3005" t="s">
        <v>3300</v>
      </c>
      <c r="C211" s="3000" t="s">
        <v>3269</v>
      </c>
      <c r="D211" s="3002" t="s">
        <v>3262</v>
      </c>
      <c r="E211" s="3000" t="s">
        <v>70</v>
      </c>
      <c r="F211" s="3002" t="s">
        <v>3148</v>
      </c>
      <c r="G211" s="3000">
        <v>69.47</v>
      </c>
      <c r="H211" s="3001" t="s">
        <v>3055</v>
      </c>
    </row>
    <row r="212" spans="1:8" ht="14.25" thickBot="1">
      <c r="A212" s="2999">
        <v>211</v>
      </c>
      <c r="B212" s="3005" t="s">
        <v>3300</v>
      </c>
      <c r="C212" s="3000" t="s">
        <v>3269</v>
      </c>
      <c r="D212" s="3002" t="s">
        <v>3262</v>
      </c>
      <c r="E212" s="3000" t="s">
        <v>70</v>
      </c>
      <c r="F212" s="3002" t="s">
        <v>3149</v>
      </c>
      <c r="G212" s="3000">
        <v>69.53</v>
      </c>
      <c r="H212" s="3001" t="s">
        <v>3055</v>
      </c>
    </row>
    <row r="213" spans="1:8" ht="14.25" thickBot="1">
      <c r="A213" s="2999">
        <v>212</v>
      </c>
      <c r="B213" s="3005" t="s">
        <v>3300</v>
      </c>
      <c r="C213" s="3000" t="s">
        <v>3269</v>
      </c>
      <c r="D213" s="3002" t="s">
        <v>3262</v>
      </c>
      <c r="E213" s="3000" t="s">
        <v>70</v>
      </c>
      <c r="F213" s="3002" t="s">
        <v>3150</v>
      </c>
      <c r="G213" s="3000">
        <v>66.08</v>
      </c>
      <c r="H213" s="3001" t="s">
        <v>3055</v>
      </c>
    </row>
    <row r="214" spans="1:8" ht="14.25" thickBot="1">
      <c r="A214" s="2999">
        <v>213</v>
      </c>
      <c r="B214" s="3005" t="s">
        <v>3300</v>
      </c>
      <c r="C214" s="3000" t="s">
        <v>3269</v>
      </c>
      <c r="D214" s="3002" t="s">
        <v>3263</v>
      </c>
      <c r="E214" s="3000" t="s">
        <v>70</v>
      </c>
      <c r="F214" s="3002">
        <v>501</v>
      </c>
      <c r="G214" s="3000">
        <v>94.54</v>
      </c>
      <c r="H214" s="3001" t="s">
        <v>3055</v>
      </c>
    </row>
    <row r="215" spans="1:8" ht="14.25" thickBot="1">
      <c r="A215" s="2999">
        <v>214</v>
      </c>
      <c r="B215" s="3005" t="s">
        <v>3300</v>
      </c>
      <c r="C215" s="3000" t="s">
        <v>3269</v>
      </c>
      <c r="D215" s="3002" t="s">
        <v>3263</v>
      </c>
      <c r="E215" s="3000" t="s">
        <v>70</v>
      </c>
      <c r="F215" s="3002">
        <v>502</v>
      </c>
      <c r="G215" s="3000">
        <v>69.53</v>
      </c>
      <c r="H215" s="3001" t="s">
        <v>3055</v>
      </c>
    </row>
    <row r="216" spans="1:8" ht="14.25" thickBot="1">
      <c r="A216" s="2999">
        <v>215</v>
      </c>
      <c r="B216" s="3005" t="s">
        <v>3300</v>
      </c>
      <c r="C216" s="3000" t="s">
        <v>3269</v>
      </c>
      <c r="D216" s="3002" t="s">
        <v>3263</v>
      </c>
      <c r="E216" s="3000" t="s">
        <v>70</v>
      </c>
      <c r="F216" s="3002">
        <v>503</v>
      </c>
      <c r="G216" s="3000">
        <v>69.47</v>
      </c>
      <c r="H216" s="3001" t="s">
        <v>3055</v>
      </c>
    </row>
    <row r="217" spans="1:8" ht="14.25" thickBot="1">
      <c r="A217" s="2999">
        <v>216</v>
      </c>
      <c r="B217" s="3005" t="s">
        <v>3300</v>
      </c>
      <c r="C217" s="3000" t="s">
        <v>3269</v>
      </c>
      <c r="D217" s="3002" t="s">
        <v>3263</v>
      </c>
      <c r="E217" s="3000" t="s">
        <v>70</v>
      </c>
      <c r="F217" s="3002">
        <v>505</v>
      </c>
      <c r="G217" s="3000">
        <v>69.47</v>
      </c>
      <c r="H217" s="3001" t="s">
        <v>3055</v>
      </c>
    </row>
    <row r="218" spans="1:8" ht="14.25" thickBot="1">
      <c r="A218" s="2999">
        <v>217</v>
      </c>
      <c r="B218" s="3005" t="s">
        <v>3300</v>
      </c>
      <c r="C218" s="3000" t="s">
        <v>3269</v>
      </c>
      <c r="D218" s="3002" t="s">
        <v>3263</v>
      </c>
      <c r="E218" s="3000" t="s">
        <v>70</v>
      </c>
      <c r="F218" s="3002">
        <v>506</v>
      </c>
      <c r="G218" s="3000">
        <v>69.53</v>
      </c>
      <c r="H218" s="3001" t="s">
        <v>3055</v>
      </c>
    </row>
    <row r="219" spans="1:8" ht="14.25" thickBot="1">
      <c r="A219" s="2999">
        <v>218</v>
      </c>
      <c r="B219" s="3005" t="s">
        <v>3300</v>
      </c>
      <c r="C219" s="3000" t="s">
        <v>3269</v>
      </c>
      <c r="D219" s="3002" t="s">
        <v>3263</v>
      </c>
      <c r="E219" s="3000" t="s">
        <v>70</v>
      </c>
      <c r="F219" s="3002">
        <v>507</v>
      </c>
      <c r="G219" s="3000">
        <v>66.08</v>
      </c>
      <c r="H219" s="3001" t="s">
        <v>3055</v>
      </c>
    </row>
    <row r="220" spans="1:8" ht="14.25" thickBot="1">
      <c r="A220" s="2999">
        <v>219</v>
      </c>
      <c r="B220" s="3005" t="s">
        <v>3300</v>
      </c>
      <c r="C220" s="3000" t="s">
        <v>3269</v>
      </c>
      <c r="D220" s="3002" t="s">
        <v>3264</v>
      </c>
      <c r="E220" s="3000" t="s">
        <v>70</v>
      </c>
      <c r="F220" s="3002">
        <v>601</v>
      </c>
      <c r="G220" s="3000">
        <v>94.54</v>
      </c>
      <c r="H220" s="3001" t="s">
        <v>3055</v>
      </c>
    </row>
    <row r="221" spans="1:8" ht="14.25" thickBot="1">
      <c r="A221" s="2999">
        <v>220</v>
      </c>
      <c r="B221" s="3005" t="s">
        <v>3300</v>
      </c>
      <c r="C221" s="3000" t="s">
        <v>3269</v>
      </c>
      <c r="D221" s="3002" t="s">
        <v>3264</v>
      </c>
      <c r="E221" s="3000" t="s">
        <v>70</v>
      </c>
      <c r="F221" s="3002">
        <v>602</v>
      </c>
      <c r="G221" s="3000">
        <v>69.53</v>
      </c>
      <c r="H221" s="3001" t="s">
        <v>3055</v>
      </c>
    </row>
    <row r="222" spans="1:8" ht="14.25" thickBot="1">
      <c r="A222" s="2999">
        <v>221</v>
      </c>
      <c r="B222" s="3005" t="s">
        <v>3300</v>
      </c>
      <c r="C222" s="3000" t="s">
        <v>3269</v>
      </c>
      <c r="D222" s="3002" t="s">
        <v>3264</v>
      </c>
      <c r="E222" s="3000" t="s">
        <v>70</v>
      </c>
      <c r="F222" s="3002">
        <v>603</v>
      </c>
      <c r="G222" s="3000">
        <v>69.47</v>
      </c>
      <c r="H222" s="3001" t="s">
        <v>3055</v>
      </c>
    </row>
    <row r="223" spans="1:8" ht="14.25" thickBot="1">
      <c r="A223" s="2999">
        <v>222</v>
      </c>
      <c r="B223" s="3005" t="s">
        <v>3300</v>
      </c>
      <c r="C223" s="3000" t="s">
        <v>3269</v>
      </c>
      <c r="D223" s="3002" t="s">
        <v>3264</v>
      </c>
      <c r="E223" s="3000" t="s">
        <v>70</v>
      </c>
      <c r="F223" s="3002">
        <v>605</v>
      </c>
      <c r="G223" s="3000">
        <v>69.47</v>
      </c>
      <c r="H223" s="3001" t="s">
        <v>3055</v>
      </c>
    </row>
    <row r="224" spans="1:8" ht="14.25" thickBot="1">
      <c r="A224" s="2999">
        <v>223</v>
      </c>
      <c r="B224" s="3005" t="s">
        <v>3300</v>
      </c>
      <c r="C224" s="3000" t="s">
        <v>3269</v>
      </c>
      <c r="D224" s="3002" t="s">
        <v>3264</v>
      </c>
      <c r="E224" s="3000" t="s">
        <v>70</v>
      </c>
      <c r="F224" s="3002">
        <v>606</v>
      </c>
      <c r="G224" s="3000">
        <v>69.53</v>
      </c>
      <c r="H224" s="3001" t="s">
        <v>3055</v>
      </c>
    </row>
    <row r="225" spans="1:8" ht="14.25" thickBot="1">
      <c r="A225" s="2999">
        <v>224</v>
      </c>
      <c r="B225" s="3005" t="s">
        <v>3300</v>
      </c>
      <c r="C225" s="3000" t="s">
        <v>3269</v>
      </c>
      <c r="D225" s="3002" t="s">
        <v>3264</v>
      </c>
      <c r="E225" s="3000" t="s">
        <v>70</v>
      </c>
      <c r="F225" s="3002">
        <v>607</v>
      </c>
      <c r="G225" s="3000">
        <v>66.08</v>
      </c>
      <c r="H225" s="3001" t="s">
        <v>3055</v>
      </c>
    </row>
    <row r="226" spans="1:8" ht="14.25" thickBot="1">
      <c r="A226" s="2999">
        <v>225</v>
      </c>
      <c r="B226" s="3005" t="s">
        <v>3300</v>
      </c>
      <c r="C226" s="3000" t="s">
        <v>3270</v>
      </c>
      <c r="D226" s="3002" t="s">
        <v>3257</v>
      </c>
      <c r="E226" s="3000" t="s">
        <v>70</v>
      </c>
      <c r="F226" s="3002">
        <v>101</v>
      </c>
      <c r="G226" s="3000">
        <v>93.94</v>
      </c>
      <c r="H226" s="3001" t="s">
        <v>3055</v>
      </c>
    </row>
    <row r="227" spans="1:8" ht="14.25" thickBot="1">
      <c r="A227" s="2999">
        <v>226</v>
      </c>
      <c r="B227" s="3005" t="s">
        <v>3300</v>
      </c>
      <c r="C227" s="3000" t="s">
        <v>3270</v>
      </c>
      <c r="D227" s="3002" t="s">
        <v>3257</v>
      </c>
      <c r="E227" s="3000" t="s">
        <v>70</v>
      </c>
      <c r="F227" s="3002">
        <v>102</v>
      </c>
      <c r="G227" s="3000">
        <v>69.09</v>
      </c>
      <c r="H227" s="3001" t="s">
        <v>3055</v>
      </c>
    </row>
    <row r="228" spans="1:8" ht="14.25" thickBot="1">
      <c r="A228" s="2999">
        <v>227</v>
      </c>
      <c r="B228" s="3005" t="s">
        <v>3300</v>
      </c>
      <c r="C228" s="3000" t="s">
        <v>3270</v>
      </c>
      <c r="D228" s="3002" t="s">
        <v>3257</v>
      </c>
      <c r="E228" s="3000" t="s">
        <v>70</v>
      </c>
      <c r="F228" s="3002">
        <v>103</v>
      </c>
      <c r="G228" s="3000">
        <v>69.03</v>
      </c>
      <c r="H228" s="3001" t="s">
        <v>3055</v>
      </c>
    </row>
    <row r="229" spans="1:8" ht="14.25" thickBot="1">
      <c r="A229" s="2999">
        <v>228</v>
      </c>
      <c r="B229" s="3005" t="s">
        <v>3300</v>
      </c>
      <c r="C229" s="3000" t="s">
        <v>3270</v>
      </c>
      <c r="D229" s="3002" t="s">
        <v>3257</v>
      </c>
      <c r="E229" s="3000" t="s">
        <v>70</v>
      </c>
      <c r="F229" s="3002">
        <v>105</v>
      </c>
      <c r="G229" s="3000">
        <v>69.03</v>
      </c>
      <c r="H229" s="3001" t="s">
        <v>3055</v>
      </c>
    </row>
    <row r="230" spans="1:8" ht="14.25" thickBot="1">
      <c r="A230" s="2999">
        <v>229</v>
      </c>
      <c r="B230" s="3005" t="s">
        <v>3300</v>
      </c>
      <c r="C230" s="3000" t="s">
        <v>3270</v>
      </c>
      <c r="D230" s="3002" t="s">
        <v>3257</v>
      </c>
      <c r="E230" s="3000" t="s">
        <v>70</v>
      </c>
      <c r="F230" s="3002">
        <v>106</v>
      </c>
      <c r="G230" s="3000">
        <v>69.09</v>
      </c>
      <c r="H230" s="3001" t="s">
        <v>3055</v>
      </c>
    </row>
    <row r="231" spans="1:8" ht="14.25" thickBot="1">
      <c r="A231" s="2999">
        <v>230</v>
      </c>
      <c r="B231" s="3005" t="s">
        <v>3300</v>
      </c>
      <c r="C231" s="3000" t="s">
        <v>3270</v>
      </c>
      <c r="D231" s="3002" t="s">
        <v>3257</v>
      </c>
      <c r="E231" s="3000" t="s">
        <v>70</v>
      </c>
      <c r="F231" s="3002">
        <v>107</v>
      </c>
      <c r="G231" s="3000">
        <v>65.66</v>
      </c>
      <c r="H231" s="3001" t="s">
        <v>3055</v>
      </c>
    </row>
    <row r="232" spans="1:8" ht="14.25" thickBot="1">
      <c r="A232" s="2999">
        <v>231</v>
      </c>
      <c r="B232" s="3005" t="s">
        <v>3300</v>
      </c>
      <c r="C232" s="3000" t="s">
        <v>3270</v>
      </c>
      <c r="D232" s="3002" t="s">
        <v>3260</v>
      </c>
      <c r="E232" s="3000" t="s">
        <v>70</v>
      </c>
      <c r="F232" s="3002">
        <v>201</v>
      </c>
      <c r="G232" s="3000">
        <v>93.94</v>
      </c>
      <c r="H232" s="3001" t="s">
        <v>3055</v>
      </c>
    </row>
    <row r="233" spans="1:8" ht="14.25" thickBot="1">
      <c r="A233" s="2999">
        <v>232</v>
      </c>
      <c r="B233" s="3005" t="s">
        <v>3300</v>
      </c>
      <c r="C233" s="3000" t="s">
        <v>3270</v>
      </c>
      <c r="D233" s="3002" t="s">
        <v>3260</v>
      </c>
      <c r="E233" s="3000" t="s">
        <v>70</v>
      </c>
      <c r="F233" s="3002">
        <v>202</v>
      </c>
      <c r="G233" s="3000">
        <v>69.09</v>
      </c>
      <c r="H233" s="3001" t="s">
        <v>3055</v>
      </c>
    </row>
    <row r="234" spans="1:8" ht="14.25" thickBot="1">
      <c r="A234" s="2999">
        <v>233</v>
      </c>
      <c r="B234" s="3005" t="s">
        <v>3300</v>
      </c>
      <c r="C234" s="3000" t="s">
        <v>3270</v>
      </c>
      <c r="D234" s="3002" t="s">
        <v>3260</v>
      </c>
      <c r="E234" s="3000" t="s">
        <v>70</v>
      </c>
      <c r="F234" s="3002">
        <v>203</v>
      </c>
      <c r="G234" s="3000">
        <v>69.03</v>
      </c>
      <c r="H234" s="3001" t="s">
        <v>3055</v>
      </c>
    </row>
    <row r="235" spans="1:8" ht="14.25" thickBot="1">
      <c r="A235" s="2999">
        <v>234</v>
      </c>
      <c r="B235" s="3005" t="s">
        <v>3300</v>
      </c>
      <c r="C235" s="3000" t="s">
        <v>3270</v>
      </c>
      <c r="D235" s="3002" t="s">
        <v>3260</v>
      </c>
      <c r="E235" s="3000" t="s">
        <v>70</v>
      </c>
      <c r="F235" s="3002">
        <v>205</v>
      </c>
      <c r="G235" s="3000">
        <v>69.03</v>
      </c>
      <c r="H235" s="3001" t="s">
        <v>3055</v>
      </c>
    </row>
    <row r="236" spans="1:8" ht="14.25" thickBot="1">
      <c r="A236" s="2999">
        <v>235</v>
      </c>
      <c r="B236" s="3005" t="s">
        <v>3300</v>
      </c>
      <c r="C236" s="3000" t="s">
        <v>3270</v>
      </c>
      <c r="D236" s="3002" t="s">
        <v>3260</v>
      </c>
      <c r="E236" s="3000" t="s">
        <v>70</v>
      </c>
      <c r="F236" s="3002">
        <v>206</v>
      </c>
      <c r="G236" s="3000">
        <v>69.09</v>
      </c>
      <c r="H236" s="3001" t="s">
        <v>3055</v>
      </c>
    </row>
    <row r="237" spans="1:8" ht="14.25" thickBot="1">
      <c r="A237" s="2999">
        <v>236</v>
      </c>
      <c r="B237" s="3005" t="s">
        <v>3300</v>
      </c>
      <c r="C237" s="3000" t="s">
        <v>3270</v>
      </c>
      <c r="D237" s="3002" t="s">
        <v>3260</v>
      </c>
      <c r="E237" s="3000" t="s">
        <v>70</v>
      </c>
      <c r="F237" s="3002">
        <v>207</v>
      </c>
      <c r="G237" s="3000">
        <v>65.66</v>
      </c>
      <c r="H237" s="3001" t="s">
        <v>3055</v>
      </c>
    </row>
    <row r="238" spans="1:8" ht="14.25" thickBot="1">
      <c r="A238" s="2999">
        <v>237</v>
      </c>
      <c r="B238" s="3005" t="s">
        <v>3300</v>
      </c>
      <c r="C238" s="3000" t="s">
        <v>3270</v>
      </c>
      <c r="D238" s="3002" t="s">
        <v>3261</v>
      </c>
      <c r="E238" s="3000" t="s">
        <v>70</v>
      </c>
      <c r="F238" s="3002">
        <v>301</v>
      </c>
      <c r="G238" s="3000">
        <v>93.94</v>
      </c>
      <c r="H238" s="3001" t="s">
        <v>3055</v>
      </c>
    </row>
    <row r="239" spans="1:8" ht="14.25" thickBot="1">
      <c r="A239" s="2999">
        <v>238</v>
      </c>
      <c r="B239" s="3005" t="s">
        <v>3300</v>
      </c>
      <c r="C239" s="3000" t="s">
        <v>3270</v>
      </c>
      <c r="D239" s="3002" t="s">
        <v>3261</v>
      </c>
      <c r="E239" s="3000" t="s">
        <v>70</v>
      </c>
      <c r="F239" s="3002">
        <v>302</v>
      </c>
      <c r="G239" s="3000">
        <v>69.09</v>
      </c>
      <c r="H239" s="3001" t="s">
        <v>3055</v>
      </c>
    </row>
    <row r="240" spans="1:8" ht="14.25" thickBot="1">
      <c r="A240" s="2999">
        <v>239</v>
      </c>
      <c r="B240" s="3005" t="s">
        <v>3300</v>
      </c>
      <c r="C240" s="3000" t="s">
        <v>3270</v>
      </c>
      <c r="D240" s="3002" t="s">
        <v>3261</v>
      </c>
      <c r="E240" s="3000" t="s">
        <v>70</v>
      </c>
      <c r="F240" s="3002">
        <v>303</v>
      </c>
      <c r="G240" s="3000">
        <v>69.03</v>
      </c>
      <c r="H240" s="3001" t="s">
        <v>3055</v>
      </c>
    </row>
    <row r="241" spans="1:8" ht="14.25" thickBot="1">
      <c r="A241" s="2999">
        <v>240</v>
      </c>
      <c r="B241" s="3005" t="s">
        <v>3300</v>
      </c>
      <c r="C241" s="3000" t="s">
        <v>3270</v>
      </c>
      <c r="D241" s="3002" t="s">
        <v>3261</v>
      </c>
      <c r="E241" s="3000" t="s">
        <v>70</v>
      </c>
      <c r="F241" s="3002">
        <v>305</v>
      </c>
      <c r="G241" s="3000">
        <v>69.03</v>
      </c>
      <c r="H241" s="3001" t="s">
        <v>3055</v>
      </c>
    </row>
    <row r="242" spans="1:8" ht="14.25" thickBot="1">
      <c r="A242" s="2999">
        <v>241</v>
      </c>
      <c r="B242" s="3005" t="s">
        <v>3300</v>
      </c>
      <c r="C242" s="3000" t="s">
        <v>3270</v>
      </c>
      <c r="D242" s="3002" t="s">
        <v>3261</v>
      </c>
      <c r="E242" s="3000" t="s">
        <v>70</v>
      </c>
      <c r="F242" s="3002">
        <v>306</v>
      </c>
      <c r="G242" s="3000">
        <v>69.09</v>
      </c>
      <c r="H242" s="3001" t="s">
        <v>3055</v>
      </c>
    </row>
    <row r="243" spans="1:8" ht="14.25" thickBot="1">
      <c r="A243" s="2999">
        <v>242</v>
      </c>
      <c r="B243" s="3005" t="s">
        <v>3300</v>
      </c>
      <c r="C243" s="3000" t="s">
        <v>3270</v>
      </c>
      <c r="D243" s="3002" t="s">
        <v>3261</v>
      </c>
      <c r="E243" s="3000" t="s">
        <v>70</v>
      </c>
      <c r="F243" s="3002">
        <v>307</v>
      </c>
      <c r="G243" s="3000">
        <v>65.66</v>
      </c>
      <c r="H243" s="3001" t="s">
        <v>3055</v>
      </c>
    </row>
    <row r="244" spans="1:8" ht="14.25" thickBot="1">
      <c r="A244" s="2999">
        <v>243</v>
      </c>
      <c r="B244" s="3005" t="s">
        <v>3300</v>
      </c>
      <c r="C244" s="3000" t="s">
        <v>3270</v>
      </c>
      <c r="D244" s="3002" t="s">
        <v>3262</v>
      </c>
      <c r="E244" s="3000" t="s">
        <v>70</v>
      </c>
      <c r="F244" s="3002" t="s">
        <v>3145</v>
      </c>
      <c r="G244" s="3000">
        <v>93.94</v>
      </c>
      <c r="H244" s="3001" t="s">
        <v>3055</v>
      </c>
    </row>
    <row r="245" spans="1:8" ht="14.25" thickBot="1">
      <c r="A245" s="2999">
        <v>244</v>
      </c>
      <c r="B245" s="3005" t="s">
        <v>3300</v>
      </c>
      <c r="C245" s="3000" t="s">
        <v>3270</v>
      </c>
      <c r="D245" s="3002" t="s">
        <v>3262</v>
      </c>
      <c r="E245" s="3000" t="s">
        <v>70</v>
      </c>
      <c r="F245" s="3002" t="s">
        <v>3146</v>
      </c>
      <c r="G245" s="3000">
        <v>69.09</v>
      </c>
      <c r="H245" s="3001" t="s">
        <v>3055</v>
      </c>
    </row>
    <row r="246" spans="1:8" ht="14.25" thickBot="1">
      <c r="A246" s="2999">
        <v>245</v>
      </c>
      <c r="B246" s="3005" t="s">
        <v>3300</v>
      </c>
      <c r="C246" s="3000" t="s">
        <v>3270</v>
      </c>
      <c r="D246" s="3002" t="s">
        <v>3262</v>
      </c>
      <c r="E246" s="3000" t="s">
        <v>70</v>
      </c>
      <c r="F246" s="3002" t="s">
        <v>3147</v>
      </c>
      <c r="G246" s="3000">
        <v>69.03</v>
      </c>
      <c r="H246" s="3001" t="s">
        <v>3055</v>
      </c>
    </row>
    <row r="247" spans="1:8" ht="14.25" thickBot="1">
      <c r="A247" s="2999">
        <v>246</v>
      </c>
      <c r="B247" s="3005" t="s">
        <v>3300</v>
      </c>
      <c r="C247" s="3000" t="s">
        <v>3270</v>
      </c>
      <c r="D247" s="3002" t="s">
        <v>3262</v>
      </c>
      <c r="E247" s="3000" t="s">
        <v>70</v>
      </c>
      <c r="F247" s="3002" t="s">
        <v>3148</v>
      </c>
      <c r="G247" s="3000">
        <v>69.03</v>
      </c>
      <c r="H247" s="3001" t="s">
        <v>3055</v>
      </c>
    </row>
    <row r="248" spans="1:8" ht="14.25" thickBot="1">
      <c r="A248" s="2999">
        <v>247</v>
      </c>
      <c r="B248" s="3005" t="s">
        <v>3300</v>
      </c>
      <c r="C248" s="3000" t="s">
        <v>3270</v>
      </c>
      <c r="D248" s="3002" t="s">
        <v>3262</v>
      </c>
      <c r="E248" s="3000" t="s">
        <v>70</v>
      </c>
      <c r="F248" s="3002" t="s">
        <v>3149</v>
      </c>
      <c r="G248" s="3000">
        <v>69.09</v>
      </c>
      <c r="H248" s="3001" t="s">
        <v>3055</v>
      </c>
    </row>
    <row r="249" spans="1:8" ht="14.25" thickBot="1">
      <c r="A249" s="2999">
        <v>248</v>
      </c>
      <c r="B249" s="3005" t="s">
        <v>3300</v>
      </c>
      <c r="C249" s="3000" t="s">
        <v>3270</v>
      </c>
      <c r="D249" s="3002" t="s">
        <v>3262</v>
      </c>
      <c r="E249" s="3000" t="s">
        <v>70</v>
      </c>
      <c r="F249" s="3002" t="s">
        <v>3150</v>
      </c>
      <c r="G249" s="3000">
        <v>65.66</v>
      </c>
      <c r="H249" s="3001" t="s">
        <v>3055</v>
      </c>
    </row>
    <row r="250" spans="1:8" ht="14.25" thickBot="1">
      <c r="A250" s="2999">
        <v>249</v>
      </c>
      <c r="B250" s="3005" t="s">
        <v>3300</v>
      </c>
      <c r="C250" s="3000" t="s">
        <v>3270</v>
      </c>
      <c r="D250" s="3002" t="s">
        <v>3263</v>
      </c>
      <c r="E250" s="3000" t="s">
        <v>70</v>
      </c>
      <c r="F250" s="3002">
        <v>501</v>
      </c>
      <c r="G250" s="3000">
        <v>93.94</v>
      </c>
      <c r="H250" s="3001" t="s">
        <v>3055</v>
      </c>
    </row>
    <row r="251" spans="1:8" ht="14.25" thickBot="1">
      <c r="A251" s="2999">
        <v>250</v>
      </c>
      <c r="B251" s="3005" t="s">
        <v>3300</v>
      </c>
      <c r="C251" s="3000" t="s">
        <v>3270</v>
      </c>
      <c r="D251" s="3002" t="s">
        <v>3263</v>
      </c>
      <c r="E251" s="3000" t="s">
        <v>70</v>
      </c>
      <c r="F251" s="3002">
        <v>502</v>
      </c>
      <c r="G251" s="3000">
        <v>69.09</v>
      </c>
      <c r="H251" s="3001" t="s">
        <v>3055</v>
      </c>
    </row>
    <row r="252" spans="1:8" ht="14.25" thickBot="1">
      <c r="A252" s="2999">
        <v>251</v>
      </c>
      <c r="B252" s="3005" t="s">
        <v>3300</v>
      </c>
      <c r="C252" s="3000" t="s">
        <v>3270</v>
      </c>
      <c r="D252" s="3002" t="s">
        <v>3263</v>
      </c>
      <c r="E252" s="3000" t="s">
        <v>70</v>
      </c>
      <c r="F252" s="3002">
        <v>503</v>
      </c>
      <c r="G252" s="3000">
        <v>69.03</v>
      </c>
      <c r="H252" s="3001" t="s">
        <v>3055</v>
      </c>
    </row>
    <row r="253" spans="1:8" ht="14.25" thickBot="1">
      <c r="A253" s="2999">
        <v>252</v>
      </c>
      <c r="B253" s="3005" t="s">
        <v>3300</v>
      </c>
      <c r="C253" s="3000" t="s">
        <v>3270</v>
      </c>
      <c r="D253" s="3002" t="s">
        <v>3263</v>
      </c>
      <c r="E253" s="3000" t="s">
        <v>70</v>
      </c>
      <c r="F253" s="3002">
        <v>505</v>
      </c>
      <c r="G253" s="3000">
        <v>69.03</v>
      </c>
      <c r="H253" s="3001" t="s">
        <v>3055</v>
      </c>
    </row>
    <row r="254" spans="1:8" ht="14.25" thickBot="1">
      <c r="A254" s="2999">
        <v>253</v>
      </c>
      <c r="B254" s="3005" t="s">
        <v>3300</v>
      </c>
      <c r="C254" s="3000" t="s">
        <v>3270</v>
      </c>
      <c r="D254" s="3002" t="s">
        <v>3263</v>
      </c>
      <c r="E254" s="3000" t="s">
        <v>70</v>
      </c>
      <c r="F254" s="3002">
        <v>506</v>
      </c>
      <c r="G254" s="3000">
        <v>69.09</v>
      </c>
      <c r="H254" s="3001" t="s">
        <v>3055</v>
      </c>
    </row>
    <row r="255" spans="1:8" ht="14.25" thickBot="1">
      <c r="A255" s="2999">
        <v>254</v>
      </c>
      <c r="B255" s="3005" t="s">
        <v>3300</v>
      </c>
      <c r="C255" s="3000" t="s">
        <v>3270</v>
      </c>
      <c r="D255" s="3002" t="s">
        <v>3263</v>
      </c>
      <c r="E255" s="3000" t="s">
        <v>70</v>
      </c>
      <c r="F255" s="3002">
        <v>507</v>
      </c>
      <c r="G255" s="3000">
        <v>65.66</v>
      </c>
      <c r="H255" s="3001" t="s">
        <v>3055</v>
      </c>
    </row>
    <row r="256" spans="1:8" ht="14.25" thickBot="1">
      <c r="A256" s="2999">
        <v>255</v>
      </c>
      <c r="B256" s="3005" t="s">
        <v>3300</v>
      </c>
      <c r="C256" s="3000" t="s">
        <v>3270</v>
      </c>
      <c r="D256" s="3002" t="s">
        <v>3264</v>
      </c>
      <c r="E256" s="3000" t="s">
        <v>70</v>
      </c>
      <c r="F256" s="3002">
        <v>601</v>
      </c>
      <c r="G256" s="3000">
        <v>93.94</v>
      </c>
      <c r="H256" s="3001" t="s">
        <v>3055</v>
      </c>
    </row>
    <row r="257" spans="1:8" ht="14.25" thickBot="1">
      <c r="A257" s="2999">
        <v>256</v>
      </c>
      <c r="B257" s="3005" t="s">
        <v>3300</v>
      </c>
      <c r="C257" s="3000" t="s">
        <v>3270</v>
      </c>
      <c r="D257" s="3002" t="s">
        <v>3264</v>
      </c>
      <c r="E257" s="3000" t="s">
        <v>70</v>
      </c>
      <c r="F257" s="3002">
        <v>602</v>
      </c>
      <c r="G257" s="3000">
        <v>69.09</v>
      </c>
      <c r="H257" s="3001" t="s">
        <v>3055</v>
      </c>
    </row>
    <row r="258" spans="1:8" ht="14.25" thickBot="1">
      <c r="A258" s="2999">
        <v>257</v>
      </c>
      <c r="B258" s="3005" t="s">
        <v>3300</v>
      </c>
      <c r="C258" s="3000" t="s">
        <v>3270</v>
      </c>
      <c r="D258" s="3002" t="s">
        <v>3264</v>
      </c>
      <c r="E258" s="3000" t="s">
        <v>70</v>
      </c>
      <c r="F258" s="3002">
        <v>603</v>
      </c>
      <c r="G258" s="3000">
        <v>69.03</v>
      </c>
      <c r="H258" s="3001" t="s">
        <v>3055</v>
      </c>
    </row>
    <row r="259" spans="1:8" ht="14.25" thickBot="1">
      <c r="A259" s="2999">
        <v>258</v>
      </c>
      <c r="B259" s="3005" t="s">
        <v>3300</v>
      </c>
      <c r="C259" s="3000" t="s">
        <v>3270</v>
      </c>
      <c r="D259" s="3002" t="s">
        <v>3264</v>
      </c>
      <c r="E259" s="3000" t="s">
        <v>70</v>
      </c>
      <c r="F259" s="3002">
        <v>605</v>
      </c>
      <c r="G259" s="3000">
        <v>69.03</v>
      </c>
      <c r="H259" s="3001" t="s">
        <v>3055</v>
      </c>
    </row>
    <row r="260" spans="1:8" ht="14.25" thickBot="1">
      <c r="A260" s="2999">
        <v>259</v>
      </c>
      <c r="B260" s="3005" t="s">
        <v>3300</v>
      </c>
      <c r="C260" s="3000" t="s">
        <v>3270</v>
      </c>
      <c r="D260" s="3002" t="s">
        <v>3264</v>
      </c>
      <c r="E260" s="3000" t="s">
        <v>70</v>
      </c>
      <c r="F260" s="3002">
        <v>606</v>
      </c>
      <c r="G260" s="3000">
        <v>69.09</v>
      </c>
      <c r="H260" s="3001" t="s">
        <v>3055</v>
      </c>
    </row>
    <row r="261" spans="1:8" ht="14.25" thickBot="1">
      <c r="A261" s="2999">
        <v>260</v>
      </c>
      <c r="B261" s="3005" t="s">
        <v>3300</v>
      </c>
      <c r="C261" s="3000" t="s">
        <v>3270</v>
      </c>
      <c r="D261" s="3002" t="s">
        <v>3264</v>
      </c>
      <c r="E261" s="3000" t="s">
        <v>70</v>
      </c>
      <c r="F261" s="3002">
        <v>607</v>
      </c>
      <c r="G261" s="3000">
        <v>65.66</v>
      </c>
      <c r="H261" s="3001" t="s">
        <v>3055</v>
      </c>
    </row>
    <row r="262" spans="1:8" ht="14.25" hidden="1" thickBot="1">
      <c r="A262" s="2999">
        <v>261</v>
      </c>
      <c r="B262" s="3005" t="s">
        <v>3299</v>
      </c>
      <c r="C262" s="3000" t="s">
        <v>3271</v>
      </c>
      <c r="D262" s="3000" t="s">
        <v>3257</v>
      </c>
      <c r="E262" s="3000" t="s">
        <v>3258</v>
      </c>
      <c r="F262" s="3000">
        <v>102</v>
      </c>
      <c r="G262" s="3000">
        <v>69.77</v>
      </c>
      <c r="H262" s="3001" t="s">
        <v>3055</v>
      </c>
    </row>
    <row r="263" spans="1:8" ht="14.25" hidden="1" thickBot="1">
      <c r="A263" s="2999">
        <v>262</v>
      </c>
      <c r="B263" s="3005" t="s">
        <v>3299</v>
      </c>
      <c r="C263" s="3000" t="s">
        <v>3271</v>
      </c>
      <c r="D263" s="3000" t="s">
        <v>3257</v>
      </c>
      <c r="E263" s="3000" t="s">
        <v>3258</v>
      </c>
      <c r="F263" s="3000">
        <v>105</v>
      </c>
      <c r="G263" s="3000">
        <v>69.94</v>
      </c>
      <c r="H263" s="3001" t="s">
        <v>3055</v>
      </c>
    </row>
    <row r="264" spans="1:8" ht="14.25" hidden="1" thickBot="1">
      <c r="A264" s="2999">
        <v>263</v>
      </c>
      <c r="B264" s="3005" t="s">
        <v>3299</v>
      </c>
      <c r="C264" s="3000" t="s">
        <v>3271</v>
      </c>
      <c r="D264" s="3000" t="s">
        <v>3257</v>
      </c>
      <c r="E264" s="3000" t="s">
        <v>3258</v>
      </c>
      <c r="F264" s="3000">
        <v>106</v>
      </c>
      <c r="G264" s="3000">
        <v>69.77</v>
      </c>
      <c r="H264" s="3001" t="s">
        <v>3055</v>
      </c>
    </row>
    <row r="265" spans="1:8" ht="14.25" hidden="1" thickBot="1">
      <c r="A265" s="2999">
        <v>264</v>
      </c>
      <c r="B265" s="3005" t="s">
        <v>3299</v>
      </c>
      <c r="C265" s="3000" t="s">
        <v>3271</v>
      </c>
      <c r="D265" s="3000" t="s">
        <v>3257</v>
      </c>
      <c r="E265" s="3000" t="s">
        <v>3258</v>
      </c>
      <c r="F265" s="3000">
        <v>107</v>
      </c>
      <c r="G265" s="3000">
        <v>66.28</v>
      </c>
      <c r="H265" s="3001" t="s">
        <v>3055</v>
      </c>
    </row>
    <row r="266" spans="1:8" ht="14.25" hidden="1" thickBot="1">
      <c r="A266" s="2999">
        <v>265</v>
      </c>
      <c r="B266" s="3005" t="s">
        <v>3299</v>
      </c>
      <c r="C266" s="3000" t="s">
        <v>3271</v>
      </c>
      <c r="D266" s="3000" t="s">
        <v>3260</v>
      </c>
      <c r="E266" s="3000" t="s">
        <v>3258</v>
      </c>
      <c r="F266" s="3000">
        <v>202</v>
      </c>
      <c r="G266" s="3000">
        <v>69.77</v>
      </c>
      <c r="H266" s="3001" t="s">
        <v>3055</v>
      </c>
    </row>
    <row r="267" spans="1:8" ht="14.25" hidden="1" thickBot="1">
      <c r="A267" s="2999">
        <v>266</v>
      </c>
      <c r="B267" s="3005" t="s">
        <v>3299</v>
      </c>
      <c r="C267" s="3000" t="s">
        <v>3271</v>
      </c>
      <c r="D267" s="3000" t="s">
        <v>3260</v>
      </c>
      <c r="E267" s="3000" t="s">
        <v>3258</v>
      </c>
      <c r="F267" s="3000">
        <v>203</v>
      </c>
      <c r="G267" s="3000">
        <v>69.94</v>
      </c>
      <c r="H267" s="3001" t="s">
        <v>3055</v>
      </c>
    </row>
    <row r="268" spans="1:8" ht="14.25" hidden="1" thickBot="1">
      <c r="A268" s="2999">
        <v>267</v>
      </c>
      <c r="B268" s="3005" t="s">
        <v>3299</v>
      </c>
      <c r="C268" s="3000" t="s">
        <v>3271</v>
      </c>
      <c r="D268" s="3000" t="s">
        <v>3260</v>
      </c>
      <c r="E268" s="3000" t="s">
        <v>3258</v>
      </c>
      <c r="F268" s="3000">
        <v>205</v>
      </c>
      <c r="G268" s="3000">
        <v>69.94</v>
      </c>
      <c r="H268" s="3001" t="s">
        <v>3055</v>
      </c>
    </row>
    <row r="269" spans="1:8" ht="14.25" hidden="1" thickBot="1">
      <c r="A269" s="2999">
        <v>268</v>
      </c>
      <c r="B269" s="3005" t="s">
        <v>3299</v>
      </c>
      <c r="C269" s="3000" t="s">
        <v>3271</v>
      </c>
      <c r="D269" s="3000" t="s">
        <v>3260</v>
      </c>
      <c r="E269" s="3000" t="s">
        <v>3259</v>
      </c>
      <c r="F269" s="3000">
        <v>203</v>
      </c>
      <c r="G269" s="3000">
        <v>69.94</v>
      </c>
      <c r="H269" s="3001" t="s">
        <v>3055</v>
      </c>
    </row>
    <row r="270" spans="1:8" ht="14.25" hidden="1" thickBot="1">
      <c r="A270" s="2999">
        <v>269</v>
      </c>
      <c r="B270" s="3005" t="s">
        <v>3299</v>
      </c>
      <c r="C270" s="3000" t="s">
        <v>3271</v>
      </c>
      <c r="D270" s="3000" t="s">
        <v>3261</v>
      </c>
      <c r="E270" s="3000" t="s">
        <v>3258</v>
      </c>
      <c r="F270" s="3000">
        <v>302</v>
      </c>
      <c r="G270" s="3000">
        <v>69.77</v>
      </c>
      <c r="H270" s="3001" t="s">
        <v>3055</v>
      </c>
    </row>
    <row r="271" spans="1:8" ht="14.25" hidden="1" thickBot="1">
      <c r="A271" s="2999">
        <v>270</v>
      </c>
      <c r="B271" s="3005" t="s">
        <v>3299</v>
      </c>
      <c r="C271" s="3000" t="s">
        <v>3271</v>
      </c>
      <c r="D271" s="3000" t="s">
        <v>3261</v>
      </c>
      <c r="E271" s="3000" t="s">
        <v>3258</v>
      </c>
      <c r="F271" s="3000">
        <v>303</v>
      </c>
      <c r="G271" s="3000">
        <v>69.94</v>
      </c>
      <c r="H271" s="3001" t="s">
        <v>3055</v>
      </c>
    </row>
    <row r="272" spans="1:8" ht="14.25" hidden="1" thickBot="1">
      <c r="A272" s="2999">
        <v>271</v>
      </c>
      <c r="B272" s="3005" t="s">
        <v>3299</v>
      </c>
      <c r="C272" s="3000" t="s">
        <v>3271</v>
      </c>
      <c r="D272" s="3000" t="s">
        <v>3261</v>
      </c>
      <c r="E272" s="3000" t="s">
        <v>3258</v>
      </c>
      <c r="F272" s="3000">
        <v>305</v>
      </c>
      <c r="G272" s="3000">
        <v>69.94</v>
      </c>
      <c r="H272" s="3001" t="s">
        <v>3055</v>
      </c>
    </row>
    <row r="273" spans="1:8" ht="14.25" hidden="1" thickBot="1">
      <c r="A273" s="2999">
        <v>272</v>
      </c>
      <c r="B273" s="3005" t="s">
        <v>3299</v>
      </c>
      <c r="C273" s="3000" t="s">
        <v>3271</v>
      </c>
      <c r="D273" s="3000" t="s">
        <v>3261</v>
      </c>
      <c r="E273" s="3000" t="s">
        <v>3258</v>
      </c>
      <c r="F273" s="3000">
        <v>306</v>
      </c>
      <c r="G273" s="3000">
        <v>69.77</v>
      </c>
      <c r="H273" s="3001" t="s">
        <v>3055</v>
      </c>
    </row>
    <row r="274" spans="1:8" ht="14.25" hidden="1" thickBot="1">
      <c r="A274" s="2999">
        <v>273</v>
      </c>
      <c r="B274" s="3005" t="s">
        <v>3299</v>
      </c>
      <c r="C274" s="3000" t="s">
        <v>3271</v>
      </c>
      <c r="D274" s="3000" t="s">
        <v>3261</v>
      </c>
      <c r="E274" s="3000" t="s">
        <v>3258</v>
      </c>
      <c r="F274" s="3000">
        <v>307</v>
      </c>
      <c r="G274" s="3000">
        <v>66.28</v>
      </c>
      <c r="H274" s="3001" t="s">
        <v>3055</v>
      </c>
    </row>
    <row r="275" spans="1:8" ht="14.25" hidden="1" thickBot="1">
      <c r="A275" s="2999">
        <v>274</v>
      </c>
      <c r="B275" s="3005" t="s">
        <v>3299</v>
      </c>
      <c r="C275" s="3000" t="s">
        <v>3271</v>
      </c>
      <c r="D275" s="3000" t="s">
        <v>3261</v>
      </c>
      <c r="E275" s="3000" t="s">
        <v>3259</v>
      </c>
      <c r="F275" s="3000">
        <v>302</v>
      </c>
      <c r="G275" s="3000">
        <v>69.77</v>
      </c>
      <c r="H275" s="3001" t="s">
        <v>3055</v>
      </c>
    </row>
    <row r="276" spans="1:8" ht="14.25" hidden="1" thickBot="1">
      <c r="A276" s="2999">
        <v>275</v>
      </c>
      <c r="B276" s="3005" t="s">
        <v>3299</v>
      </c>
      <c r="C276" s="3000" t="s">
        <v>3271</v>
      </c>
      <c r="D276" s="3000" t="s">
        <v>3261</v>
      </c>
      <c r="E276" s="3000" t="s">
        <v>3259</v>
      </c>
      <c r="F276" s="3000">
        <v>303</v>
      </c>
      <c r="G276" s="3000">
        <v>69.94</v>
      </c>
      <c r="H276" s="3001" t="s">
        <v>3055</v>
      </c>
    </row>
    <row r="277" spans="1:8" ht="14.25" hidden="1" thickBot="1">
      <c r="A277" s="2999">
        <v>276</v>
      </c>
      <c r="B277" s="3005" t="s">
        <v>3299</v>
      </c>
      <c r="C277" s="3000" t="s">
        <v>3271</v>
      </c>
      <c r="D277" s="3000" t="s">
        <v>3261</v>
      </c>
      <c r="E277" s="3000" t="s">
        <v>3259</v>
      </c>
      <c r="F277" s="3000">
        <v>306</v>
      </c>
      <c r="G277" s="3000">
        <v>69.77</v>
      </c>
      <c r="H277" s="3001" t="s">
        <v>3055</v>
      </c>
    </row>
    <row r="278" spans="1:8" ht="14.25" hidden="1" thickBot="1">
      <c r="A278" s="2999">
        <v>277</v>
      </c>
      <c r="B278" s="3005" t="s">
        <v>3299</v>
      </c>
      <c r="C278" s="3000" t="s">
        <v>3271</v>
      </c>
      <c r="D278" s="3000" t="s">
        <v>3261</v>
      </c>
      <c r="E278" s="3000" t="s">
        <v>3259</v>
      </c>
      <c r="F278" s="3000">
        <v>307</v>
      </c>
      <c r="G278" s="3000">
        <v>66.28</v>
      </c>
      <c r="H278" s="3001" t="s">
        <v>3055</v>
      </c>
    </row>
    <row r="279" spans="1:8" ht="14.25" hidden="1" thickBot="1">
      <c r="A279" s="2999">
        <v>278</v>
      </c>
      <c r="B279" s="3005" t="s">
        <v>3299</v>
      </c>
      <c r="C279" s="3000" t="s">
        <v>3271</v>
      </c>
      <c r="D279" s="3000" t="s">
        <v>3262</v>
      </c>
      <c r="E279" s="3000" t="s">
        <v>3258</v>
      </c>
      <c r="F279" s="3000" t="s">
        <v>3146</v>
      </c>
      <c r="G279" s="3000">
        <v>69.77</v>
      </c>
      <c r="H279" s="3001" t="s">
        <v>3055</v>
      </c>
    </row>
    <row r="280" spans="1:8" ht="14.25" hidden="1" thickBot="1">
      <c r="A280" s="2999">
        <v>279</v>
      </c>
      <c r="B280" s="3005" t="s">
        <v>3299</v>
      </c>
      <c r="C280" s="3000" t="s">
        <v>3271</v>
      </c>
      <c r="D280" s="3000" t="s">
        <v>3262</v>
      </c>
      <c r="E280" s="3000" t="s">
        <v>3258</v>
      </c>
      <c r="F280" s="3000" t="s">
        <v>3147</v>
      </c>
      <c r="G280" s="3000">
        <v>69.94</v>
      </c>
      <c r="H280" s="3001" t="s">
        <v>3055</v>
      </c>
    </row>
    <row r="281" spans="1:8" ht="14.25" hidden="1" thickBot="1">
      <c r="A281" s="2999">
        <v>280</v>
      </c>
      <c r="B281" s="3005" t="s">
        <v>3299</v>
      </c>
      <c r="C281" s="3000" t="s">
        <v>3271</v>
      </c>
      <c r="D281" s="3000" t="s">
        <v>3262</v>
      </c>
      <c r="E281" s="3000" t="s">
        <v>3258</v>
      </c>
      <c r="F281" s="3000" t="s">
        <v>3148</v>
      </c>
      <c r="G281" s="3000">
        <v>69.94</v>
      </c>
      <c r="H281" s="3001" t="s">
        <v>3055</v>
      </c>
    </row>
    <row r="282" spans="1:8" ht="14.25" hidden="1" thickBot="1">
      <c r="A282" s="2999">
        <v>281</v>
      </c>
      <c r="B282" s="3005" t="s">
        <v>3299</v>
      </c>
      <c r="C282" s="3000" t="s">
        <v>3271</v>
      </c>
      <c r="D282" s="3000" t="s">
        <v>3262</v>
      </c>
      <c r="E282" s="3000" t="s">
        <v>3258</v>
      </c>
      <c r="F282" s="3000" t="s">
        <v>3150</v>
      </c>
      <c r="G282" s="3000">
        <v>66.28</v>
      </c>
      <c r="H282" s="3001" t="s">
        <v>3055</v>
      </c>
    </row>
    <row r="283" spans="1:8" ht="14.25" hidden="1" thickBot="1">
      <c r="A283" s="2999">
        <v>282</v>
      </c>
      <c r="B283" s="3005" t="s">
        <v>3299</v>
      </c>
      <c r="C283" s="3000" t="s">
        <v>3271</v>
      </c>
      <c r="D283" s="3000" t="s">
        <v>3262</v>
      </c>
      <c r="E283" s="3000" t="s">
        <v>3259</v>
      </c>
      <c r="F283" s="3000" t="s">
        <v>3145</v>
      </c>
      <c r="G283" s="3000">
        <v>66.28</v>
      </c>
      <c r="H283" s="3001" t="s">
        <v>3055</v>
      </c>
    </row>
    <row r="284" spans="1:8" ht="14.25" hidden="1" thickBot="1">
      <c r="A284" s="2999">
        <v>283</v>
      </c>
      <c r="B284" s="3005" t="s">
        <v>3299</v>
      </c>
      <c r="C284" s="3000" t="s">
        <v>3271</v>
      </c>
      <c r="D284" s="3000" t="s">
        <v>3262</v>
      </c>
      <c r="E284" s="3000" t="s">
        <v>3259</v>
      </c>
      <c r="F284" s="3000" t="s">
        <v>3146</v>
      </c>
      <c r="G284" s="3000">
        <v>69.77</v>
      </c>
      <c r="H284" s="3001" t="s">
        <v>3055</v>
      </c>
    </row>
    <row r="285" spans="1:8" ht="14.25" hidden="1" thickBot="1">
      <c r="A285" s="2999">
        <v>284</v>
      </c>
      <c r="B285" s="3005" t="s">
        <v>3299</v>
      </c>
      <c r="C285" s="3000" t="s">
        <v>3271</v>
      </c>
      <c r="D285" s="3000" t="s">
        <v>3262</v>
      </c>
      <c r="E285" s="3000" t="s">
        <v>3259</v>
      </c>
      <c r="F285" s="3000" t="s">
        <v>3147</v>
      </c>
      <c r="G285" s="3000">
        <v>69.94</v>
      </c>
      <c r="H285" s="3001" t="s">
        <v>3055</v>
      </c>
    </row>
    <row r="286" spans="1:8" ht="14.25" hidden="1" thickBot="1">
      <c r="A286" s="2999">
        <v>285</v>
      </c>
      <c r="B286" s="3005" t="s">
        <v>3299</v>
      </c>
      <c r="C286" s="3000" t="s">
        <v>3271</v>
      </c>
      <c r="D286" s="3000" t="s">
        <v>3262</v>
      </c>
      <c r="E286" s="3000" t="s">
        <v>3259</v>
      </c>
      <c r="F286" s="3000" t="s">
        <v>3148</v>
      </c>
      <c r="G286" s="3000">
        <v>69.94</v>
      </c>
      <c r="H286" s="3001" t="s">
        <v>3055</v>
      </c>
    </row>
    <row r="287" spans="1:8" ht="14.25" hidden="1" thickBot="1">
      <c r="A287" s="2999">
        <v>286</v>
      </c>
      <c r="B287" s="3005" t="s">
        <v>3299</v>
      </c>
      <c r="C287" s="3000" t="s">
        <v>3271</v>
      </c>
      <c r="D287" s="3000" t="s">
        <v>3262</v>
      </c>
      <c r="E287" s="3000" t="s">
        <v>3259</v>
      </c>
      <c r="F287" s="3000" t="s">
        <v>3150</v>
      </c>
      <c r="G287" s="3000">
        <v>66.28</v>
      </c>
      <c r="H287" s="3001" t="s">
        <v>3055</v>
      </c>
    </row>
    <row r="288" spans="1:8" ht="14.25" hidden="1" thickBot="1">
      <c r="A288" s="2999">
        <v>287</v>
      </c>
      <c r="B288" s="3005" t="s">
        <v>3299</v>
      </c>
      <c r="C288" s="3000" t="s">
        <v>3271</v>
      </c>
      <c r="D288" s="3000" t="s">
        <v>3263</v>
      </c>
      <c r="E288" s="3000" t="s">
        <v>3258</v>
      </c>
      <c r="F288" s="3000">
        <v>501</v>
      </c>
      <c r="G288" s="3000">
        <v>66.28</v>
      </c>
      <c r="H288" s="3001" t="s">
        <v>3055</v>
      </c>
    </row>
    <row r="289" spans="1:8" ht="14.25" hidden="1" thickBot="1">
      <c r="A289" s="2999">
        <v>288</v>
      </c>
      <c r="B289" s="3005" t="s">
        <v>3299</v>
      </c>
      <c r="C289" s="3000" t="s">
        <v>3271</v>
      </c>
      <c r="D289" s="3000" t="s">
        <v>3263</v>
      </c>
      <c r="E289" s="3000" t="s">
        <v>3258</v>
      </c>
      <c r="F289" s="3000">
        <v>505</v>
      </c>
      <c r="G289" s="3000">
        <v>69.94</v>
      </c>
      <c r="H289" s="3001" t="s">
        <v>3055</v>
      </c>
    </row>
    <row r="290" spans="1:8" ht="14.25" hidden="1" thickBot="1">
      <c r="A290" s="2999">
        <v>289</v>
      </c>
      <c r="B290" s="3005" t="s">
        <v>3299</v>
      </c>
      <c r="C290" s="3000" t="s">
        <v>3271</v>
      </c>
      <c r="D290" s="3000" t="s">
        <v>3263</v>
      </c>
      <c r="E290" s="3000" t="s">
        <v>3258</v>
      </c>
      <c r="F290" s="3000">
        <v>506</v>
      </c>
      <c r="G290" s="3000">
        <v>69.77</v>
      </c>
      <c r="H290" s="3001" t="s">
        <v>3055</v>
      </c>
    </row>
    <row r="291" spans="1:8" ht="14.25" hidden="1" thickBot="1">
      <c r="A291" s="2999">
        <v>290</v>
      </c>
      <c r="B291" s="3005" t="s">
        <v>3299</v>
      </c>
      <c r="C291" s="3000" t="s">
        <v>3271</v>
      </c>
      <c r="D291" s="3000" t="s">
        <v>3263</v>
      </c>
      <c r="E291" s="3000" t="s">
        <v>3258</v>
      </c>
      <c r="F291" s="3000">
        <v>507</v>
      </c>
      <c r="G291" s="3000">
        <v>66.28</v>
      </c>
      <c r="H291" s="3001" t="s">
        <v>3055</v>
      </c>
    </row>
    <row r="292" spans="1:8" ht="14.25" hidden="1" thickBot="1">
      <c r="A292" s="2999">
        <v>291</v>
      </c>
      <c r="B292" s="3005" t="s">
        <v>3299</v>
      </c>
      <c r="C292" s="3000" t="s">
        <v>3271</v>
      </c>
      <c r="D292" s="3000" t="s">
        <v>3263</v>
      </c>
      <c r="E292" s="3000" t="s">
        <v>3259</v>
      </c>
      <c r="F292" s="3000">
        <v>506</v>
      </c>
      <c r="G292" s="3000">
        <v>69.77</v>
      </c>
      <c r="H292" s="3001" t="s">
        <v>3055</v>
      </c>
    </row>
    <row r="293" spans="1:8" ht="14.25" hidden="1" thickBot="1">
      <c r="A293" s="2999">
        <v>292</v>
      </c>
      <c r="B293" s="3005" t="s">
        <v>3299</v>
      </c>
      <c r="C293" s="3000" t="s">
        <v>3271</v>
      </c>
      <c r="D293" s="3000" t="s">
        <v>3263</v>
      </c>
      <c r="E293" s="3000" t="s">
        <v>3259</v>
      </c>
      <c r="F293" s="3000">
        <v>507</v>
      </c>
      <c r="G293" s="3000">
        <v>66.28</v>
      </c>
      <c r="H293" s="3001" t="s">
        <v>3055</v>
      </c>
    </row>
    <row r="294" spans="1:8" ht="14.25" hidden="1" thickBot="1">
      <c r="A294" s="2999">
        <v>293</v>
      </c>
      <c r="B294" s="3005" t="s">
        <v>3299</v>
      </c>
      <c r="C294" s="3000" t="s">
        <v>3271</v>
      </c>
      <c r="D294" s="3000" t="s">
        <v>3264</v>
      </c>
      <c r="E294" s="3000" t="s">
        <v>3258</v>
      </c>
      <c r="F294" s="3000">
        <v>601</v>
      </c>
      <c r="G294" s="3000">
        <v>66.28</v>
      </c>
      <c r="H294" s="3001" t="s">
        <v>3055</v>
      </c>
    </row>
    <row r="295" spans="1:8" ht="14.25" hidden="1" thickBot="1">
      <c r="A295" s="2999">
        <v>294</v>
      </c>
      <c r="B295" s="3005" t="s">
        <v>3299</v>
      </c>
      <c r="C295" s="3000" t="s">
        <v>3271</v>
      </c>
      <c r="D295" s="3000" t="s">
        <v>3264</v>
      </c>
      <c r="E295" s="3000" t="s">
        <v>3258</v>
      </c>
      <c r="F295" s="3000">
        <v>602</v>
      </c>
      <c r="G295" s="3000">
        <v>69.77</v>
      </c>
      <c r="H295" s="3001" t="s">
        <v>3055</v>
      </c>
    </row>
    <row r="296" spans="1:8" ht="14.25" hidden="1" thickBot="1">
      <c r="A296" s="2999">
        <v>295</v>
      </c>
      <c r="B296" s="3005" t="s">
        <v>3299</v>
      </c>
      <c r="C296" s="3000" t="s">
        <v>3271</v>
      </c>
      <c r="D296" s="3000" t="s">
        <v>3264</v>
      </c>
      <c r="E296" s="3000" t="s">
        <v>3258</v>
      </c>
      <c r="F296" s="3000">
        <v>606</v>
      </c>
      <c r="G296" s="3000">
        <v>69.77</v>
      </c>
      <c r="H296" s="3001" t="s">
        <v>3055</v>
      </c>
    </row>
    <row r="297" spans="1:8" ht="14.25" hidden="1" thickBot="1">
      <c r="A297" s="2999">
        <v>296</v>
      </c>
      <c r="B297" s="3005" t="s">
        <v>3299</v>
      </c>
      <c r="C297" s="3000" t="s">
        <v>3271</v>
      </c>
      <c r="D297" s="3000" t="s">
        <v>3264</v>
      </c>
      <c r="E297" s="3000" t="s">
        <v>3259</v>
      </c>
      <c r="F297" s="3000">
        <v>601</v>
      </c>
      <c r="G297" s="3000">
        <v>66.28</v>
      </c>
      <c r="H297" s="3001" t="s">
        <v>3055</v>
      </c>
    </row>
    <row r="298" spans="1:8" ht="14.25" hidden="1" thickBot="1">
      <c r="A298" s="2999">
        <v>297</v>
      </c>
      <c r="B298" s="3005" t="s">
        <v>3299</v>
      </c>
      <c r="C298" s="3000" t="s">
        <v>3271</v>
      </c>
      <c r="D298" s="3000" t="s">
        <v>3264</v>
      </c>
      <c r="E298" s="3000" t="s">
        <v>3259</v>
      </c>
      <c r="F298" s="3000">
        <v>602</v>
      </c>
      <c r="G298" s="3000">
        <v>69.77</v>
      </c>
      <c r="H298" s="3001" t="s">
        <v>3055</v>
      </c>
    </row>
    <row r="299" spans="1:8" ht="14.25" hidden="1" thickBot="1">
      <c r="A299" s="2999">
        <v>298</v>
      </c>
      <c r="B299" s="3005" t="s">
        <v>3299</v>
      </c>
      <c r="C299" s="3000" t="s">
        <v>3271</v>
      </c>
      <c r="D299" s="3000" t="s">
        <v>3264</v>
      </c>
      <c r="E299" s="3000" t="s">
        <v>3259</v>
      </c>
      <c r="F299" s="3000">
        <v>603</v>
      </c>
      <c r="G299" s="3000">
        <v>69.94</v>
      </c>
      <c r="H299" s="3001" t="s">
        <v>3055</v>
      </c>
    </row>
    <row r="300" spans="1:8" ht="14.25" hidden="1" thickBot="1">
      <c r="A300" s="2999">
        <v>299</v>
      </c>
      <c r="B300" s="3005" t="s">
        <v>3299</v>
      </c>
      <c r="C300" s="3000" t="s">
        <v>3271</v>
      </c>
      <c r="D300" s="3000" t="s">
        <v>3264</v>
      </c>
      <c r="E300" s="3000" t="s">
        <v>3259</v>
      </c>
      <c r="F300" s="3000">
        <v>605</v>
      </c>
      <c r="G300" s="3000">
        <v>69.94</v>
      </c>
      <c r="H300" s="3001" t="s">
        <v>3055</v>
      </c>
    </row>
    <row r="301" spans="1:8" ht="14.25" hidden="1" thickBot="1">
      <c r="A301" s="2999">
        <v>300</v>
      </c>
      <c r="B301" s="3005" t="s">
        <v>3299</v>
      </c>
      <c r="C301" s="3000" t="s">
        <v>3271</v>
      </c>
      <c r="D301" s="3000" t="s">
        <v>3264</v>
      </c>
      <c r="E301" s="3000" t="s">
        <v>3259</v>
      </c>
      <c r="F301" s="3000">
        <v>606</v>
      </c>
      <c r="G301" s="3000">
        <v>69.77</v>
      </c>
      <c r="H301" s="3001" t="s">
        <v>3055</v>
      </c>
    </row>
    <row r="302" spans="1:8" ht="14.25" hidden="1" thickBot="1">
      <c r="A302" s="2999">
        <v>301</v>
      </c>
      <c r="B302" s="3005" t="s">
        <v>3299</v>
      </c>
      <c r="C302" s="3000" t="s">
        <v>3272</v>
      </c>
      <c r="D302" s="3000" t="s">
        <v>3257</v>
      </c>
      <c r="E302" s="3000" t="s">
        <v>3258</v>
      </c>
      <c r="F302" s="3000">
        <v>101</v>
      </c>
      <c r="G302" s="3000">
        <v>66.069999999999993</v>
      </c>
      <c r="H302" s="3001" t="s">
        <v>3055</v>
      </c>
    </row>
    <row r="303" spans="1:8" ht="14.25" hidden="1" thickBot="1">
      <c r="A303" s="2999">
        <v>302</v>
      </c>
      <c r="B303" s="3005" t="s">
        <v>3299</v>
      </c>
      <c r="C303" s="3000" t="s">
        <v>3272</v>
      </c>
      <c r="D303" s="3000" t="s">
        <v>3257</v>
      </c>
      <c r="E303" s="3000" t="s">
        <v>3258</v>
      </c>
      <c r="F303" s="3000">
        <v>102</v>
      </c>
      <c r="G303" s="3000">
        <v>69.56</v>
      </c>
      <c r="H303" s="3001" t="s">
        <v>3055</v>
      </c>
    </row>
    <row r="304" spans="1:8" ht="14.25" hidden="1" thickBot="1">
      <c r="A304" s="2999">
        <v>303</v>
      </c>
      <c r="B304" s="3005" t="s">
        <v>3299</v>
      </c>
      <c r="C304" s="3000" t="s">
        <v>3272</v>
      </c>
      <c r="D304" s="3000" t="s">
        <v>3257</v>
      </c>
      <c r="E304" s="3000" t="s">
        <v>3258</v>
      </c>
      <c r="F304" s="3000">
        <v>103</v>
      </c>
      <c r="G304" s="3000">
        <v>69.72</v>
      </c>
      <c r="H304" s="3001" t="s">
        <v>3055</v>
      </c>
    </row>
    <row r="305" spans="1:8" ht="14.25" hidden="1" thickBot="1">
      <c r="A305" s="2999">
        <v>304</v>
      </c>
      <c r="B305" s="3005" t="s">
        <v>3299</v>
      </c>
      <c r="C305" s="3000" t="s">
        <v>3272</v>
      </c>
      <c r="D305" s="3000" t="s">
        <v>3257</v>
      </c>
      <c r="E305" s="3000" t="s">
        <v>3258</v>
      </c>
      <c r="F305" s="3000">
        <v>105</v>
      </c>
      <c r="G305" s="3000">
        <v>69.56</v>
      </c>
      <c r="H305" s="3001" t="s">
        <v>3055</v>
      </c>
    </row>
    <row r="306" spans="1:8" ht="14.25" hidden="1" thickBot="1">
      <c r="A306" s="2999">
        <v>305</v>
      </c>
      <c r="B306" s="3005" t="s">
        <v>3299</v>
      </c>
      <c r="C306" s="3000" t="s">
        <v>3272</v>
      </c>
      <c r="D306" s="3000" t="s">
        <v>3257</v>
      </c>
      <c r="E306" s="3000" t="s">
        <v>3258</v>
      </c>
      <c r="F306" s="3000">
        <v>106</v>
      </c>
      <c r="G306" s="3000">
        <v>94.74</v>
      </c>
      <c r="H306" s="3001" t="s">
        <v>3055</v>
      </c>
    </row>
    <row r="307" spans="1:8" ht="14.25" hidden="1" thickBot="1">
      <c r="A307" s="2999">
        <v>306</v>
      </c>
      <c r="B307" s="3005" t="s">
        <v>3299</v>
      </c>
      <c r="C307" s="3000" t="s">
        <v>3272</v>
      </c>
      <c r="D307" s="3000" t="s">
        <v>3257</v>
      </c>
      <c r="E307" s="3000" t="s">
        <v>3259</v>
      </c>
      <c r="F307" s="3000">
        <v>101</v>
      </c>
      <c r="G307" s="3000">
        <v>94.74</v>
      </c>
      <c r="H307" s="3001" t="s">
        <v>3055</v>
      </c>
    </row>
    <row r="308" spans="1:8" ht="14.25" hidden="1" thickBot="1">
      <c r="A308" s="2999">
        <v>307</v>
      </c>
      <c r="B308" s="3005" t="s">
        <v>3299</v>
      </c>
      <c r="C308" s="3000" t="s">
        <v>3272</v>
      </c>
      <c r="D308" s="3000" t="s">
        <v>3257</v>
      </c>
      <c r="E308" s="3000" t="s">
        <v>3259</v>
      </c>
      <c r="F308" s="3000">
        <v>102</v>
      </c>
      <c r="G308" s="3000">
        <v>69.56</v>
      </c>
      <c r="H308" s="3001" t="s">
        <v>3055</v>
      </c>
    </row>
    <row r="309" spans="1:8" ht="14.25" hidden="1" thickBot="1">
      <c r="A309" s="2999">
        <v>308</v>
      </c>
      <c r="B309" s="3005" t="s">
        <v>3299</v>
      </c>
      <c r="C309" s="3000" t="s">
        <v>3272</v>
      </c>
      <c r="D309" s="3000" t="s">
        <v>3257</v>
      </c>
      <c r="E309" s="3000" t="s">
        <v>3259</v>
      </c>
      <c r="F309" s="3000">
        <v>103</v>
      </c>
      <c r="G309" s="3000">
        <v>69.72</v>
      </c>
      <c r="H309" s="3001" t="s">
        <v>3055</v>
      </c>
    </row>
    <row r="310" spans="1:8" ht="14.25" hidden="1" thickBot="1">
      <c r="A310" s="2999">
        <v>309</v>
      </c>
      <c r="B310" s="3005" t="s">
        <v>3299</v>
      </c>
      <c r="C310" s="3000" t="s">
        <v>3272</v>
      </c>
      <c r="D310" s="3000" t="s">
        <v>3257</v>
      </c>
      <c r="E310" s="3000" t="s">
        <v>3259</v>
      </c>
      <c r="F310" s="3000">
        <v>105</v>
      </c>
      <c r="G310" s="3000">
        <v>69.56</v>
      </c>
      <c r="H310" s="3001" t="s">
        <v>3055</v>
      </c>
    </row>
    <row r="311" spans="1:8" ht="14.25" hidden="1" thickBot="1">
      <c r="A311" s="2999">
        <v>310</v>
      </c>
      <c r="B311" s="3005" t="s">
        <v>3299</v>
      </c>
      <c r="C311" s="3000" t="s">
        <v>3272</v>
      </c>
      <c r="D311" s="3000" t="s">
        <v>3257</v>
      </c>
      <c r="E311" s="3000" t="s">
        <v>3259</v>
      </c>
      <c r="F311" s="3000">
        <v>106</v>
      </c>
      <c r="G311" s="3000">
        <v>66.069999999999993</v>
      </c>
      <c r="H311" s="3001" t="s">
        <v>3055</v>
      </c>
    </row>
    <row r="312" spans="1:8" ht="14.25" hidden="1" thickBot="1">
      <c r="A312" s="2999">
        <v>311</v>
      </c>
      <c r="B312" s="3005" t="s">
        <v>3299</v>
      </c>
      <c r="C312" s="3000" t="s">
        <v>3272</v>
      </c>
      <c r="D312" s="3000" t="s">
        <v>3260</v>
      </c>
      <c r="E312" s="3000" t="s">
        <v>3258</v>
      </c>
      <c r="F312" s="3000">
        <v>201</v>
      </c>
      <c r="G312" s="3000">
        <v>66.069999999999993</v>
      </c>
      <c r="H312" s="3001" t="s">
        <v>3055</v>
      </c>
    </row>
    <row r="313" spans="1:8" ht="14.25" hidden="1" thickBot="1">
      <c r="A313" s="2999">
        <v>312</v>
      </c>
      <c r="B313" s="3005" t="s">
        <v>3299</v>
      </c>
      <c r="C313" s="3000" t="s">
        <v>3272</v>
      </c>
      <c r="D313" s="3000" t="s">
        <v>3260</v>
      </c>
      <c r="E313" s="3000" t="s">
        <v>3258</v>
      </c>
      <c r="F313" s="3000">
        <v>203</v>
      </c>
      <c r="G313" s="3000">
        <v>69.75</v>
      </c>
      <c r="H313" s="3001" t="s">
        <v>3055</v>
      </c>
    </row>
    <row r="314" spans="1:8" ht="14.25" hidden="1" thickBot="1">
      <c r="A314" s="2999">
        <v>313</v>
      </c>
      <c r="B314" s="3005" t="s">
        <v>3299</v>
      </c>
      <c r="C314" s="3000" t="s">
        <v>3272</v>
      </c>
      <c r="D314" s="3000" t="s">
        <v>3260</v>
      </c>
      <c r="E314" s="3000" t="s">
        <v>3258</v>
      </c>
      <c r="F314" s="3000">
        <v>205</v>
      </c>
      <c r="G314" s="3000">
        <v>69.75</v>
      </c>
      <c r="H314" s="3001" t="s">
        <v>3055</v>
      </c>
    </row>
    <row r="315" spans="1:8" ht="14.25" hidden="1" thickBot="1">
      <c r="A315" s="2999">
        <v>314</v>
      </c>
      <c r="B315" s="3005" t="s">
        <v>3299</v>
      </c>
      <c r="C315" s="3000" t="s">
        <v>3272</v>
      </c>
      <c r="D315" s="3000" t="s">
        <v>3260</v>
      </c>
      <c r="E315" s="3000" t="s">
        <v>3258</v>
      </c>
      <c r="F315" s="3000">
        <v>207</v>
      </c>
      <c r="G315" s="3000">
        <v>94.74</v>
      </c>
      <c r="H315" s="3001" t="s">
        <v>3055</v>
      </c>
    </row>
    <row r="316" spans="1:8" ht="14.25" hidden="1" thickBot="1">
      <c r="A316" s="2999">
        <v>315</v>
      </c>
      <c r="B316" s="3005" t="s">
        <v>3299</v>
      </c>
      <c r="C316" s="3000" t="s">
        <v>3272</v>
      </c>
      <c r="D316" s="3000" t="s">
        <v>3260</v>
      </c>
      <c r="E316" s="3000" t="s">
        <v>3259</v>
      </c>
      <c r="F316" s="3000">
        <v>203</v>
      </c>
      <c r="G316" s="3000">
        <v>69.75</v>
      </c>
      <c r="H316" s="3001" t="s">
        <v>3055</v>
      </c>
    </row>
    <row r="317" spans="1:8" ht="14.25" hidden="1" thickBot="1">
      <c r="A317" s="2999">
        <v>316</v>
      </c>
      <c r="B317" s="3005" t="s">
        <v>3299</v>
      </c>
      <c r="C317" s="3000" t="s">
        <v>3272</v>
      </c>
      <c r="D317" s="3000" t="s">
        <v>3260</v>
      </c>
      <c r="E317" s="3000" t="s">
        <v>3259</v>
      </c>
      <c r="F317" s="3000">
        <v>207</v>
      </c>
      <c r="G317" s="3000">
        <v>66.069999999999993</v>
      </c>
      <c r="H317" s="3001" t="s">
        <v>3055</v>
      </c>
    </row>
    <row r="318" spans="1:8" ht="14.25" hidden="1" thickBot="1">
      <c r="A318" s="2999">
        <v>317</v>
      </c>
      <c r="B318" s="3005" t="s">
        <v>3299</v>
      </c>
      <c r="C318" s="3000" t="s">
        <v>3272</v>
      </c>
      <c r="D318" s="3000" t="s">
        <v>3261</v>
      </c>
      <c r="E318" s="3000" t="s">
        <v>3258</v>
      </c>
      <c r="F318" s="3000">
        <v>303</v>
      </c>
      <c r="G318" s="3000">
        <v>69.75</v>
      </c>
      <c r="H318" s="3001" t="s">
        <v>3055</v>
      </c>
    </row>
    <row r="319" spans="1:8" ht="14.25" hidden="1" thickBot="1">
      <c r="A319" s="2999">
        <v>318</v>
      </c>
      <c r="B319" s="3005" t="s">
        <v>3299</v>
      </c>
      <c r="C319" s="3000" t="s">
        <v>3272</v>
      </c>
      <c r="D319" s="3000" t="s">
        <v>3261</v>
      </c>
      <c r="E319" s="3000" t="s">
        <v>3258</v>
      </c>
      <c r="F319" s="3000">
        <v>305</v>
      </c>
      <c r="G319" s="3000">
        <v>69.75</v>
      </c>
      <c r="H319" s="3001" t="s">
        <v>3055</v>
      </c>
    </row>
    <row r="320" spans="1:8" ht="14.25" hidden="1" thickBot="1">
      <c r="A320" s="2999">
        <v>319</v>
      </c>
      <c r="B320" s="3005" t="s">
        <v>3299</v>
      </c>
      <c r="C320" s="3000" t="s">
        <v>3272</v>
      </c>
      <c r="D320" s="3000" t="s">
        <v>3261</v>
      </c>
      <c r="E320" s="3000" t="s">
        <v>3258</v>
      </c>
      <c r="F320" s="3000">
        <v>306</v>
      </c>
      <c r="G320" s="3000">
        <v>69.56</v>
      </c>
      <c r="H320" s="3001" t="s">
        <v>3055</v>
      </c>
    </row>
    <row r="321" spans="1:8" ht="14.25" hidden="1" thickBot="1">
      <c r="A321" s="2999">
        <v>320</v>
      </c>
      <c r="B321" s="3005" t="s">
        <v>3299</v>
      </c>
      <c r="C321" s="3000" t="s">
        <v>3272</v>
      </c>
      <c r="D321" s="3000" t="s">
        <v>3261</v>
      </c>
      <c r="E321" s="3000" t="s">
        <v>3259</v>
      </c>
      <c r="F321" s="3000">
        <v>303</v>
      </c>
      <c r="G321" s="3000">
        <v>69.75</v>
      </c>
      <c r="H321" s="3001" t="s">
        <v>3055</v>
      </c>
    </row>
    <row r="322" spans="1:8" ht="14.25" hidden="1" thickBot="1">
      <c r="A322" s="2999">
        <v>321</v>
      </c>
      <c r="B322" s="3005" t="s">
        <v>3299</v>
      </c>
      <c r="C322" s="3000" t="s">
        <v>3272</v>
      </c>
      <c r="D322" s="3000" t="s">
        <v>3261</v>
      </c>
      <c r="E322" s="3000" t="s">
        <v>3259</v>
      </c>
      <c r="F322" s="3000">
        <v>307</v>
      </c>
      <c r="G322" s="3000">
        <v>66.069999999999993</v>
      </c>
      <c r="H322" s="3001" t="s">
        <v>3055</v>
      </c>
    </row>
    <row r="323" spans="1:8" ht="14.25" hidden="1" thickBot="1">
      <c r="A323" s="2999">
        <v>322</v>
      </c>
      <c r="B323" s="3005" t="s">
        <v>3299</v>
      </c>
      <c r="C323" s="3000" t="s">
        <v>3272</v>
      </c>
      <c r="D323" s="3000" t="s">
        <v>3262</v>
      </c>
      <c r="E323" s="3000" t="s">
        <v>3258</v>
      </c>
      <c r="F323" s="3000" t="s">
        <v>3148</v>
      </c>
      <c r="G323" s="3000">
        <v>69.75</v>
      </c>
      <c r="H323" s="3001" t="s">
        <v>3055</v>
      </c>
    </row>
    <row r="324" spans="1:8" ht="14.25" hidden="1" thickBot="1">
      <c r="A324" s="2999">
        <v>323</v>
      </c>
      <c r="B324" s="3005" t="s">
        <v>3299</v>
      </c>
      <c r="C324" s="3000" t="s">
        <v>3272</v>
      </c>
      <c r="D324" s="3000" t="s">
        <v>3262</v>
      </c>
      <c r="E324" s="3000" t="s">
        <v>3258</v>
      </c>
      <c r="F324" s="3000" t="s">
        <v>3150</v>
      </c>
      <c r="G324" s="3000">
        <v>94.74</v>
      </c>
      <c r="H324" s="3001" t="s">
        <v>3055</v>
      </c>
    </row>
    <row r="325" spans="1:8" ht="14.25" hidden="1" thickBot="1">
      <c r="A325" s="2999">
        <v>324</v>
      </c>
      <c r="B325" s="3005" t="s">
        <v>3299</v>
      </c>
      <c r="C325" s="3000" t="s">
        <v>3272</v>
      </c>
      <c r="D325" s="3000" t="s">
        <v>3262</v>
      </c>
      <c r="E325" s="3000" t="s">
        <v>3259</v>
      </c>
      <c r="F325" s="3000" t="s">
        <v>3146</v>
      </c>
      <c r="G325" s="3000">
        <v>69.56</v>
      </c>
      <c r="H325" s="3001" t="s">
        <v>3055</v>
      </c>
    </row>
    <row r="326" spans="1:8" ht="14.25" hidden="1" thickBot="1">
      <c r="A326" s="2999">
        <v>325</v>
      </c>
      <c r="B326" s="3005" t="s">
        <v>3299</v>
      </c>
      <c r="C326" s="3000" t="s">
        <v>3272</v>
      </c>
      <c r="D326" s="3000" t="s">
        <v>3262</v>
      </c>
      <c r="E326" s="3000" t="s">
        <v>3259</v>
      </c>
      <c r="F326" s="3000" t="s">
        <v>3147</v>
      </c>
      <c r="G326" s="3000">
        <v>69.75</v>
      </c>
      <c r="H326" s="3001" t="s">
        <v>3055</v>
      </c>
    </row>
    <row r="327" spans="1:8" ht="14.25" hidden="1" thickBot="1">
      <c r="A327" s="2999">
        <v>326</v>
      </c>
      <c r="B327" s="3005" t="s">
        <v>3299</v>
      </c>
      <c r="C327" s="3000" t="s">
        <v>3272</v>
      </c>
      <c r="D327" s="3000" t="s">
        <v>3262</v>
      </c>
      <c r="E327" s="3000" t="s">
        <v>3259</v>
      </c>
      <c r="F327" s="3000" t="s">
        <v>3149</v>
      </c>
      <c r="G327" s="3000">
        <v>69.56</v>
      </c>
      <c r="H327" s="3001" t="s">
        <v>3055</v>
      </c>
    </row>
    <row r="328" spans="1:8" ht="14.25" hidden="1" thickBot="1">
      <c r="A328" s="2999">
        <v>327</v>
      </c>
      <c r="B328" s="3005" t="s">
        <v>3299</v>
      </c>
      <c r="C328" s="3000" t="s">
        <v>3272</v>
      </c>
      <c r="D328" s="3000" t="s">
        <v>3263</v>
      </c>
      <c r="E328" s="3000" t="s">
        <v>3258</v>
      </c>
      <c r="F328" s="3000">
        <v>503</v>
      </c>
      <c r="G328" s="3000">
        <v>69.75</v>
      </c>
      <c r="H328" s="3001" t="s">
        <v>3055</v>
      </c>
    </row>
    <row r="329" spans="1:8" ht="14.25" hidden="1" thickBot="1">
      <c r="A329" s="2999">
        <v>328</v>
      </c>
      <c r="B329" s="3005" t="s">
        <v>3299</v>
      </c>
      <c r="C329" s="3000" t="s">
        <v>3272</v>
      </c>
      <c r="D329" s="3000" t="s">
        <v>3263</v>
      </c>
      <c r="E329" s="3000" t="s">
        <v>3258</v>
      </c>
      <c r="F329" s="3000">
        <v>505</v>
      </c>
      <c r="G329" s="3000">
        <v>69.75</v>
      </c>
      <c r="H329" s="3001" t="s">
        <v>3055</v>
      </c>
    </row>
    <row r="330" spans="1:8" ht="14.25" hidden="1" thickBot="1">
      <c r="A330" s="2999">
        <v>329</v>
      </c>
      <c r="B330" s="3005" t="s">
        <v>3299</v>
      </c>
      <c r="C330" s="3000" t="s">
        <v>3272</v>
      </c>
      <c r="D330" s="3000" t="s">
        <v>3263</v>
      </c>
      <c r="E330" s="3000" t="s">
        <v>3258</v>
      </c>
      <c r="F330" s="3000">
        <v>506</v>
      </c>
      <c r="G330" s="3000">
        <v>69.56</v>
      </c>
      <c r="H330" s="3001" t="s">
        <v>3055</v>
      </c>
    </row>
    <row r="331" spans="1:8" ht="14.25" hidden="1" thickBot="1">
      <c r="A331" s="2999">
        <v>330</v>
      </c>
      <c r="B331" s="3005" t="s">
        <v>3299</v>
      </c>
      <c r="C331" s="3000" t="s">
        <v>3272</v>
      </c>
      <c r="D331" s="3000" t="s">
        <v>3263</v>
      </c>
      <c r="E331" s="3000" t="s">
        <v>3258</v>
      </c>
      <c r="F331" s="3000">
        <v>507</v>
      </c>
      <c r="G331" s="3000">
        <v>94.74</v>
      </c>
      <c r="H331" s="3001" t="s">
        <v>3055</v>
      </c>
    </row>
    <row r="332" spans="1:8" ht="14.25" hidden="1" thickBot="1">
      <c r="A332" s="2999">
        <v>331</v>
      </c>
      <c r="B332" s="3005" t="s">
        <v>3299</v>
      </c>
      <c r="C332" s="3000" t="s">
        <v>3272</v>
      </c>
      <c r="D332" s="3000" t="s">
        <v>3263</v>
      </c>
      <c r="E332" s="3000" t="s">
        <v>3259</v>
      </c>
      <c r="F332" s="3000">
        <v>502</v>
      </c>
      <c r="G332" s="3000">
        <v>69.56</v>
      </c>
      <c r="H332" s="3001" t="s">
        <v>3055</v>
      </c>
    </row>
    <row r="333" spans="1:8" ht="14.25" hidden="1" thickBot="1">
      <c r="A333" s="2999">
        <v>332</v>
      </c>
      <c r="B333" s="3005" t="s">
        <v>3299</v>
      </c>
      <c r="C333" s="3000" t="s">
        <v>3272</v>
      </c>
      <c r="D333" s="3000" t="s">
        <v>3263</v>
      </c>
      <c r="E333" s="3000" t="s">
        <v>3259</v>
      </c>
      <c r="F333" s="3000">
        <v>503</v>
      </c>
      <c r="G333" s="3000">
        <v>69.75</v>
      </c>
      <c r="H333" s="3001" t="s">
        <v>3055</v>
      </c>
    </row>
    <row r="334" spans="1:8" ht="14.25" hidden="1" thickBot="1">
      <c r="A334" s="2999">
        <v>333</v>
      </c>
      <c r="B334" s="3005" t="s">
        <v>3299</v>
      </c>
      <c r="C334" s="3000" t="s">
        <v>3272</v>
      </c>
      <c r="D334" s="3000" t="s">
        <v>3263</v>
      </c>
      <c r="E334" s="3000" t="s">
        <v>3259</v>
      </c>
      <c r="F334" s="3000">
        <v>505</v>
      </c>
      <c r="G334" s="3000">
        <v>69.75</v>
      </c>
      <c r="H334" s="3001" t="s">
        <v>3055</v>
      </c>
    </row>
    <row r="335" spans="1:8" ht="14.25" hidden="1" thickBot="1">
      <c r="A335" s="2999">
        <v>334</v>
      </c>
      <c r="B335" s="3005" t="s">
        <v>3299</v>
      </c>
      <c r="C335" s="3000" t="s">
        <v>3272</v>
      </c>
      <c r="D335" s="3000" t="s">
        <v>3263</v>
      </c>
      <c r="E335" s="3000" t="s">
        <v>3259</v>
      </c>
      <c r="F335" s="3000">
        <v>506</v>
      </c>
      <c r="G335" s="3000">
        <v>69.56</v>
      </c>
      <c r="H335" s="3001" t="s">
        <v>3055</v>
      </c>
    </row>
    <row r="336" spans="1:8" ht="14.25" hidden="1" thickBot="1">
      <c r="A336" s="2999">
        <v>335</v>
      </c>
      <c r="B336" s="3005" t="s">
        <v>3299</v>
      </c>
      <c r="C336" s="3000" t="s">
        <v>3272</v>
      </c>
      <c r="D336" s="3000" t="s">
        <v>3263</v>
      </c>
      <c r="E336" s="3000" t="s">
        <v>3259</v>
      </c>
      <c r="F336" s="3000">
        <v>507</v>
      </c>
      <c r="G336" s="3000">
        <v>66.069999999999993</v>
      </c>
      <c r="H336" s="3001" t="s">
        <v>3055</v>
      </c>
    </row>
    <row r="337" spans="1:8" ht="14.25" hidden="1" thickBot="1">
      <c r="A337" s="2999">
        <v>336</v>
      </c>
      <c r="B337" s="3005" t="s">
        <v>3299</v>
      </c>
      <c r="C337" s="3000" t="s">
        <v>3272</v>
      </c>
      <c r="D337" s="3000" t="s">
        <v>3264</v>
      </c>
      <c r="E337" s="3000" t="s">
        <v>3258</v>
      </c>
      <c r="F337" s="3000">
        <v>606</v>
      </c>
      <c r="G337" s="3000">
        <v>69.56</v>
      </c>
      <c r="H337" s="3001" t="s">
        <v>3055</v>
      </c>
    </row>
    <row r="338" spans="1:8" ht="14.25" hidden="1" thickBot="1">
      <c r="A338" s="2999">
        <v>337</v>
      </c>
      <c r="B338" s="3005" t="s">
        <v>3299</v>
      </c>
      <c r="C338" s="3000" t="s">
        <v>3273</v>
      </c>
      <c r="D338" s="3000" t="s">
        <v>3257</v>
      </c>
      <c r="E338" s="3000" t="s">
        <v>3258</v>
      </c>
      <c r="F338" s="3000">
        <v>101</v>
      </c>
      <c r="G338" s="3000">
        <v>65.67</v>
      </c>
      <c r="H338" s="3001" t="s">
        <v>3055</v>
      </c>
    </row>
    <row r="339" spans="1:8" ht="14.25" hidden="1" thickBot="1">
      <c r="A339" s="2999">
        <v>338</v>
      </c>
      <c r="B339" s="3005" t="s">
        <v>3299</v>
      </c>
      <c r="C339" s="3000" t="s">
        <v>3273</v>
      </c>
      <c r="D339" s="3000" t="s">
        <v>3257</v>
      </c>
      <c r="E339" s="3000" t="s">
        <v>3258</v>
      </c>
      <c r="F339" s="3000">
        <v>102</v>
      </c>
      <c r="G339" s="3000">
        <v>68.94</v>
      </c>
      <c r="H339" s="3001" t="s">
        <v>3055</v>
      </c>
    </row>
    <row r="340" spans="1:8" ht="14.25" hidden="1" thickBot="1">
      <c r="A340" s="2999">
        <v>339</v>
      </c>
      <c r="B340" s="3005" t="s">
        <v>3299</v>
      </c>
      <c r="C340" s="3000" t="s">
        <v>3273</v>
      </c>
      <c r="D340" s="3000" t="s">
        <v>3257</v>
      </c>
      <c r="E340" s="3000" t="s">
        <v>3258</v>
      </c>
      <c r="F340" s="3000">
        <v>103</v>
      </c>
      <c r="G340" s="3000">
        <v>69.290000000000006</v>
      </c>
      <c r="H340" s="3001" t="s">
        <v>3055</v>
      </c>
    </row>
    <row r="341" spans="1:8" ht="14.25" hidden="1" thickBot="1">
      <c r="A341" s="2999">
        <v>340</v>
      </c>
      <c r="B341" s="3005" t="s">
        <v>3299</v>
      </c>
      <c r="C341" s="3000" t="s">
        <v>3273</v>
      </c>
      <c r="D341" s="3000" t="s">
        <v>3257</v>
      </c>
      <c r="E341" s="3000" t="s">
        <v>3258</v>
      </c>
      <c r="F341" s="3000">
        <v>105</v>
      </c>
      <c r="G341" s="3000">
        <v>69.290000000000006</v>
      </c>
      <c r="H341" s="3001" t="s">
        <v>3055</v>
      </c>
    </row>
    <row r="342" spans="1:8" ht="14.25" hidden="1" thickBot="1">
      <c r="A342" s="2999">
        <v>341</v>
      </c>
      <c r="B342" s="3005" t="s">
        <v>3299</v>
      </c>
      <c r="C342" s="3000" t="s">
        <v>3273</v>
      </c>
      <c r="D342" s="3000" t="s">
        <v>3257</v>
      </c>
      <c r="E342" s="3000" t="s">
        <v>3258</v>
      </c>
      <c r="F342" s="3000">
        <v>106</v>
      </c>
      <c r="G342" s="3000">
        <v>68.94</v>
      </c>
      <c r="H342" s="3001" t="s">
        <v>3055</v>
      </c>
    </row>
    <row r="343" spans="1:8" ht="14.25" hidden="1" thickBot="1">
      <c r="A343" s="2999">
        <v>342</v>
      </c>
      <c r="B343" s="3005" t="s">
        <v>3299</v>
      </c>
      <c r="C343" s="3000" t="s">
        <v>3273</v>
      </c>
      <c r="D343" s="3000" t="s">
        <v>3257</v>
      </c>
      <c r="E343" s="3000" t="s">
        <v>3258</v>
      </c>
      <c r="F343" s="3000">
        <v>107</v>
      </c>
      <c r="G343" s="3000">
        <v>94.13</v>
      </c>
      <c r="H343" s="3001" t="s">
        <v>3055</v>
      </c>
    </row>
    <row r="344" spans="1:8" ht="14.25" hidden="1" thickBot="1">
      <c r="A344" s="2999">
        <v>343</v>
      </c>
      <c r="B344" s="3005" t="s">
        <v>3299</v>
      </c>
      <c r="C344" s="3000" t="s">
        <v>3273</v>
      </c>
      <c r="D344" s="3000" t="s">
        <v>3257</v>
      </c>
      <c r="E344" s="3000" t="s">
        <v>3259</v>
      </c>
      <c r="F344" s="3000">
        <v>101</v>
      </c>
      <c r="G344" s="3000">
        <v>94.13</v>
      </c>
      <c r="H344" s="3001" t="s">
        <v>3055</v>
      </c>
    </row>
    <row r="345" spans="1:8" ht="14.25" hidden="1" thickBot="1">
      <c r="A345" s="2999">
        <v>344</v>
      </c>
      <c r="B345" s="3005" t="s">
        <v>3299</v>
      </c>
      <c r="C345" s="3000" t="s">
        <v>3273</v>
      </c>
      <c r="D345" s="3000" t="s">
        <v>3257</v>
      </c>
      <c r="E345" s="3000" t="s">
        <v>3259</v>
      </c>
      <c r="F345" s="3000">
        <v>103</v>
      </c>
      <c r="G345" s="3000">
        <v>69.290000000000006</v>
      </c>
      <c r="H345" s="3001" t="s">
        <v>3055</v>
      </c>
    </row>
    <row r="346" spans="1:8" ht="14.25" hidden="1" thickBot="1">
      <c r="A346" s="2999">
        <v>345</v>
      </c>
      <c r="B346" s="3005" t="s">
        <v>3299</v>
      </c>
      <c r="C346" s="3000" t="s">
        <v>3273</v>
      </c>
      <c r="D346" s="3000" t="s">
        <v>3257</v>
      </c>
      <c r="E346" s="3000" t="s">
        <v>3259</v>
      </c>
      <c r="F346" s="3000">
        <v>105</v>
      </c>
      <c r="G346" s="3000">
        <v>69.290000000000006</v>
      </c>
      <c r="H346" s="3001" t="s">
        <v>3055</v>
      </c>
    </row>
    <row r="347" spans="1:8" ht="14.25" hidden="1" thickBot="1">
      <c r="A347" s="2999">
        <v>346</v>
      </c>
      <c r="B347" s="3005" t="s">
        <v>3299</v>
      </c>
      <c r="C347" s="3000" t="s">
        <v>3273</v>
      </c>
      <c r="D347" s="3000" t="s">
        <v>3257</v>
      </c>
      <c r="E347" s="3000" t="s">
        <v>3259</v>
      </c>
      <c r="F347" s="3000">
        <v>106</v>
      </c>
      <c r="G347" s="3000">
        <v>68.94</v>
      </c>
      <c r="H347" s="3001" t="s">
        <v>3055</v>
      </c>
    </row>
    <row r="348" spans="1:8" ht="14.25" hidden="1" thickBot="1">
      <c r="A348" s="2999">
        <v>347</v>
      </c>
      <c r="B348" s="3005" t="s">
        <v>3299</v>
      </c>
      <c r="C348" s="3000" t="s">
        <v>3273</v>
      </c>
      <c r="D348" s="3000" t="s">
        <v>3257</v>
      </c>
      <c r="E348" s="3000" t="s">
        <v>3259</v>
      </c>
      <c r="F348" s="3000">
        <v>107</v>
      </c>
      <c r="G348" s="3000">
        <v>65.67</v>
      </c>
      <c r="H348" s="3001" t="s">
        <v>3055</v>
      </c>
    </row>
    <row r="349" spans="1:8" ht="14.25" hidden="1" thickBot="1">
      <c r="A349" s="2999">
        <v>348</v>
      </c>
      <c r="B349" s="3005" t="s">
        <v>3299</v>
      </c>
      <c r="C349" s="3000" t="s">
        <v>3273</v>
      </c>
      <c r="D349" s="3000" t="s">
        <v>3260</v>
      </c>
      <c r="E349" s="3000" t="s">
        <v>3258</v>
      </c>
      <c r="F349" s="3000">
        <v>201</v>
      </c>
      <c r="G349" s="3000">
        <v>65.510000000000005</v>
      </c>
      <c r="H349" s="3001" t="s">
        <v>3055</v>
      </c>
    </row>
    <row r="350" spans="1:8" ht="14.25" hidden="1" thickBot="1">
      <c r="A350" s="2999">
        <v>349</v>
      </c>
      <c r="B350" s="3005" t="s">
        <v>3299</v>
      </c>
      <c r="C350" s="3000" t="s">
        <v>3273</v>
      </c>
      <c r="D350" s="3000" t="s">
        <v>3260</v>
      </c>
      <c r="E350" s="3000" t="s">
        <v>3259</v>
      </c>
      <c r="F350" s="3000">
        <v>207</v>
      </c>
      <c r="G350" s="3000">
        <v>65.510000000000005</v>
      </c>
      <c r="H350" s="3001" t="s">
        <v>3055</v>
      </c>
    </row>
    <row r="351" spans="1:8" ht="14.25" hidden="1" thickBot="1">
      <c r="A351" s="2999">
        <v>350</v>
      </c>
      <c r="B351" s="3005" t="s">
        <v>3299</v>
      </c>
      <c r="C351" s="3000" t="s">
        <v>3273</v>
      </c>
      <c r="D351" s="3000" t="s">
        <v>3261</v>
      </c>
      <c r="E351" s="3000" t="s">
        <v>3258</v>
      </c>
      <c r="F351" s="3000">
        <v>301</v>
      </c>
      <c r="G351" s="3000">
        <v>65.510000000000005</v>
      </c>
      <c r="H351" s="3001" t="s">
        <v>3055</v>
      </c>
    </row>
    <row r="352" spans="1:8" ht="14.25" hidden="1" thickBot="1">
      <c r="A352" s="2999">
        <v>351</v>
      </c>
      <c r="B352" s="3005" t="s">
        <v>3299</v>
      </c>
      <c r="C352" s="3000" t="s">
        <v>3273</v>
      </c>
      <c r="D352" s="3000" t="s">
        <v>3261</v>
      </c>
      <c r="E352" s="3000" t="s">
        <v>3258</v>
      </c>
      <c r="F352" s="3000">
        <v>302</v>
      </c>
      <c r="G352" s="3000">
        <v>68.94</v>
      </c>
      <c r="H352" s="3001" t="s">
        <v>3055</v>
      </c>
    </row>
    <row r="353" spans="1:8" ht="14.25" hidden="1" thickBot="1">
      <c r="A353" s="2999">
        <v>352</v>
      </c>
      <c r="B353" s="3005" t="s">
        <v>3299</v>
      </c>
      <c r="C353" s="3000" t="s">
        <v>3273</v>
      </c>
      <c r="D353" s="3000" t="s">
        <v>3261</v>
      </c>
      <c r="E353" s="3000" t="s">
        <v>3259</v>
      </c>
      <c r="F353" s="3000">
        <v>306</v>
      </c>
      <c r="G353" s="3000">
        <v>68.94</v>
      </c>
      <c r="H353" s="3001" t="s">
        <v>3055</v>
      </c>
    </row>
    <row r="354" spans="1:8" ht="14.25" hidden="1" thickBot="1">
      <c r="A354" s="2999">
        <v>353</v>
      </c>
      <c r="B354" s="3005" t="s">
        <v>3299</v>
      </c>
      <c r="C354" s="3000" t="s">
        <v>3273</v>
      </c>
      <c r="D354" s="3000" t="s">
        <v>3262</v>
      </c>
      <c r="E354" s="3000" t="s">
        <v>3258</v>
      </c>
      <c r="F354" s="3000" t="s">
        <v>3150</v>
      </c>
      <c r="G354" s="3000">
        <v>93.91</v>
      </c>
      <c r="H354" s="3001" t="s">
        <v>3055</v>
      </c>
    </row>
    <row r="355" spans="1:8" ht="14.25" hidden="1" thickBot="1">
      <c r="A355" s="2999">
        <v>354</v>
      </c>
      <c r="B355" s="3005" t="s">
        <v>3299</v>
      </c>
      <c r="C355" s="3000" t="s">
        <v>3273</v>
      </c>
      <c r="D355" s="3000" t="s">
        <v>3262</v>
      </c>
      <c r="E355" s="3000" t="s">
        <v>3259</v>
      </c>
      <c r="F355" s="3000" t="s">
        <v>3150</v>
      </c>
      <c r="G355" s="3000">
        <v>65.510000000000005</v>
      </c>
      <c r="H355" s="3001" t="s">
        <v>3055</v>
      </c>
    </row>
    <row r="356" spans="1:8" ht="14.25" hidden="1" thickBot="1">
      <c r="A356" s="2999">
        <v>355</v>
      </c>
      <c r="B356" s="3005" t="s">
        <v>3299</v>
      </c>
      <c r="C356" s="3000" t="s">
        <v>3273</v>
      </c>
      <c r="D356" s="3000" t="s">
        <v>3263</v>
      </c>
      <c r="E356" s="3000" t="s">
        <v>3258</v>
      </c>
      <c r="F356" s="3000">
        <v>507</v>
      </c>
      <c r="G356" s="3000">
        <v>93.91</v>
      </c>
      <c r="H356" s="3001" t="s">
        <v>3055</v>
      </c>
    </row>
    <row r="357" spans="1:8" ht="14.25" hidden="1" thickBot="1">
      <c r="A357" s="2999">
        <v>356</v>
      </c>
      <c r="B357" s="3005" t="s">
        <v>3299</v>
      </c>
      <c r="C357" s="3000" t="s">
        <v>3273</v>
      </c>
      <c r="D357" s="3000" t="s">
        <v>3263</v>
      </c>
      <c r="E357" s="3000" t="s">
        <v>3259</v>
      </c>
      <c r="F357" s="3000">
        <v>501</v>
      </c>
      <c r="G357" s="3000">
        <v>93.91</v>
      </c>
      <c r="H357" s="3001" t="s">
        <v>3055</v>
      </c>
    </row>
    <row r="358" spans="1:8" ht="14.25" hidden="1" thickBot="1">
      <c r="A358" s="2999">
        <v>357</v>
      </c>
      <c r="B358" s="3005" t="s">
        <v>3299</v>
      </c>
      <c r="C358" s="3000" t="s">
        <v>3273</v>
      </c>
      <c r="D358" s="3000" t="s">
        <v>3263</v>
      </c>
      <c r="E358" s="3000" t="s">
        <v>3259</v>
      </c>
      <c r="F358" s="3000">
        <v>506</v>
      </c>
      <c r="G358" s="3000">
        <v>68.94</v>
      </c>
      <c r="H358" s="3001" t="s">
        <v>3055</v>
      </c>
    </row>
    <row r="359" spans="1:8" ht="14.25" hidden="1" thickBot="1">
      <c r="A359" s="2999">
        <v>358</v>
      </c>
      <c r="B359" s="3005" t="s">
        <v>3299</v>
      </c>
      <c r="C359" s="3000" t="s">
        <v>3273</v>
      </c>
      <c r="D359" s="3000" t="s">
        <v>3263</v>
      </c>
      <c r="E359" s="3000" t="s">
        <v>3259</v>
      </c>
      <c r="F359" s="3000">
        <v>507</v>
      </c>
      <c r="G359" s="3000">
        <v>65.510000000000005</v>
      </c>
      <c r="H359" s="3001" t="s">
        <v>3055</v>
      </c>
    </row>
    <row r="360" spans="1:8" ht="14.25" hidden="1" thickBot="1">
      <c r="A360" s="2999">
        <v>359</v>
      </c>
      <c r="B360" s="3005" t="s">
        <v>3299</v>
      </c>
      <c r="C360" s="3000" t="s">
        <v>3273</v>
      </c>
      <c r="D360" s="3000" t="s">
        <v>3264</v>
      </c>
      <c r="E360" s="3000" t="s">
        <v>3258</v>
      </c>
      <c r="F360" s="3000">
        <v>602</v>
      </c>
      <c r="G360" s="3000">
        <v>68.94</v>
      </c>
      <c r="H360" s="3001" t="s">
        <v>3055</v>
      </c>
    </row>
    <row r="361" spans="1:8" ht="14.25" hidden="1" thickBot="1">
      <c r="A361" s="2999">
        <v>360</v>
      </c>
      <c r="B361" s="3005" t="s">
        <v>3299</v>
      </c>
      <c r="C361" s="3000" t="s">
        <v>3273</v>
      </c>
      <c r="D361" s="3000" t="s">
        <v>3264</v>
      </c>
      <c r="E361" s="3000" t="s">
        <v>3258</v>
      </c>
      <c r="F361" s="3000">
        <v>603</v>
      </c>
      <c r="G361" s="3000">
        <v>69.290000000000006</v>
      </c>
      <c r="H361" s="3001" t="s">
        <v>3055</v>
      </c>
    </row>
    <row r="362" spans="1:8" ht="14.25" hidden="1" thickBot="1">
      <c r="A362" s="2999">
        <v>361</v>
      </c>
      <c r="B362" s="3005" t="s">
        <v>3299</v>
      </c>
      <c r="C362" s="3000" t="s">
        <v>3273</v>
      </c>
      <c r="D362" s="3000" t="s">
        <v>3264</v>
      </c>
      <c r="E362" s="3000" t="s">
        <v>3258</v>
      </c>
      <c r="F362" s="3000">
        <v>605</v>
      </c>
      <c r="G362" s="3000">
        <v>69.290000000000006</v>
      </c>
      <c r="H362" s="3001" t="s">
        <v>3055</v>
      </c>
    </row>
    <row r="363" spans="1:8" ht="14.25" hidden="1" thickBot="1">
      <c r="A363" s="2999">
        <v>362</v>
      </c>
      <c r="B363" s="3005" t="s">
        <v>3299</v>
      </c>
      <c r="C363" s="3000" t="s">
        <v>3273</v>
      </c>
      <c r="D363" s="3000" t="s">
        <v>3264</v>
      </c>
      <c r="E363" s="3000" t="s">
        <v>3259</v>
      </c>
      <c r="F363" s="3000">
        <v>602</v>
      </c>
      <c r="G363" s="3000">
        <v>68.94</v>
      </c>
      <c r="H363" s="3001" t="s">
        <v>3055</v>
      </c>
    </row>
    <row r="364" spans="1:8" ht="14.25" hidden="1" thickBot="1">
      <c r="A364" s="2999">
        <v>363</v>
      </c>
      <c r="B364" s="3005" t="s">
        <v>3299</v>
      </c>
      <c r="C364" s="3000" t="s">
        <v>3273</v>
      </c>
      <c r="D364" s="3000" t="s">
        <v>3264</v>
      </c>
      <c r="E364" s="3000" t="s">
        <v>3259</v>
      </c>
      <c r="F364" s="3000">
        <v>603</v>
      </c>
      <c r="G364" s="3000">
        <v>69.290000000000006</v>
      </c>
      <c r="H364" s="3001" t="s">
        <v>3055</v>
      </c>
    </row>
    <row r="365" spans="1:8" ht="14.25" hidden="1" thickBot="1">
      <c r="A365" s="2999">
        <v>364</v>
      </c>
      <c r="B365" s="3005" t="s">
        <v>3299</v>
      </c>
      <c r="C365" s="3000" t="s">
        <v>3273</v>
      </c>
      <c r="D365" s="3000" t="s">
        <v>3264</v>
      </c>
      <c r="E365" s="3000" t="s">
        <v>3259</v>
      </c>
      <c r="F365" s="3000">
        <v>605</v>
      </c>
      <c r="G365" s="3000">
        <v>69.290000000000006</v>
      </c>
      <c r="H365" s="3001" t="s">
        <v>3055</v>
      </c>
    </row>
    <row r="366" spans="1:8" ht="14.25" hidden="1" thickBot="1">
      <c r="A366" s="2999">
        <v>365</v>
      </c>
      <c r="B366" s="3005" t="s">
        <v>3299</v>
      </c>
      <c r="C366" s="3000" t="s">
        <v>3273</v>
      </c>
      <c r="D366" s="3000" t="s">
        <v>3264</v>
      </c>
      <c r="E366" s="3000" t="s">
        <v>3259</v>
      </c>
      <c r="F366" s="3000">
        <v>606</v>
      </c>
      <c r="G366" s="3000">
        <v>68.94</v>
      </c>
      <c r="H366" s="3001" t="s">
        <v>3055</v>
      </c>
    </row>
    <row r="367" spans="1:8" ht="14.25" hidden="1" thickBot="1">
      <c r="A367" s="2999">
        <v>366</v>
      </c>
      <c r="B367" s="3005" t="s">
        <v>3299</v>
      </c>
      <c r="C367" s="3000" t="s">
        <v>3274</v>
      </c>
      <c r="D367" s="3000" t="s">
        <v>3257</v>
      </c>
      <c r="E367" s="3000" t="s">
        <v>70</v>
      </c>
      <c r="F367" s="3000">
        <v>101</v>
      </c>
      <c r="G367" s="3000">
        <v>93.93</v>
      </c>
      <c r="H367" s="3001" t="s">
        <v>3055</v>
      </c>
    </row>
    <row r="368" spans="1:8" ht="14.25" hidden="1" thickBot="1">
      <c r="A368" s="2999">
        <v>367</v>
      </c>
      <c r="B368" s="3005" t="s">
        <v>3299</v>
      </c>
      <c r="C368" s="3000" t="s">
        <v>3274</v>
      </c>
      <c r="D368" s="3000" t="s">
        <v>3257</v>
      </c>
      <c r="E368" s="3000" t="s">
        <v>70</v>
      </c>
      <c r="F368" s="3000">
        <v>102</v>
      </c>
      <c r="G368" s="3000">
        <v>69.17</v>
      </c>
      <c r="H368" s="3001" t="s">
        <v>3055</v>
      </c>
    </row>
    <row r="369" spans="1:8" ht="14.25" hidden="1" thickBot="1">
      <c r="A369" s="2999">
        <v>368</v>
      </c>
      <c r="B369" s="3005" t="s">
        <v>3299</v>
      </c>
      <c r="C369" s="3000" t="s">
        <v>3274</v>
      </c>
      <c r="D369" s="3000" t="s">
        <v>3257</v>
      </c>
      <c r="E369" s="3000" t="s">
        <v>70</v>
      </c>
      <c r="F369" s="3000">
        <v>103</v>
      </c>
      <c r="G369" s="3000">
        <v>69.27</v>
      </c>
      <c r="H369" s="3001" t="s">
        <v>3055</v>
      </c>
    </row>
    <row r="370" spans="1:8" ht="14.25" hidden="1" thickBot="1">
      <c r="A370" s="2999">
        <v>369</v>
      </c>
      <c r="B370" s="3005" t="s">
        <v>3299</v>
      </c>
      <c r="C370" s="3000" t="s">
        <v>3274</v>
      </c>
      <c r="D370" s="3000" t="s">
        <v>3257</v>
      </c>
      <c r="E370" s="3000" t="s">
        <v>70</v>
      </c>
      <c r="F370" s="3000">
        <v>105</v>
      </c>
      <c r="G370" s="3000">
        <v>69.27</v>
      </c>
      <c r="H370" s="3001" t="s">
        <v>3055</v>
      </c>
    </row>
    <row r="371" spans="1:8" ht="14.25" hidden="1" thickBot="1">
      <c r="A371" s="2999">
        <v>370</v>
      </c>
      <c r="B371" s="3005" t="s">
        <v>3299</v>
      </c>
      <c r="C371" s="3000" t="s">
        <v>3274</v>
      </c>
      <c r="D371" s="3000" t="s">
        <v>3257</v>
      </c>
      <c r="E371" s="3000" t="s">
        <v>70</v>
      </c>
      <c r="F371" s="3000">
        <v>106</v>
      </c>
      <c r="G371" s="3000">
        <v>68.95</v>
      </c>
      <c r="H371" s="3001" t="s">
        <v>3055</v>
      </c>
    </row>
    <row r="372" spans="1:8" ht="14.25" hidden="1" thickBot="1">
      <c r="A372" s="2999">
        <v>371</v>
      </c>
      <c r="B372" s="3005" t="s">
        <v>3299</v>
      </c>
      <c r="C372" s="3000" t="s">
        <v>3274</v>
      </c>
      <c r="D372" s="3000" t="s">
        <v>3257</v>
      </c>
      <c r="E372" s="3000" t="s">
        <v>70</v>
      </c>
      <c r="F372" s="3000">
        <v>107</v>
      </c>
      <c r="G372" s="3000">
        <v>65.52</v>
      </c>
      <c r="H372" s="3001" t="s">
        <v>3055</v>
      </c>
    </row>
    <row r="373" spans="1:8" ht="14.25" hidden="1" thickBot="1">
      <c r="A373" s="2999">
        <v>372</v>
      </c>
      <c r="B373" s="3005" t="s">
        <v>3299</v>
      </c>
      <c r="C373" s="3000" t="s">
        <v>3274</v>
      </c>
      <c r="D373" s="3000" t="s">
        <v>3261</v>
      </c>
      <c r="E373" s="3000" t="s">
        <v>70</v>
      </c>
      <c r="F373" s="3000">
        <v>307</v>
      </c>
      <c r="G373" s="3000">
        <v>65.52</v>
      </c>
      <c r="H373" s="3001" t="s">
        <v>3055</v>
      </c>
    </row>
    <row r="374" spans="1:8" ht="14.25" hidden="1" thickBot="1">
      <c r="A374" s="2999">
        <v>373</v>
      </c>
      <c r="B374" s="3005" t="s">
        <v>3299</v>
      </c>
      <c r="C374" s="3000" t="s">
        <v>3274</v>
      </c>
      <c r="D374" s="3000" t="s">
        <v>3262</v>
      </c>
      <c r="E374" s="3000" t="s">
        <v>70</v>
      </c>
      <c r="F374" s="3000" t="s">
        <v>3150</v>
      </c>
      <c r="G374" s="3000">
        <v>65.52</v>
      </c>
      <c r="H374" s="3001" t="s">
        <v>3055</v>
      </c>
    </row>
    <row r="375" spans="1:8" ht="14.25" hidden="1" thickBot="1">
      <c r="A375" s="2999">
        <v>374</v>
      </c>
      <c r="B375" s="3005" t="s">
        <v>3299</v>
      </c>
      <c r="C375" s="3000" t="s">
        <v>3274</v>
      </c>
      <c r="D375" s="3000" t="s">
        <v>3264</v>
      </c>
      <c r="E375" s="3000" t="s">
        <v>70</v>
      </c>
      <c r="F375" s="3000">
        <v>602</v>
      </c>
      <c r="G375" s="3000">
        <v>68.95</v>
      </c>
      <c r="H375" s="3001" t="s">
        <v>3055</v>
      </c>
    </row>
    <row r="376" spans="1:8" ht="14.25" hidden="1" thickBot="1">
      <c r="A376" s="2999">
        <v>375</v>
      </c>
      <c r="B376" s="3005" t="s">
        <v>3299</v>
      </c>
      <c r="C376" s="3000" t="s">
        <v>3274</v>
      </c>
      <c r="D376" s="3000" t="s">
        <v>3264</v>
      </c>
      <c r="E376" s="3000" t="s">
        <v>70</v>
      </c>
      <c r="F376" s="3000">
        <v>603</v>
      </c>
      <c r="G376" s="3000">
        <v>69.05</v>
      </c>
      <c r="H376" s="3001" t="s">
        <v>3055</v>
      </c>
    </row>
    <row r="377" spans="1:8" ht="14.25" hidden="1" thickBot="1">
      <c r="A377" s="2999">
        <v>376</v>
      </c>
      <c r="B377" s="3005" t="s">
        <v>3299</v>
      </c>
      <c r="C377" s="3000" t="s">
        <v>3274</v>
      </c>
      <c r="D377" s="3000" t="s">
        <v>3264</v>
      </c>
      <c r="E377" s="3000" t="s">
        <v>70</v>
      </c>
      <c r="F377" s="3000">
        <v>605</v>
      </c>
      <c r="G377" s="3000">
        <v>69.05</v>
      </c>
      <c r="H377" s="3001" t="s">
        <v>3055</v>
      </c>
    </row>
    <row r="378" spans="1:8" ht="14.25" hidden="1" thickBot="1">
      <c r="A378" s="2999">
        <v>377</v>
      </c>
      <c r="B378" s="3005" t="s">
        <v>3299</v>
      </c>
      <c r="C378" s="3000" t="s">
        <v>3274</v>
      </c>
      <c r="D378" s="3000" t="s">
        <v>3264</v>
      </c>
      <c r="E378" s="3000" t="s">
        <v>70</v>
      </c>
      <c r="F378" s="3000">
        <v>606</v>
      </c>
      <c r="G378" s="3000">
        <v>68.95</v>
      </c>
      <c r="H378" s="3001" t="s">
        <v>3055</v>
      </c>
    </row>
    <row r="379" spans="1:8" ht="14.25" hidden="1" thickBot="1">
      <c r="A379" s="2999">
        <v>378</v>
      </c>
      <c r="B379" s="3005" t="s">
        <v>3299</v>
      </c>
      <c r="C379" s="3000" t="s">
        <v>3275</v>
      </c>
      <c r="D379" s="3000" t="s">
        <v>3257</v>
      </c>
      <c r="E379" s="3000" t="s">
        <v>70</v>
      </c>
      <c r="F379" s="3000">
        <v>101</v>
      </c>
      <c r="G379" s="3000">
        <v>94.63</v>
      </c>
      <c r="H379" s="3001" t="s">
        <v>3055</v>
      </c>
    </row>
    <row r="380" spans="1:8" ht="14.25" hidden="1" thickBot="1">
      <c r="A380" s="2999">
        <v>379</v>
      </c>
      <c r="B380" s="3005" t="s">
        <v>3299</v>
      </c>
      <c r="C380" s="3000" t="s">
        <v>3275</v>
      </c>
      <c r="D380" s="3000" t="s">
        <v>3257</v>
      </c>
      <c r="E380" s="3000" t="s">
        <v>70</v>
      </c>
      <c r="F380" s="3000">
        <v>102</v>
      </c>
      <c r="G380" s="3000">
        <v>69.47</v>
      </c>
      <c r="H380" s="3001" t="s">
        <v>3055</v>
      </c>
    </row>
    <row r="381" spans="1:8" ht="14.25" hidden="1" thickBot="1">
      <c r="A381" s="2999">
        <v>380</v>
      </c>
      <c r="B381" s="3005" t="s">
        <v>3299</v>
      </c>
      <c r="C381" s="3000" t="s">
        <v>3275</v>
      </c>
      <c r="D381" s="3000" t="s">
        <v>3257</v>
      </c>
      <c r="E381" s="3000" t="s">
        <v>70</v>
      </c>
      <c r="F381" s="3000">
        <v>103</v>
      </c>
      <c r="G381" s="3000">
        <v>69.569999999999993</v>
      </c>
      <c r="H381" s="3001" t="s">
        <v>3055</v>
      </c>
    </row>
    <row r="382" spans="1:8" ht="14.25" hidden="1" thickBot="1">
      <c r="A382" s="2999">
        <v>381</v>
      </c>
      <c r="B382" s="3005" t="s">
        <v>3299</v>
      </c>
      <c r="C382" s="3000" t="s">
        <v>3275</v>
      </c>
      <c r="D382" s="3000" t="s">
        <v>3257</v>
      </c>
      <c r="E382" s="3000" t="s">
        <v>70</v>
      </c>
      <c r="F382" s="3000">
        <v>105</v>
      </c>
      <c r="G382" s="3000">
        <v>69.47</v>
      </c>
      <c r="H382" s="3001" t="s">
        <v>3055</v>
      </c>
    </row>
    <row r="383" spans="1:8" ht="14.25" hidden="1" thickBot="1">
      <c r="A383" s="2999">
        <v>382</v>
      </c>
      <c r="B383" s="3005" t="s">
        <v>3299</v>
      </c>
      <c r="C383" s="3000" t="s">
        <v>3275</v>
      </c>
      <c r="D383" s="3000" t="s">
        <v>3257</v>
      </c>
      <c r="E383" s="3000" t="s">
        <v>70</v>
      </c>
      <c r="F383" s="3000">
        <v>106</v>
      </c>
      <c r="G383" s="3000">
        <v>66.010000000000005</v>
      </c>
      <c r="H383" s="3001" t="s">
        <v>3055</v>
      </c>
    </row>
    <row r="384" spans="1:8" ht="14.25" hidden="1" thickBot="1">
      <c r="A384" s="2999">
        <v>383</v>
      </c>
      <c r="B384" s="3005" t="s">
        <v>3299</v>
      </c>
      <c r="C384" s="3000" t="s">
        <v>3275</v>
      </c>
      <c r="D384" s="3000" t="s">
        <v>3260</v>
      </c>
      <c r="E384" s="3000" t="s">
        <v>70</v>
      </c>
      <c r="F384" s="3000">
        <v>201</v>
      </c>
      <c r="G384" s="3000">
        <v>94.63</v>
      </c>
      <c r="H384" s="3001" t="s">
        <v>3055</v>
      </c>
    </row>
    <row r="385" spans="1:8" ht="14.25" hidden="1" thickBot="1">
      <c r="A385" s="2999">
        <v>384</v>
      </c>
      <c r="B385" s="3005" t="s">
        <v>3299</v>
      </c>
      <c r="C385" s="3000" t="s">
        <v>3275</v>
      </c>
      <c r="D385" s="3000" t="s">
        <v>3260</v>
      </c>
      <c r="E385" s="3000" t="s">
        <v>70</v>
      </c>
      <c r="F385" s="3000">
        <v>202</v>
      </c>
      <c r="G385" s="3000">
        <v>69.47</v>
      </c>
      <c r="H385" s="3001" t="s">
        <v>3055</v>
      </c>
    </row>
    <row r="386" spans="1:8" ht="16.5" hidden="1" customHeight="1" thickBot="1">
      <c r="A386" s="2999">
        <v>385</v>
      </c>
      <c r="B386" s="3005" t="s">
        <v>3299</v>
      </c>
      <c r="C386" s="3000" t="s">
        <v>3275</v>
      </c>
      <c r="D386" s="3000" t="s">
        <v>3260</v>
      </c>
      <c r="E386" s="3000" t="s">
        <v>70</v>
      </c>
      <c r="F386" s="3000">
        <v>203</v>
      </c>
      <c r="G386" s="3000">
        <v>69.569999999999993</v>
      </c>
      <c r="H386" s="3001" t="s">
        <v>3055</v>
      </c>
    </row>
    <row r="387" spans="1:8" ht="14.25" hidden="1" thickBot="1">
      <c r="A387" s="2999">
        <v>386</v>
      </c>
      <c r="B387" s="3005" t="s">
        <v>3299</v>
      </c>
      <c r="C387" s="3000" t="s">
        <v>3275</v>
      </c>
      <c r="D387" s="3000" t="s">
        <v>3260</v>
      </c>
      <c r="E387" s="3000" t="s">
        <v>70</v>
      </c>
      <c r="F387" s="3000">
        <v>205</v>
      </c>
      <c r="G387" s="3000">
        <v>69.569999999999993</v>
      </c>
      <c r="H387" s="3001" t="s">
        <v>3055</v>
      </c>
    </row>
    <row r="388" spans="1:8" ht="14.25" hidden="1" thickBot="1">
      <c r="A388" s="2999">
        <v>387</v>
      </c>
      <c r="B388" s="3005" t="s">
        <v>3299</v>
      </c>
      <c r="C388" s="3000" t="s">
        <v>3275</v>
      </c>
      <c r="D388" s="3000" t="s">
        <v>3260</v>
      </c>
      <c r="E388" s="3000" t="s">
        <v>70</v>
      </c>
      <c r="F388" s="3000">
        <v>206</v>
      </c>
      <c r="G388" s="3000">
        <v>69.47</v>
      </c>
      <c r="H388" s="3001" t="s">
        <v>3055</v>
      </c>
    </row>
    <row r="389" spans="1:8" ht="14.25" hidden="1" thickBot="1">
      <c r="A389" s="2999">
        <v>388</v>
      </c>
      <c r="B389" s="3005" t="s">
        <v>3299</v>
      </c>
      <c r="C389" s="3000" t="s">
        <v>3275</v>
      </c>
      <c r="D389" s="3000" t="s">
        <v>3260</v>
      </c>
      <c r="E389" s="3000" t="s">
        <v>70</v>
      </c>
      <c r="F389" s="3000">
        <v>207</v>
      </c>
      <c r="G389" s="3000">
        <v>66.010000000000005</v>
      </c>
      <c r="H389" s="3001" t="s">
        <v>3055</v>
      </c>
    </row>
    <row r="390" spans="1:8" ht="14.25" hidden="1" thickBot="1">
      <c r="A390" s="2999">
        <v>389</v>
      </c>
      <c r="B390" s="3005" t="s">
        <v>3299</v>
      </c>
      <c r="C390" s="3000" t="s">
        <v>3275</v>
      </c>
      <c r="D390" s="3000" t="s">
        <v>3261</v>
      </c>
      <c r="E390" s="3000" t="s">
        <v>70</v>
      </c>
      <c r="F390" s="3000">
        <v>301</v>
      </c>
      <c r="G390" s="3000">
        <v>94.63</v>
      </c>
      <c r="H390" s="3001" t="s">
        <v>3055</v>
      </c>
    </row>
    <row r="391" spans="1:8" ht="14.25" hidden="1" thickBot="1">
      <c r="A391" s="2999">
        <v>390</v>
      </c>
      <c r="B391" s="3005" t="s">
        <v>3299</v>
      </c>
      <c r="C391" s="3000" t="s">
        <v>3275</v>
      </c>
      <c r="D391" s="3000" t="s">
        <v>3261</v>
      </c>
      <c r="E391" s="3000" t="s">
        <v>70</v>
      </c>
      <c r="F391" s="3000">
        <v>303</v>
      </c>
      <c r="G391" s="3000">
        <v>69.569999999999993</v>
      </c>
      <c r="H391" s="3001" t="s">
        <v>3055</v>
      </c>
    </row>
    <row r="392" spans="1:8" ht="14.25" hidden="1" thickBot="1">
      <c r="A392" s="2999">
        <v>391</v>
      </c>
      <c r="B392" s="3005" t="s">
        <v>3299</v>
      </c>
      <c r="C392" s="3000" t="s">
        <v>3275</v>
      </c>
      <c r="D392" s="3000" t="s">
        <v>3261</v>
      </c>
      <c r="E392" s="3000" t="s">
        <v>70</v>
      </c>
      <c r="F392" s="3000">
        <v>305</v>
      </c>
      <c r="G392" s="3000">
        <v>69.569999999999993</v>
      </c>
      <c r="H392" s="3001" t="s">
        <v>3055</v>
      </c>
    </row>
    <row r="393" spans="1:8" ht="14.25" hidden="1" thickBot="1">
      <c r="A393" s="2999">
        <v>392</v>
      </c>
      <c r="B393" s="3005" t="s">
        <v>3299</v>
      </c>
      <c r="C393" s="3000" t="s">
        <v>3275</v>
      </c>
      <c r="D393" s="3000" t="s">
        <v>3261</v>
      </c>
      <c r="E393" s="3000" t="s">
        <v>70</v>
      </c>
      <c r="F393" s="3000" t="s">
        <v>3276</v>
      </c>
      <c r="G393" s="3000">
        <v>69.47</v>
      </c>
      <c r="H393" s="3001" t="s">
        <v>3055</v>
      </c>
    </row>
    <row r="394" spans="1:8" ht="14.25" hidden="1" thickBot="1">
      <c r="A394" s="2999">
        <v>393</v>
      </c>
      <c r="B394" s="3005" t="s">
        <v>3299</v>
      </c>
      <c r="C394" s="3000" t="s">
        <v>3275</v>
      </c>
      <c r="D394" s="3000" t="s">
        <v>3261</v>
      </c>
      <c r="E394" s="3000" t="s">
        <v>70</v>
      </c>
      <c r="F394" s="3000">
        <v>307</v>
      </c>
      <c r="G394" s="3000">
        <v>66.010000000000005</v>
      </c>
      <c r="H394" s="3001" t="s">
        <v>3055</v>
      </c>
    </row>
    <row r="395" spans="1:8" ht="14.25" hidden="1" thickBot="1">
      <c r="A395" s="2999">
        <v>394</v>
      </c>
      <c r="B395" s="3005" t="s">
        <v>3299</v>
      </c>
      <c r="C395" s="3000" t="s">
        <v>3275</v>
      </c>
      <c r="D395" s="3000" t="s">
        <v>3262</v>
      </c>
      <c r="E395" s="3000" t="s">
        <v>70</v>
      </c>
      <c r="F395" s="3000" t="s">
        <v>3146</v>
      </c>
      <c r="G395" s="3000">
        <v>69.47</v>
      </c>
      <c r="H395" s="3001" t="s">
        <v>3055</v>
      </c>
    </row>
    <row r="396" spans="1:8" ht="14.25" hidden="1" thickBot="1">
      <c r="A396" s="2999">
        <v>395</v>
      </c>
      <c r="B396" s="3005" t="s">
        <v>3299</v>
      </c>
      <c r="C396" s="3000" t="s">
        <v>3275</v>
      </c>
      <c r="D396" s="3000" t="s">
        <v>3262</v>
      </c>
      <c r="E396" s="3000" t="s">
        <v>70</v>
      </c>
      <c r="F396" s="3000" t="s">
        <v>3147</v>
      </c>
      <c r="G396" s="3000">
        <v>69.569999999999993</v>
      </c>
      <c r="H396" s="3001" t="s">
        <v>3055</v>
      </c>
    </row>
    <row r="397" spans="1:8" ht="14.25" hidden="1" thickBot="1">
      <c r="A397" s="2999">
        <v>396</v>
      </c>
      <c r="B397" s="3005" t="s">
        <v>3299</v>
      </c>
      <c r="C397" s="3000" t="s">
        <v>3275</v>
      </c>
      <c r="D397" s="3000" t="s">
        <v>3262</v>
      </c>
      <c r="E397" s="3000" t="s">
        <v>70</v>
      </c>
      <c r="F397" s="3000" t="s">
        <v>3148</v>
      </c>
      <c r="G397" s="3000">
        <v>69.569999999999993</v>
      </c>
      <c r="H397" s="3001" t="s">
        <v>3055</v>
      </c>
    </row>
    <row r="398" spans="1:8" ht="14.25" hidden="1" thickBot="1">
      <c r="A398" s="2999">
        <v>397</v>
      </c>
      <c r="B398" s="3005" t="s">
        <v>3299</v>
      </c>
      <c r="C398" s="3000" t="s">
        <v>3275</v>
      </c>
      <c r="D398" s="3000" t="s">
        <v>3262</v>
      </c>
      <c r="E398" s="3000" t="s">
        <v>70</v>
      </c>
      <c r="F398" s="3000" t="s">
        <v>3150</v>
      </c>
      <c r="G398" s="3000">
        <v>66.010000000000005</v>
      </c>
      <c r="H398" s="3001" t="s">
        <v>3055</v>
      </c>
    </row>
    <row r="399" spans="1:8" ht="14.25" hidden="1" thickBot="1">
      <c r="A399" s="2999">
        <v>398</v>
      </c>
      <c r="B399" s="3005" t="s">
        <v>3299</v>
      </c>
      <c r="C399" s="3000" t="s">
        <v>3275</v>
      </c>
      <c r="D399" s="3000" t="s">
        <v>3263</v>
      </c>
      <c r="E399" s="3000" t="s">
        <v>70</v>
      </c>
      <c r="F399" s="3000">
        <v>502</v>
      </c>
      <c r="G399" s="3000">
        <v>69.47</v>
      </c>
      <c r="H399" s="3001" t="s">
        <v>3055</v>
      </c>
    </row>
    <row r="400" spans="1:8" ht="14.25" hidden="1" thickBot="1">
      <c r="A400" s="2999">
        <v>399</v>
      </c>
      <c r="B400" s="3005" t="s">
        <v>3299</v>
      </c>
      <c r="C400" s="3000" t="s">
        <v>3275</v>
      </c>
      <c r="D400" s="3000" t="s">
        <v>3263</v>
      </c>
      <c r="E400" s="3000" t="s">
        <v>70</v>
      </c>
      <c r="F400" s="3000">
        <v>503</v>
      </c>
      <c r="G400" s="3000">
        <v>69.569999999999993</v>
      </c>
      <c r="H400" s="3001" t="s">
        <v>3055</v>
      </c>
    </row>
    <row r="401" spans="1:8" ht="14.25" hidden="1" thickBot="1">
      <c r="A401" s="2999">
        <v>400</v>
      </c>
      <c r="B401" s="3005" t="s">
        <v>3299</v>
      </c>
      <c r="C401" s="3000" t="s">
        <v>3275</v>
      </c>
      <c r="D401" s="3000" t="s">
        <v>3263</v>
      </c>
      <c r="E401" s="3000" t="s">
        <v>70</v>
      </c>
      <c r="F401" s="3000">
        <v>505</v>
      </c>
      <c r="G401" s="3000">
        <v>69.569999999999993</v>
      </c>
      <c r="H401" s="3001" t="s">
        <v>3055</v>
      </c>
    </row>
    <row r="402" spans="1:8" ht="14.25" hidden="1" thickBot="1">
      <c r="A402" s="2999">
        <v>401</v>
      </c>
      <c r="B402" s="3005" t="s">
        <v>3299</v>
      </c>
      <c r="C402" s="3000" t="s">
        <v>3275</v>
      </c>
      <c r="D402" s="3000" t="s">
        <v>3263</v>
      </c>
      <c r="E402" s="3000" t="s">
        <v>70</v>
      </c>
      <c r="F402" s="3000">
        <v>506</v>
      </c>
      <c r="G402" s="3000">
        <v>69.47</v>
      </c>
      <c r="H402" s="3001" t="s">
        <v>3055</v>
      </c>
    </row>
    <row r="403" spans="1:8" ht="14.25" hidden="1" thickBot="1">
      <c r="A403" s="2999">
        <v>402</v>
      </c>
      <c r="B403" s="3005" t="s">
        <v>3299</v>
      </c>
      <c r="C403" s="3000" t="s">
        <v>3275</v>
      </c>
      <c r="D403" s="3000" t="s">
        <v>3263</v>
      </c>
      <c r="E403" s="3000" t="s">
        <v>70</v>
      </c>
      <c r="F403" s="3000">
        <v>507</v>
      </c>
      <c r="G403" s="3000">
        <v>66.010000000000005</v>
      </c>
      <c r="H403" s="3001" t="s">
        <v>3055</v>
      </c>
    </row>
    <row r="404" spans="1:8" ht="14.25" hidden="1" thickBot="1">
      <c r="A404" s="2999">
        <v>403</v>
      </c>
      <c r="B404" s="3005" t="s">
        <v>3299</v>
      </c>
      <c r="C404" s="3000" t="s">
        <v>3275</v>
      </c>
      <c r="D404" s="3000" t="s">
        <v>3264</v>
      </c>
      <c r="E404" s="3000" t="s">
        <v>70</v>
      </c>
      <c r="F404" s="3000">
        <v>601</v>
      </c>
      <c r="G404" s="3000">
        <v>94.63</v>
      </c>
      <c r="H404" s="3001" t="s">
        <v>3055</v>
      </c>
    </row>
    <row r="405" spans="1:8" ht="14.25" hidden="1" thickBot="1">
      <c r="A405" s="2999">
        <v>404</v>
      </c>
      <c r="B405" s="3005" t="s">
        <v>3299</v>
      </c>
      <c r="C405" s="3000" t="s">
        <v>3275</v>
      </c>
      <c r="D405" s="3000" t="s">
        <v>3264</v>
      </c>
      <c r="E405" s="3000" t="s">
        <v>70</v>
      </c>
      <c r="F405" s="3000">
        <v>602</v>
      </c>
      <c r="G405" s="3000">
        <v>69.47</v>
      </c>
      <c r="H405" s="3001" t="s">
        <v>3055</v>
      </c>
    </row>
    <row r="406" spans="1:8" ht="14.25" hidden="1" thickBot="1">
      <c r="A406" s="2999">
        <v>405</v>
      </c>
      <c r="B406" s="3005" t="s">
        <v>3299</v>
      </c>
      <c r="C406" s="3000" t="s">
        <v>3275</v>
      </c>
      <c r="D406" s="3000" t="s">
        <v>3264</v>
      </c>
      <c r="E406" s="3000" t="s">
        <v>70</v>
      </c>
      <c r="F406" s="3000">
        <v>603</v>
      </c>
      <c r="G406" s="3000">
        <v>69.569999999999993</v>
      </c>
      <c r="H406" s="3001" t="s">
        <v>3055</v>
      </c>
    </row>
    <row r="407" spans="1:8" ht="14.25" hidden="1" thickBot="1">
      <c r="A407" s="2999">
        <v>406</v>
      </c>
      <c r="B407" s="3005" t="s">
        <v>3299</v>
      </c>
      <c r="C407" s="3000" t="s">
        <v>3275</v>
      </c>
      <c r="D407" s="3000" t="s">
        <v>3264</v>
      </c>
      <c r="E407" s="3000" t="s">
        <v>70</v>
      </c>
      <c r="F407" s="3000">
        <v>605</v>
      </c>
      <c r="G407" s="3000">
        <v>69.569999999999993</v>
      </c>
      <c r="H407" s="3001" t="s">
        <v>3055</v>
      </c>
    </row>
    <row r="408" spans="1:8" ht="14.25" hidden="1" thickBot="1">
      <c r="A408" s="2999">
        <v>407</v>
      </c>
      <c r="B408" s="3005" t="s">
        <v>3299</v>
      </c>
      <c r="C408" s="3000" t="s">
        <v>3275</v>
      </c>
      <c r="D408" s="3000" t="s">
        <v>3264</v>
      </c>
      <c r="E408" s="3000" t="s">
        <v>70</v>
      </c>
      <c r="F408" s="3000">
        <v>606</v>
      </c>
      <c r="G408" s="3000">
        <v>69.47</v>
      </c>
      <c r="H408" s="3001" t="s">
        <v>3055</v>
      </c>
    </row>
    <row r="409" spans="1:8" ht="14.25" hidden="1" thickBot="1">
      <c r="A409" s="2999">
        <v>408</v>
      </c>
      <c r="B409" s="3005" t="s">
        <v>3299</v>
      </c>
      <c r="C409" s="3000" t="s">
        <v>3275</v>
      </c>
      <c r="D409" s="3000" t="s">
        <v>3264</v>
      </c>
      <c r="E409" s="3000" t="s">
        <v>70</v>
      </c>
      <c r="F409" s="3000">
        <v>607</v>
      </c>
      <c r="G409" s="3000">
        <v>66.010000000000005</v>
      </c>
      <c r="H409" s="3001" t="s">
        <v>3055</v>
      </c>
    </row>
    <row r="410" spans="1:8" ht="14.25" hidden="1" thickBot="1">
      <c r="A410" s="2999">
        <v>409</v>
      </c>
      <c r="B410" s="3005" t="s">
        <v>3299</v>
      </c>
      <c r="C410" s="3000" t="s">
        <v>3277</v>
      </c>
      <c r="D410" s="3000" t="s">
        <v>3257</v>
      </c>
      <c r="E410" s="3000" t="s">
        <v>3258</v>
      </c>
      <c r="F410" s="3000">
        <v>101</v>
      </c>
      <c r="G410" s="3000">
        <v>66.069999999999993</v>
      </c>
      <c r="H410" s="3001" t="s">
        <v>3055</v>
      </c>
    </row>
    <row r="411" spans="1:8" ht="14.25" hidden="1" thickBot="1">
      <c r="A411" s="2999">
        <v>410</v>
      </c>
      <c r="B411" s="3005" t="s">
        <v>3299</v>
      </c>
      <c r="C411" s="3000" t="s">
        <v>3277</v>
      </c>
      <c r="D411" s="3000" t="s">
        <v>3257</v>
      </c>
      <c r="E411" s="3000" t="s">
        <v>3258</v>
      </c>
      <c r="F411" s="3000">
        <v>102</v>
      </c>
      <c r="G411" s="3000">
        <v>69.56</v>
      </c>
      <c r="H411" s="3001" t="s">
        <v>3055</v>
      </c>
    </row>
    <row r="412" spans="1:8" ht="14.25" hidden="1" thickBot="1">
      <c r="A412" s="2999">
        <v>411</v>
      </c>
      <c r="B412" s="3005" t="s">
        <v>3299</v>
      </c>
      <c r="C412" s="3000" t="s">
        <v>3277</v>
      </c>
      <c r="D412" s="3000" t="s">
        <v>3257</v>
      </c>
      <c r="E412" s="3000" t="s">
        <v>3258</v>
      </c>
      <c r="F412" s="3000">
        <v>103</v>
      </c>
      <c r="G412" s="3000">
        <v>69.72</v>
      </c>
      <c r="H412" s="3001" t="s">
        <v>3055</v>
      </c>
    </row>
    <row r="413" spans="1:8" ht="14.25" hidden="1" thickBot="1">
      <c r="A413" s="2999">
        <v>412</v>
      </c>
      <c r="B413" s="3005" t="s">
        <v>3299</v>
      </c>
      <c r="C413" s="3000" t="s">
        <v>3277</v>
      </c>
      <c r="D413" s="3000" t="s">
        <v>3257</v>
      </c>
      <c r="E413" s="3000" t="s">
        <v>3258</v>
      </c>
      <c r="F413" s="3000">
        <v>105</v>
      </c>
      <c r="G413" s="3000">
        <v>69.56</v>
      </c>
      <c r="H413" s="3001" t="s">
        <v>3055</v>
      </c>
    </row>
    <row r="414" spans="1:8" ht="14.25" hidden="1" thickBot="1">
      <c r="A414" s="2999">
        <v>413</v>
      </c>
      <c r="B414" s="3005" t="s">
        <v>3299</v>
      </c>
      <c r="C414" s="3000" t="s">
        <v>3277</v>
      </c>
      <c r="D414" s="3000" t="s">
        <v>3257</v>
      </c>
      <c r="E414" s="3000" t="s">
        <v>3258</v>
      </c>
      <c r="F414" s="3000">
        <v>106</v>
      </c>
      <c r="G414" s="3000">
        <v>94.74</v>
      </c>
      <c r="H414" s="3001" t="s">
        <v>3055</v>
      </c>
    </row>
    <row r="415" spans="1:8" ht="14.25" hidden="1" thickBot="1">
      <c r="A415" s="2999">
        <v>414</v>
      </c>
      <c r="B415" s="3005" t="s">
        <v>3299</v>
      </c>
      <c r="C415" s="3000" t="s">
        <v>3277</v>
      </c>
      <c r="D415" s="3000" t="s">
        <v>3257</v>
      </c>
      <c r="E415" s="3000" t="s">
        <v>3259</v>
      </c>
      <c r="F415" s="3000">
        <v>101</v>
      </c>
      <c r="G415" s="3000">
        <v>94.74</v>
      </c>
      <c r="H415" s="3001" t="s">
        <v>3055</v>
      </c>
    </row>
    <row r="416" spans="1:8" ht="14.25" hidden="1" thickBot="1">
      <c r="A416" s="2999">
        <v>415</v>
      </c>
      <c r="B416" s="3005" t="s">
        <v>3299</v>
      </c>
      <c r="C416" s="3000" t="s">
        <v>3277</v>
      </c>
      <c r="D416" s="3000" t="s">
        <v>3257</v>
      </c>
      <c r="E416" s="3000" t="s">
        <v>3259</v>
      </c>
      <c r="F416" s="3000">
        <v>102</v>
      </c>
      <c r="G416" s="3000">
        <v>69.56</v>
      </c>
      <c r="H416" s="3001" t="s">
        <v>3055</v>
      </c>
    </row>
    <row r="417" spans="1:8" ht="14.25" hidden="1" thickBot="1">
      <c r="A417" s="2999">
        <v>416</v>
      </c>
      <c r="B417" s="3005" t="s">
        <v>3299</v>
      </c>
      <c r="C417" s="3000" t="s">
        <v>3277</v>
      </c>
      <c r="D417" s="3000" t="s">
        <v>3257</v>
      </c>
      <c r="E417" s="3000" t="s">
        <v>3259</v>
      </c>
      <c r="F417" s="3000">
        <v>103</v>
      </c>
      <c r="G417" s="3000">
        <v>69.72</v>
      </c>
      <c r="H417" s="3001" t="s">
        <v>3055</v>
      </c>
    </row>
    <row r="418" spans="1:8" ht="14.25" hidden="1" thickBot="1">
      <c r="A418" s="2999">
        <v>417</v>
      </c>
      <c r="B418" s="3005" t="s">
        <v>3299</v>
      </c>
      <c r="C418" s="3000" t="s">
        <v>3277</v>
      </c>
      <c r="D418" s="3000" t="s">
        <v>3257</v>
      </c>
      <c r="E418" s="3000" t="s">
        <v>3259</v>
      </c>
      <c r="F418" s="3000">
        <v>105</v>
      </c>
      <c r="G418" s="3000">
        <v>69.56</v>
      </c>
      <c r="H418" s="3001" t="s">
        <v>3055</v>
      </c>
    </row>
    <row r="419" spans="1:8" ht="14.25" hidden="1" thickBot="1">
      <c r="A419" s="2999">
        <v>418</v>
      </c>
      <c r="B419" s="3005" t="s">
        <v>3299</v>
      </c>
      <c r="C419" s="3000" t="s">
        <v>3277</v>
      </c>
      <c r="D419" s="3000" t="s">
        <v>3257</v>
      </c>
      <c r="E419" s="3000" t="s">
        <v>3259</v>
      </c>
      <c r="F419" s="3000">
        <v>106</v>
      </c>
      <c r="G419" s="3000">
        <v>66.069999999999993</v>
      </c>
      <c r="H419" s="3001" t="s">
        <v>3055</v>
      </c>
    </row>
    <row r="420" spans="1:8" ht="14.25" hidden="1" thickBot="1">
      <c r="A420" s="2999">
        <v>419</v>
      </c>
      <c r="B420" s="3005" t="s">
        <v>3299</v>
      </c>
      <c r="C420" s="3000" t="s">
        <v>3277</v>
      </c>
      <c r="D420" s="3000" t="s">
        <v>3260</v>
      </c>
      <c r="E420" s="3000" t="s">
        <v>3258</v>
      </c>
      <c r="F420" s="3000">
        <v>201</v>
      </c>
      <c r="G420" s="3000">
        <v>66.069999999999993</v>
      </c>
      <c r="H420" s="3001" t="s">
        <v>3055</v>
      </c>
    </row>
    <row r="421" spans="1:8" ht="14.25" hidden="1" thickBot="1">
      <c r="A421" s="2999">
        <v>420</v>
      </c>
      <c r="B421" s="3005" t="s">
        <v>3299</v>
      </c>
      <c r="C421" s="3000" t="s">
        <v>3277</v>
      </c>
      <c r="D421" s="3000" t="s">
        <v>3260</v>
      </c>
      <c r="E421" s="3000" t="s">
        <v>3258</v>
      </c>
      <c r="F421" s="3000">
        <v>207</v>
      </c>
      <c r="G421" s="3000">
        <v>94.74</v>
      </c>
      <c r="H421" s="3001" t="s">
        <v>3055</v>
      </c>
    </row>
    <row r="422" spans="1:8" ht="14.25" hidden="1" thickBot="1">
      <c r="A422" s="2999">
        <v>421</v>
      </c>
      <c r="B422" s="3005" t="s">
        <v>3299</v>
      </c>
      <c r="C422" s="3000" t="s">
        <v>3277</v>
      </c>
      <c r="D422" s="3000" t="s">
        <v>3260</v>
      </c>
      <c r="E422" s="3000" t="s">
        <v>3259</v>
      </c>
      <c r="F422" s="3000">
        <v>206</v>
      </c>
      <c r="G422" s="3000">
        <v>69.56</v>
      </c>
      <c r="H422" s="3001" t="s">
        <v>3055</v>
      </c>
    </row>
    <row r="423" spans="1:8" ht="14.25" hidden="1" thickBot="1">
      <c r="A423" s="2999">
        <v>422</v>
      </c>
      <c r="B423" s="3005" t="s">
        <v>3299</v>
      </c>
      <c r="C423" s="3000" t="s">
        <v>3277</v>
      </c>
      <c r="D423" s="3000" t="s">
        <v>3260</v>
      </c>
      <c r="E423" s="3000" t="s">
        <v>3259</v>
      </c>
      <c r="F423" s="3000">
        <v>207</v>
      </c>
      <c r="G423" s="3000">
        <v>66.069999999999993</v>
      </c>
      <c r="H423" s="3001" t="s">
        <v>3055</v>
      </c>
    </row>
    <row r="424" spans="1:8" ht="14.25" hidden="1" thickBot="1">
      <c r="A424" s="2999">
        <v>423</v>
      </c>
      <c r="B424" s="3005" t="s">
        <v>3299</v>
      </c>
      <c r="C424" s="3000" t="s">
        <v>3277</v>
      </c>
      <c r="D424" s="3000" t="s">
        <v>3261</v>
      </c>
      <c r="E424" s="3000" t="s">
        <v>3258</v>
      </c>
      <c r="F424" s="3000">
        <v>301</v>
      </c>
      <c r="G424" s="3000">
        <v>66.069999999999993</v>
      </c>
      <c r="H424" s="3001" t="s">
        <v>3055</v>
      </c>
    </row>
    <row r="425" spans="1:8" ht="14.25" hidden="1" thickBot="1">
      <c r="A425" s="2999">
        <v>424</v>
      </c>
      <c r="B425" s="3005" t="s">
        <v>3299</v>
      </c>
      <c r="C425" s="3000" t="s">
        <v>3277</v>
      </c>
      <c r="D425" s="3000" t="s">
        <v>3261</v>
      </c>
      <c r="E425" s="3000" t="s">
        <v>3258</v>
      </c>
      <c r="F425" s="3000">
        <v>306</v>
      </c>
      <c r="G425" s="3000">
        <v>69.56</v>
      </c>
      <c r="H425" s="3001" t="s">
        <v>3055</v>
      </c>
    </row>
    <row r="426" spans="1:8" ht="14.25" hidden="1" thickBot="1">
      <c r="A426" s="2999">
        <v>425</v>
      </c>
      <c r="B426" s="3005" t="s">
        <v>3299</v>
      </c>
      <c r="C426" s="3000" t="s">
        <v>3277</v>
      </c>
      <c r="D426" s="3000" t="s">
        <v>3261</v>
      </c>
      <c r="E426" s="3000" t="s">
        <v>3258</v>
      </c>
      <c r="F426" s="3000">
        <v>307</v>
      </c>
      <c r="G426" s="3000">
        <v>94.74</v>
      </c>
      <c r="H426" s="3001" t="s">
        <v>3055</v>
      </c>
    </row>
    <row r="427" spans="1:8" ht="14.25" hidden="1" thickBot="1">
      <c r="A427" s="2999">
        <v>426</v>
      </c>
      <c r="B427" s="3005" t="s">
        <v>3299</v>
      </c>
      <c r="C427" s="3000" t="s">
        <v>3277</v>
      </c>
      <c r="D427" s="3000" t="s">
        <v>3261</v>
      </c>
      <c r="E427" s="3000" t="s">
        <v>3259</v>
      </c>
      <c r="F427" s="3000">
        <v>301</v>
      </c>
      <c r="G427" s="3000">
        <v>94.74</v>
      </c>
      <c r="H427" s="3001" t="s">
        <v>3055</v>
      </c>
    </row>
    <row r="428" spans="1:8" ht="14.25" hidden="1" thickBot="1">
      <c r="A428" s="2999">
        <v>427</v>
      </c>
      <c r="B428" s="3005" t="s">
        <v>3299</v>
      </c>
      <c r="C428" s="3000" t="s">
        <v>3277</v>
      </c>
      <c r="D428" s="3000" t="s">
        <v>3261</v>
      </c>
      <c r="E428" s="3000" t="s">
        <v>3259</v>
      </c>
      <c r="F428" s="3000">
        <v>302</v>
      </c>
      <c r="G428" s="3000">
        <v>69.56</v>
      </c>
      <c r="H428" s="3001" t="s">
        <v>3055</v>
      </c>
    </row>
    <row r="429" spans="1:8" ht="14.25" hidden="1" thickBot="1">
      <c r="A429" s="2999">
        <v>428</v>
      </c>
      <c r="B429" s="3005" t="s">
        <v>3299</v>
      </c>
      <c r="C429" s="3000" t="s">
        <v>3277</v>
      </c>
      <c r="D429" s="3000" t="s">
        <v>3261</v>
      </c>
      <c r="E429" s="3000" t="s">
        <v>3259</v>
      </c>
      <c r="F429" s="3000">
        <v>306</v>
      </c>
      <c r="G429" s="3000">
        <v>69.56</v>
      </c>
      <c r="H429" s="3001" t="s">
        <v>3055</v>
      </c>
    </row>
    <row r="430" spans="1:8" ht="14.25" hidden="1" thickBot="1">
      <c r="A430" s="2999">
        <v>429</v>
      </c>
      <c r="B430" s="3005" t="s">
        <v>3299</v>
      </c>
      <c r="C430" s="3000" t="s">
        <v>3277</v>
      </c>
      <c r="D430" s="3000" t="s">
        <v>3262</v>
      </c>
      <c r="E430" s="3000" t="s">
        <v>3258</v>
      </c>
      <c r="F430" s="3000" t="s">
        <v>3145</v>
      </c>
      <c r="G430" s="3000">
        <v>66.069999999999993</v>
      </c>
      <c r="H430" s="3001" t="s">
        <v>3055</v>
      </c>
    </row>
    <row r="431" spans="1:8" ht="14.25" hidden="1" thickBot="1">
      <c r="A431" s="2999">
        <v>430</v>
      </c>
      <c r="B431" s="3005" t="s">
        <v>3299</v>
      </c>
      <c r="C431" s="3000" t="s">
        <v>3277</v>
      </c>
      <c r="D431" s="3000" t="s">
        <v>3262</v>
      </c>
      <c r="E431" s="3000" t="s">
        <v>3258</v>
      </c>
      <c r="F431" s="3000" t="s">
        <v>3150</v>
      </c>
      <c r="G431" s="3000">
        <v>94.74</v>
      </c>
      <c r="H431" s="3001" t="s">
        <v>3055</v>
      </c>
    </row>
    <row r="432" spans="1:8" ht="14.25" hidden="1" thickBot="1">
      <c r="A432" s="2999">
        <v>431</v>
      </c>
      <c r="B432" s="3005" t="s">
        <v>3299</v>
      </c>
      <c r="C432" s="3000" t="s">
        <v>3277</v>
      </c>
      <c r="D432" s="3000" t="s">
        <v>3262</v>
      </c>
      <c r="E432" s="3000" t="s">
        <v>3259</v>
      </c>
      <c r="F432" s="3000" t="s">
        <v>3145</v>
      </c>
      <c r="G432" s="3000">
        <v>94.74</v>
      </c>
      <c r="H432" s="3001" t="s">
        <v>3055</v>
      </c>
    </row>
    <row r="433" spans="1:8" ht="14.25" hidden="1" thickBot="1">
      <c r="A433" s="2999">
        <v>432</v>
      </c>
      <c r="B433" s="3005" t="s">
        <v>3299</v>
      </c>
      <c r="C433" s="3000" t="s">
        <v>3277</v>
      </c>
      <c r="D433" s="3000" t="s">
        <v>3262</v>
      </c>
      <c r="E433" s="3000" t="s">
        <v>3259</v>
      </c>
      <c r="F433" s="3000" t="s">
        <v>3146</v>
      </c>
      <c r="G433" s="3000">
        <v>69.56</v>
      </c>
      <c r="H433" s="3001" t="s">
        <v>3055</v>
      </c>
    </row>
    <row r="434" spans="1:8" ht="14.25" hidden="1" thickBot="1">
      <c r="A434" s="2999">
        <v>433</v>
      </c>
      <c r="B434" s="3005" t="s">
        <v>3299</v>
      </c>
      <c r="C434" s="3000" t="s">
        <v>3277</v>
      </c>
      <c r="D434" s="3000" t="s">
        <v>3262</v>
      </c>
      <c r="E434" s="3000" t="s">
        <v>3259</v>
      </c>
      <c r="F434" s="3000" t="s">
        <v>3149</v>
      </c>
      <c r="G434" s="3000">
        <v>69.56</v>
      </c>
      <c r="H434" s="3001" t="s">
        <v>3055</v>
      </c>
    </row>
    <row r="435" spans="1:8" ht="14.25" hidden="1" thickBot="1">
      <c r="A435" s="2999">
        <v>434</v>
      </c>
      <c r="B435" s="3005" t="s">
        <v>3299</v>
      </c>
      <c r="C435" s="3000" t="s">
        <v>3277</v>
      </c>
      <c r="D435" s="3000" t="s">
        <v>3262</v>
      </c>
      <c r="E435" s="3000" t="s">
        <v>3259</v>
      </c>
      <c r="F435" s="3000" t="s">
        <v>3150</v>
      </c>
      <c r="G435" s="3000">
        <v>66.069999999999993</v>
      </c>
      <c r="H435" s="3001" t="s">
        <v>3055</v>
      </c>
    </row>
    <row r="436" spans="1:8" ht="14.25" hidden="1" thickBot="1">
      <c r="A436" s="2999">
        <v>435</v>
      </c>
      <c r="B436" s="3005" t="s">
        <v>3299</v>
      </c>
      <c r="C436" s="3000" t="s">
        <v>3277</v>
      </c>
      <c r="D436" s="3000" t="s">
        <v>3263</v>
      </c>
      <c r="E436" s="3000" t="s">
        <v>3258</v>
      </c>
      <c r="F436" s="3000">
        <v>501</v>
      </c>
      <c r="G436" s="3000">
        <v>66.069999999999993</v>
      </c>
      <c r="H436" s="3001" t="s">
        <v>3055</v>
      </c>
    </row>
    <row r="437" spans="1:8" ht="14.25" hidden="1" thickBot="1">
      <c r="A437" s="2999">
        <v>436</v>
      </c>
      <c r="B437" s="3005" t="s">
        <v>3299</v>
      </c>
      <c r="C437" s="3000" t="s">
        <v>3277</v>
      </c>
      <c r="D437" s="3000" t="s">
        <v>3263</v>
      </c>
      <c r="E437" s="3000" t="s">
        <v>3258</v>
      </c>
      <c r="F437" s="3000">
        <v>507</v>
      </c>
      <c r="G437" s="3000">
        <v>94.74</v>
      </c>
      <c r="H437" s="3001" t="s">
        <v>3055</v>
      </c>
    </row>
    <row r="438" spans="1:8" ht="14.25" hidden="1" thickBot="1">
      <c r="A438" s="2999">
        <v>437</v>
      </c>
      <c r="B438" s="3005" t="s">
        <v>3299</v>
      </c>
      <c r="C438" s="3000" t="s">
        <v>3277</v>
      </c>
      <c r="D438" s="3000" t="s">
        <v>3263</v>
      </c>
      <c r="E438" s="3000" t="s">
        <v>3259</v>
      </c>
      <c r="F438" s="3000">
        <v>501</v>
      </c>
      <c r="G438" s="3000">
        <v>94.74</v>
      </c>
      <c r="H438" s="3001" t="s">
        <v>3055</v>
      </c>
    </row>
    <row r="439" spans="1:8" ht="14.25" hidden="1" thickBot="1">
      <c r="A439" s="2999">
        <v>438</v>
      </c>
      <c r="B439" s="3005" t="s">
        <v>3299</v>
      </c>
      <c r="C439" s="3000" t="s">
        <v>3277</v>
      </c>
      <c r="D439" s="3000" t="s">
        <v>3263</v>
      </c>
      <c r="E439" s="3000" t="s">
        <v>3259</v>
      </c>
      <c r="F439" s="3000">
        <v>502</v>
      </c>
      <c r="G439" s="3000">
        <v>69.56</v>
      </c>
      <c r="H439" s="3001" t="s">
        <v>3055</v>
      </c>
    </row>
    <row r="440" spans="1:8" ht="14.25" hidden="1" thickBot="1">
      <c r="A440" s="2999">
        <v>439</v>
      </c>
      <c r="B440" s="3005" t="s">
        <v>3299</v>
      </c>
      <c r="C440" s="3000" t="s">
        <v>3277</v>
      </c>
      <c r="D440" s="3000" t="s">
        <v>3263</v>
      </c>
      <c r="E440" s="3000" t="s">
        <v>3259</v>
      </c>
      <c r="F440" s="3000">
        <v>507</v>
      </c>
      <c r="G440" s="3000">
        <v>66.069999999999993</v>
      </c>
      <c r="H440" s="3001" t="s">
        <v>3055</v>
      </c>
    </row>
    <row r="441" spans="1:8" ht="14.25" hidden="1" thickBot="1">
      <c r="A441" s="2999">
        <v>440</v>
      </c>
      <c r="B441" s="3005" t="s">
        <v>3299</v>
      </c>
      <c r="C441" s="3000" t="s">
        <v>3277</v>
      </c>
      <c r="D441" s="3000" t="s">
        <v>3264</v>
      </c>
      <c r="E441" s="3000" t="s">
        <v>3258</v>
      </c>
      <c r="F441" s="3000">
        <v>601</v>
      </c>
      <c r="G441" s="3000">
        <v>66.069999999999993</v>
      </c>
      <c r="H441" s="3001" t="s">
        <v>3055</v>
      </c>
    </row>
    <row r="442" spans="1:8" ht="14.25" hidden="1" thickBot="1">
      <c r="A442" s="2999">
        <v>441</v>
      </c>
      <c r="B442" s="3005" t="s">
        <v>3299</v>
      </c>
      <c r="C442" s="3000" t="s">
        <v>3277</v>
      </c>
      <c r="D442" s="3000" t="s">
        <v>3264</v>
      </c>
      <c r="E442" s="3000" t="s">
        <v>3258</v>
      </c>
      <c r="F442" s="3000">
        <v>602</v>
      </c>
      <c r="G442" s="3000">
        <v>69.56</v>
      </c>
      <c r="H442" s="3001" t="s">
        <v>3055</v>
      </c>
    </row>
    <row r="443" spans="1:8" ht="14.25" hidden="1" thickBot="1">
      <c r="A443" s="2999">
        <v>442</v>
      </c>
      <c r="B443" s="3005" t="s">
        <v>3299</v>
      </c>
      <c r="C443" s="3000" t="s">
        <v>3277</v>
      </c>
      <c r="D443" s="3000" t="s">
        <v>3264</v>
      </c>
      <c r="E443" s="3000" t="s">
        <v>3258</v>
      </c>
      <c r="F443" s="3000">
        <v>603</v>
      </c>
      <c r="G443" s="3000">
        <v>69.75</v>
      </c>
      <c r="H443" s="3001" t="s">
        <v>3055</v>
      </c>
    </row>
    <row r="444" spans="1:8" ht="14.25" hidden="1" thickBot="1">
      <c r="A444" s="2999">
        <v>443</v>
      </c>
      <c r="B444" s="3005" t="s">
        <v>3299</v>
      </c>
      <c r="C444" s="3000" t="s">
        <v>3277</v>
      </c>
      <c r="D444" s="3000" t="s">
        <v>3264</v>
      </c>
      <c r="E444" s="3000" t="s">
        <v>3258</v>
      </c>
      <c r="F444" s="3000">
        <v>605</v>
      </c>
      <c r="G444" s="3000">
        <v>69.75</v>
      </c>
      <c r="H444" s="3001" t="s">
        <v>3055</v>
      </c>
    </row>
    <row r="445" spans="1:8" ht="14.25" hidden="1" thickBot="1">
      <c r="A445" s="2999">
        <v>444</v>
      </c>
      <c r="B445" s="3005" t="s">
        <v>3299</v>
      </c>
      <c r="C445" s="3000" t="s">
        <v>3277</v>
      </c>
      <c r="D445" s="3000" t="s">
        <v>3264</v>
      </c>
      <c r="E445" s="3000" t="s">
        <v>3258</v>
      </c>
      <c r="F445" s="3000">
        <v>606</v>
      </c>
      <c r="G445" s="3000">
        <v>69.56</v>
      </c>
      <c r="H445" s="3001" t="s">
        <v>3055</v>
      </c>
    </row>
    <row r="446" spans="1:8" ht="14.25" hidden="1" thickBot="1">
      <c r="A446" s="2999">
        <v>445</v>
      </c>
      <c r="B446" s="3005" t="s">
        <v>3299</v>
      </c>
      <c r="C446" s="3000" t="s">
        <v>3277</v>
      </c>
      <c r="D446" s="3000" t="s">
        <v>3264</v>
      </c>
      <c r="E446" s="3000" t="s">
        <v>3259</v>
      </c>
      <c r="F446" s="3000">
        <v>602</v>
      </c>
      <c r="G446" s="3000">
        <v>69.56</v>
      </c>
      <c r="H446" s="3001" t="s">
        <v>3055</v>
      </c>
    </row>
    <row r="447" spans="1:8" ht="14.25" hidden="1" thickBot="1">
      <c r="A447" s="2999">
        <v>446</v>
      </c>
      <c r="B447" s="3005" t="s">
        <v>3299</v>
      </c>
      <c r="C447" s="3000" t="s">
        <v>3277</v>
      </c>
      <c r="D447" s="3000" t="s">
        <v>3264</v>
      </c>
      <c r="E447" s="3000" t="s">
        <v>3259</v>
      </c>
      <c r="F447" s="3000">
        <v>603</v>
      </c>
      <c r="G447" s="3000">
        <v>69.75</v>
      </c>
      <c r="H447" s="3001" t="s">
        <v>3055</v>
      </c>
    </row>
    <row r="448" spans="1:8" ht="14.25" hidden="1" thickBot="1">
      <c r="A448" s="2999">
        <v>447</v>
      </c>
      <c r="B448" s="3005" t="s">
        <v>3299</v>
      </c>
      <c r="C448" s="3000" t="s">
        <v>3277</v>
      </c>
      <c r="D448" s="3000" t="s">
        <v>3264</v>
      </c>
      <c r="E448" s="3000" t="s">
        <v>3259</v>
      </c>
      <c r="F448" s="3000">
        <v>605</v>
      </c>
      <c r="G448" s="3000">
        <v>69.75</v>
      </c>
      <c r="H448" s="3001" t="s">
        <v>3055</v>
      </c>
    </row>
    <row r="449" spans="1:8" ht="14.25" hidden="1" thickBot="1">
      <c r="A449" s="2999">
        <v>448</v>
      </c>
      <c r="B449" s="3005" t="s">
        <v>3299</v>
      </c>
      <c r="C449" s="3000" t="s">
        <v>3277</v>
      </c>
      <c r="D449" s="3000" t="s">
        <v>3264</v>
      </c>
      <c r="E449" s="3000" t="s">
        <v>3259</v>
      </c>
      <c r="F449" s="3000">
        <v>606</v>
      </c>
      <c r="G449" s="3000">
        <v>69.56</v>
      </c>
      <c r="H449" s="3001" t="s">
        <v>3055</v>
      </c>
    </row>
    <row r="450" spans="1:8" ht="14.25" thickBot="1">
      <c r="A450" s="2999">
        <v>449</v>
      </c>
      <c r="B450" s="3005" t="s">
        <v>3300</v>
      </c>
      <c r="C450" s="3000" t="s">
        <v>3278</v>
      </c>
      <c r="D450" s="3002" t="s">
        <v>3257</v>
      </c>
      <c r="E450" s="3000" t="s">
        <v>70</v>
      </c>
      <c r="F450" s="3002">
        <v>102</v>
      </c>
      <c r="G450" s="3000">
        <v>94.78</v>
      </c>
      <c r="H450" s="3001" t="s">
        <v>3055</v>
      </c>
    </row>
    <row r="451" spans="1:8" ht="14.25" thickBot="1">
      <c r="A451" s="2999">
        <v>450</v>
      </c>
      <c r="B451" s="3005" t="s">
        <v>3300</v>
      </c>
      <c r="C451" s="3000" t="s">
        <v>3278</v>
      </c>
      <c r="D451" s="3002" t="s">
        <v>3257</v>
      </c>
      <c r="E451" s="3000" t="s">
        <v>70</v>
      </c>
      <c r="F451" s="3002">
        <v>103</v>
      </c>
      <c r="G451" s="3000">
        <v>89.72</v>
      </c>
      <c r="H451" s="3001" t="s">
        <v>3055</v>
      </c>
    </row>
    <row r="452" spans="1:8" ht="14.25" thickBot="1">
      <c r="A452" s="2999">
        <v>451</v>
      </c>
      <c r="B452" s="3005" t="s">
        <v>3300</v>
      </c>
      <c r="C452" s="3000" t="s">
        <v>3278</v>
      </c>
      <c r="D452" s="3002" t="s">
        <v>3257</v>
      </c>
      <c r="E452" s="3000" t="s">
        <v>70</v>
      </c>
      <c r="F452" s="3002">
        <v>106</v>
      </c>
      <c r="G452" s="3000">
        <v>95.5</v>
      </c>
      <c r="H452" s="3001" t="s">
        <v>3055</v>
      </c>
    </row>
    <row r="453" spans="1:8" ht="14.25" thickBot="1">
      <c r="A453" s="2999">
        <v>452</v>
      </c>
      <c r="B453" s="3005" t="s">
        <v>3300</v>
      </c>
      <c r="C453" s="3000" t="s">
        <v>3278</v>
      </c>
      <c r="D453" s="3002" t="s">
        <v>3260</v>
      </c>
      <c r="E453" s="3000" t="s">
        <v>70</v>
      </c>
      <c r="F453" s="3002">
        <v>201</v>
      </c>
      <c r="G453" s="3000">
        <v>69.2</v>
      </c>
      <c r="H453" s="3001" t="s">
        <v>3055</v>
      </c>
    </row>
    <row r="454" spans="1:8" ht="14.25" thickBot="1">
      <c r="A454" s="2999">
        <v>453</v>
      </c>
      <c r="B454" s="3005" t="s">
        <v>3300</v>
      </c>
      <c r="C454" s="3000" t="s">
        <v>3278</v>
      </c>
      <c r="D454" s="3002" t="s">
        <v>3260</v>
      </c>
      <c r="E454" s="3000" t="s">
        <v>70</v>
      </c>
      <c r="F454" s="3002">
        <v>202</v>
      </c>
      <c r="G454" s="3000">
        <v>94.76</v>
      </c>
      <c r="H454" s="3001" t="s">
        <v>3055</v>
      </c>
    </row>
    <row r="455" spans="1:8" ht="14.25" thickBot="1">
      <c r="A455" s="2999">
        <v>454</v>
      </c>
      <c r="B455" s="3005" t="s">
        <v>3300</v>
      </c>
      <c r="C455" s="3000" t="s">
        <v>3278</v>
      </c>
      <c r="D455" s="3002" t="s">
        <v>3260</v>
      </c>
      <c r="E455" s="3000" t="s">
        <v>70</v>
      </c>
      <c r="F455" s="3002">
        <v>203</v>
      </c>
      <c r="G455" s="3000">
        <v>93.64</v>
      </c>
      <c r="H455" s="3001" t="s">
        <v>3055</v>
      </c>
    </row>
    <row r="456" spans="1:8" ht="14.25" thickBot="1">
      <c r="A456" s="2999">
        <v>455</v>
      </c>
      <c r="B456" s="3005" t="s">
        <v>3300</v>
      </c>
      <c r="C456" s="3000" t="s">
        <v>3278</v>
      </c>
      <c r="D456" s="3002" t="s">
        <v>3260</v>
      </c>
      <c r="E456" s="3000" t="s">
        <v>70</v>
      </c>
      <c r="F456" s="3002">
        <v>205</v>
      </c>
      <c r="G456" s="3000">
        <v>93.64</v>
      </c>
      <c r="H456" s="3001" t="s">
        <v>3055</v>
      </c>
    </row>
    <row r="457" spans="1:8" ht="14.25" thickBot="1">
      <c r="A457" s="2999">
        <v>456</v>
      </c>
      <c r="B457" s="3005" t="s">
        <v>3300</v>
      </c>
      <c r="C457" s="3000" t="s">
        <v>3278</v>
      </c>
      <c r="D457" s="3002" t="s">
        <v>3260</v>
      </c>
      <c r="E457" s="3000" t="s">
        <v>70</v>
      </c>
      <c r="F457" s="3002">
        <v>206</v>
      </c>
      <c r="G457" s="3000">
        <v>95.5</v>
      </c>
      <c r="H457" s="3001" t="s">
        <v>3055</v>
      </c>
    </row>
    <row r="458" spans="1:8" ht="14.25" thickBot="1">
      <c r="A458" s="2999">
        <v>457</v>
      </c>
      <c r="B458" s="3005" t="s">
        <v>3300</v>
      </c>
      <c r="C458" s="3000" t="s">
        <v>3278</v>
      </c>
      <c r="D458" s="3002" t="s">
        <v>3260</v>
      </c>
      <c r="E458" s="3000" t="s">
        <v>70</v>
      </c>
      <c r="F458" s="3002">
        <v>207</v>
      </c>
      <c r="G458" s="3000">
        <v>69.2</v>
      </c>
      <c r="H458" s="3001" t="s">
        <v>3055</v>
      </c>
    </row>
    <row r="459" spans="1:8" ht="14.25" thickBot="1">
      <c r="A459" s="2999">
        <v>458</v>
      </c>
      <c r="B459" s="3005" t="s">
        <v>3300</v>
      </c>
      <c r="C459" s="3000" t="s">
        <v>3278</v>
      </c>
      <c r="D459" s="3002" t="s">
        <v>3261</v>
      </c>
      <c r="E459" s="3000" t="s">
        <v>70</v>
      </c>
      <c r="F459" s="3002">
        <v>301</v>
      </c>
      <c r="G459" s="3000">
        <v>69.2</v>
      </c>
      <c r="H459" s="3001" t="s">
        <v>3055</v>
      </c>
    </row>
    <row r="460" spans="1:8" ht="14.25" thickBot="1">
      <c r="A460" s="2999">
        <v>459</v>
      </c>
      <c r="B460" s="3005" t="s">
        <v>3300</v>
      </c>
      <c r="C460" s="3000" t="s">
        <v>3278</v>
      </c>
      <c r="D460" s="3002" t="s">
        <v>3261</v>
      </c>
      <c r="E460" s="3000" t="s">
        <v>70</v>
      </c>
      <c r="F460" s="3002">
        <v>302</v>
      </c>
      <c r="G460" s="3000">
        <v>94.76</v>
      </c>
      <c r="H460" s="3001" t="s">
        <v>3055</v>
      </c>
    </row>
    <row r="461" spans="1:8" ht="14.25" thickBot="1">
      <c r="A461" s="2999">
        <v>460</v>
      </c>
      <c r="B461" s="3005" t="s">
        <v>3300</v>
      </c>
      <c r="C461" s="3000" t="s">
        <v>3278</v>
      </c>
      <c r="D461" s="3002" t="s">
        <v>3261</v>
      </c>
      <c r="E461" s="3000" t="s">
        <v>70</v>
      </c>
      <c r="F461" s="3002">
        <v>303</v>
      </c>
      <c r="G461" s="3000">
        <v>93.64</v>
      </c>
      <c r="H461" s="3001" t="s">
        <v>3055</v>
      </c>
    </row>
    <row r="462" spans="1:8" ht="14.25" thickBot="1">
      <c r="A462" s="2999">
        <v>461</v>
      </c>
      <c r="B462" s="3005" t="s">
        <v>3300</v>
      </c>
      <c r="C462" s="3000" t="s">
        <v>3278</v>
      </c>
      <c r="D462" s="3002" t="s">
        <v>3261</v>
      </c>
      <c r="E462" s="3000" t="s">
        <v>70</v>
      </c>
      <c r="F462" s="3002">
        <v>305</v>
      </c>
      <c r="G462" s="3000">
        <v>93.64</v>
      </c>
      <c r="H462" s="3001" t="s">
        <v>3055</v>
      </c>
    </row>
    <row r="463" spans="1:8" ht="14.25" thickBot="1">
      <c r="A463" s="2999">
        <v>462</v>
      </c>
      <c r="B463" s="3005" t="s">
        <v>3300</v>
      </c>
      <c r="C463" s="3000" t="s">
        <v>3278</v>
      </c>
      <c r="D463" s="3002" t="s">
        <v>3261</v>
      </c>
      <c r="E463" s="3000" t="s">
        <v>70</v>
      </c>
      <c r="F463" s="3002">
        <v>306</v>
      </c>
      <c r="G463" s="3000">
        <v>95.5</v>
      </c>
      <c r="H463" s="3001" t="s">
        <v>3055</v>
      </c>
    </row>
    <row r="464" spans="1:8" ht="14.25" thickBot="1">
      <c r="A464" s="2999">
        <v>463</v>
      </c>
      <c r="B464" s="3005" t="s">
        <v>3300</v>
      </c>
      <c r="C464" s="3000" t="s">
        <v>3278</v>
      </c>
      <c r="D464" s="3002" t="s">
        <v>3261</v>
      </c>
      <c r="E464" s="3000" t="s">
        <v>70</v>
      </c>
      <c r="F464" s="3002">
        <v>307</v>
      </c>
      <c r="G464" s="3000">
        <v>69.2</v>
      </c>
      <c r="H464" s="3001" t="s">
        <v>3055</v>
      </c>
    </row>
    <row r="465" spans="1:8" ht="14.25" thickBot="1">
      <c r="A465" s="2999">
        <v>464</v>
      </c>
      <c r="B465" s="3005" t="s">
        <v>3300</v>
      </c>
      <c r="C465" s="3000" t="s">
        <v>3278</v>
      </c>
      <c r="D465" s="3002" t="s">
        <v>3262</v>
      </c>
      <c r="E465" s="3000" t="s">
        <v>70</v>
      </c>
      <c r="F465" s="3002" t="s">
        <v>3145</v>
      </c>
      <c r="G465" s="3000">
        <v>69.2</v>
      </c>
      <c r="H465" s="3001" t="s">
        <v>3055</v>
      </c>
    </row>
    <row r="466" spans="1:8" ht="14.25" thickBot="1">
      <c r="A466" s="2999">
        <v>465</v>
      </c>
      <c r="B466" s="3005" t="s">
        <v>3300</v>
      </c>
      <c r="C466" s="3000" t="s">
        <v>3278</v>
      </c>
      <c r="D466" s="3002" t="s">
        <v>3262</v>
      </c>
      <c r="E466" s="3000" t="s">
        <v>70</v>
      </c>
      <c r="F466" s="3002" t="s">
        <v>3146</v>
      </c>
      <c r="G466" s="3000">
        <v>94.76</v>
      </c>
      <c r="H466" s="3001" t="s">
        <v>3055</v>
      </c>
    </row>
    <row r="467" spans="1:8" ht="14.25" thickBot="1">
      <c r="A467" s="2999">
        <v>466</v>
      </c>
      <c r="B467" s="3005" t="s">
        <v>3300</v>
      </c>
      <c r="C467" s="3000" t="s">
        <v>3278</v>
      </c>
      <c r="D467" s="3002" t="s">
        <v>3262</v>
      </c>
      <c r="E467" s="3000" t="s">
        <v>70</v>
      </c>
      <c r="F467" s="3002" t="s">
        <v>3147</v>
      </c>
      <c r="G467" s="3000">
        <v>93.64</v>
      </c>
      <c r="H467" s="3001" t="s">
        <v>3055</v>
      </c>
    </row>
    <row r="468" spans="1:8" ht="14.25" thickBot="1">
      <c r="A468" s="2999">
        <v>467</v>
      </c>
      <c r="B468" s="3005" t="s">
        <v>3300</v>
      </c>
      <c r="C468" s="3000" t="s">
        <v>3278</v>
      </c>
      <c r="D468" s="3002" t="s">
        <v>3262</v>
      </c>
      <c r="E468" s="3000" t="s">
        <v>70</v>
      </c>
      <c r="F468" s="3002" t="s">
        <v>3148</v>
      </c>
      <c r="G468" s="3000">
        <v>93.64</v>
      </c>
      <c r="H468" s="3001" t="s">
        <v>3055</v>
      </c>
    </row>
    <row r="469" spans="1:8" ht="14.25" thickBot="1">
      <c r="A469" s="2999">
        <v>468</v>
      </c>
      <c r="B469" s="3005" t="s">
        <v>3300</v>
      </c>
      <c r="C469" s="3000" t="s">
        <v>3278</v>
      </c>
      <c r="D469" s="3002" t="s">
        <v>3262</v>
      </c>
      <c r="E469" s="3000" t="s">
        <v>70</v>
      </c>
      <c r="F469" s="3002" t="s">
        <v>3149</v>
      </c>
      <c r="G469" s="3000">
        <v>95.5</v>
      </c>
      <c r="H469" s="3001" t="s">
        <v>3055</v>
      </c>
    </row>
    <row r="470" spans="1:8" ht="14.25" thickBot="1">
      <c r="A470" s="2999">
        <v>469</v>
      </c>
      <c r="B470" s="3005" t="s">
        <v>3300</v>
      </c>
      <c r="C470" s="3000" t="s">
        <v>3278</v>
      </c>
      <c r="D470" s="3002" t="s">
        <v>3262</v>
      </c>
      <c r="E470" s="3000" t="s">
        <v>70</v>
      </c>
      <c r="F470" s="3002" t="s">
        <v>3150</v>
      </c>
      <c r="G470" s="3000">
        <v>69.2</v>
      </c>
      <c r="H470" s="3001" t="s">
        <v>3055</v>
      </c>
    </row>
    <row r="471" spans="1:8" ht="14.25" thickBot="1">
      <c r="A471" s="2999">
        <v>470</v>
      </c>
      <c r="B471" s="3005" t="s">
        <v>3300</v>
      </c>
      <c r="C471" s="3000" t="s">
        <v>3278</v>
      </c>
      <c r="D471" s="3002" t="s">
        <v>3263</v>
      </c>
      <c r="E471" s="3000" t="s">
        <v>70</v>
      </c>
      <c r="F471" s="3002">
        <v>501</v>
      </c>
      <c r="G471" s="3000">
        <v>69.2</v>
      </c>
      <c r="H471" s="3001" t="s">
        <v>3055</v>
      </c>
    </row>
    <row r="472" spans="1:8" ht="14.25" thickBot="1">
      <c r="A472" s="2999">
        <v>471</v>
      </c>
      <c r="B472" s="3005" t="s">
        <v>3300</v>
      </c>
      <c r="C472" s="3000" t="s">
        <v>3278</v>
      </c>
      <c r="D472" s="3002" t="s">
        <v>3263</v>
      </c>
      <c r="E472" s="3000" t="s">
        <v>70</v>
      </c>
      <c r="F472" s="3002">
        <v>502</v>
      </c>
      <c r="G472" s="3000">
        <v>94.76</v>
      </c>
      <c r="H472" s="3001" t="s">
        <v>3055</v>
      </c>
    </row>
    <row r="473" spans="1:8" ht="14.25" thickBot="1">
      <c r="A473" s="2999">
        <v>472</v>
      </c>
      <c r="B473" s="3005" t="s">
        <v>3300</v>
      </c>
      <c r="C473" s="3000" t="s">
        <v>3278</v>
      </c>
      <c r="D473" s="3002" t="s">
        <v>3263</v>
      </c>
      <c r="E473" s="3000" t="s">
        <v>70</v>
      </c>
      <c r="F473" s="3002">
        <v>503</v>
      </c>
      <c r="G473" s="3000">
        <v>93.64</v>
      </c>
      <c r="H473" s="3001" t="s">
        <v>3055</v>
      </c>
    </row>
    <row r="474" spans="1:8" ht="14.25" thickBot="1">
      <c r="A474" s="2999">
        <v>473</v>
      </c>
      <c r="B474" s="3005" t="s">
        <v>3300</v>
      </c>
      <c r="C474" s="3000" t="s">
        <v>3278</v>
      </c>
      <c r="D474" s="3002" t="s">
        <v>3263</v>
      </c>
      <c r="E474" s="3000" t="s">
        <v>70</v>
      </c>
      <c r="F474" s="3002">
        <v>505</v>
      </c>
      <c r="G474" s="3000">
        <v>93.64</v>
      </c>
      <c r="H474" s="3001" t="s">
        <v>3055</v>
      </c>
    </row>
    <row r="475" spans="1:8" ht="14.25" thickBot="1">
      <c r="A475" s="2999">
        <v>474</v>
      </c>
      <c r="B475" s="3005" t="s">
        <v>3300</v>
      </c>
      <c r="C475" s="3000" t="s">
        <v>3278</v>
      </c>
      <c r="D475" s="3002" t="s">
        <v>3263</v>
      </c>
      <c r="E475" s="3000" t="s">
        <v>70</v>
      </c>
      <c r="F475" s="3002">
        <v>506</v>
      </c>
      <c r="G475" s="3000">
        <v>95.5</v>
      </c>
      <c r="H475" s="3001" t="s">
        <v>3055</v>
      </c>
    </row>
    <row r="476" spans="1:8" ht="14.25" thickBot="1">
      <c r="A476" s="2999">
        <v>475</v>
      </c>
      <c r="B476" s="3005" t="s">
        <v>3300</v>
      </c>
      <c r="C476" s="3000" t="s">
        <v>3278</v>
      </c>
      <c r="D476" s="3002" t="s">
        <v>3263</v>
      </c>
      <c r="E476" s="3000" t="s">
        <v>70</v>
      </c>
      <c r="F476" s="3002">
        <v>507</v>
      </c>
      <c r="G476" s="3000">
        <v>69.2</v>
      </c>
      <c r="H476" s="3001" t="s">
        <v>3055</v>
      </c>
    </row>
    <row r="477" spans="1:8" ht="14.25" thickBot="1">
      <c r="A477" s="2999">
        <v>476</v>
      </c>
      <c r="B477" s="3005" t="s">
        <v>3300</v>
      </c>
      <c r="C477" s="3000" t="s">
        <v>3278</v>
      </c>
      <c r="D477" s="3002" t="s">
        <v>3264</v>
      </c>
      <c r="E477" s="3000" t="s">
        <v>70</v>
      </c>
      <c r="F477" s="3002">
        <v>601</v>
      </c>
      <c r="G477" s="3000">
        <v>69.2</v>
      </c>
      <c r="H477" s="3001" t="s">
        <v>3055</v>
      </c>
    </row>
    <row r="478" spans="1:8" ht="14.25" thickBot="1">
      <c r="A478" s="2999">
        <v>477</v>
      </c>
      <c r="B478" s="3005" t="s">
        <v>3300</v>
      </c>
      <c r="C478" s="3000" t="s">
        <v>3278</v>
      </c>
      <c r="D478" s="3002" t="s">
        <v>3264</v>
      </c>
      <c r="E478" s="3000" t="s">
        <v>70</v>
      </c>
      <c r="F478" s="3002">
        <v>602</v>
      </c>
      <c r="G478" s="3000">
        <v>94.76</v>
      </c>
      <c r="H478" s="3001" t="s">
        <v>3055</v>
      </c>
    </row>
    <row r="479" spans="1:8" ht="14.25" thickBot="1">
      <c r="A479" s="2999">
        <v>478</v>
      </c>
      <c r="B479" s="3005" t="s">
        <v>3300</v>
      </c>
      <c r="C479" s="3000" t="s">
        <v>3278</v>
      </c>
      <c r="D479" s="3002" t="s">
        <v>3264</v>
      </c>
      <c r="E479" s="3000" t="s">
        <v>70</v>
      </c>
      <c r="F479" s="3002">
        <v>603</v>
      </c>
      <c r="G479" s="3000">
        <v>93.64</v>
      </c>
      <c r="H479" s="3001" t="s">
        <v>3055</v>
      </c>
    </row>
    <row r="480" spans="1:8" ht="14.25" thickBot="1">
      <c r="A480" s="2999">
        <v>479</v>
      </c>
      <c r="B480" s="3005" t="s">
        <v>3300</v>
      </c>
      <c r="C480" s="3000" t="s">
        <v>3278</v>
      </c>
      <c r="D480" s="3002" t="s">
        <v>3264</v>
      </c>
      <c r="E480" s="3000" t="s">
        <v>70</v>
      </c>
      <c r="F480" s="3002">
        <v>605</v>
      </c>
      <c r="G480" s="3000">
        <v>93.64</v>
      </c>
      <c r="H480" s="3001" t="s">
        <v>3055</v>
      </c>
    </row>
    <row r="481" spans="1:8" ht="14.25" thickBot="1">
      <c r="A481" s="2999">
        <v>480</v>
      </c>
      <c r="B481" s="3005" t="s">
        <v>3300</v>
      </c>
      <c r="C481" s="3000" t="s">
        <v>3278</v>
      </c>
      <c r="D481" s="3002" t="s">
        <v>3264</v>
      </c>
      <c r="E481" s="3000" t="s">
        <v>70</v>
      </c>
      <c r="F481" s="3002">
        <v>606</v>
      </c>
      <c r="G481" s="3000">
        <v>95.5</v>
      </c>
      <c r="H481" s="3001" t="s">
        <v>3055</v>
      </c>
    </row>
    <row r="482" spans="1:8" ht="14.25" thickBot="1">
      <c r="A482" s="2999">
        <v>481</v>
      </c>
      <c r="B482" s="3005" t="s">
        <v>3300</v>
      </c>
      <c r="C482" s="3000" t="s">
        <v>3278</v>
      </c>
      <c r="D482" s="3002" t="s">
        <v>3264</v>
      </c>
      <c r="E482" s="3000" t="s">
        <v>70</v>
      </c>
      <c r="F482" s="3002">
        <v>607</v>
      </c>
      <c r="G482" s="3000">
        <v>69.2</v>
      </c>
      <c r="H482" s="3001" t="s">
        <v>3055</v>
      </c>
    </row>
    <row r="483" spans="1:8" ht="14.25" thickBot="1">
      <c r="A483" s="2999">
        <v>482</v>
      </c>
      <c r="B483" s="3005" t="s">
        <v>3300</v>
      </c>
      <c r="C483" s="3000" t="s">
        <v>3279</v>
      </c>
      <c r="D483" s="3002" t="s">
        <v>3257</v>
      </c>
      <c r="E483" s="3000" t="s">
        <v>70</v>
      </c>
      <c r="F483" s="3002">
        <v>102</v>
      </c>
      <c r="G483" s="3000">
        <v>94.84</v>
      </c>
      <c r="H483" s="3001" t="s">
        <v>3055</v>
      </c>
    </row>
    <row r="484" spans="1:8" ht="14.25" thickBot="1">
      <c r="A484" s="2999">
        <v>483</v>
      </c>
      <c r="B484" s="3005" t="s">
        <v>3300</v>
      </c>
      <c r="C484" s="3000" t="s">
        <v>3279</v>
      </c>
      <c r="D484" s="3002" t="s">
        <v>3257</v>
      </c>
      <c r="E484" s="3000" t="s">
        <v>70</v>
      </c>
      <c r="F484" s="3002">
        <v>103</v>
      </c>
      <c r="G484" s="3000">
        <v>89.78</v>
      </c>
      <c r="H484" s="3001" t="s">
        <v>3055</v>
      </c>
    </row>
    <row r="485" spans="1:8" ht="14.25" thickBot="1">
      <c r="A485" s="2999">
        <v>484</v>
      </c>
      <c r="B485" s="3005" t="s">
        <v>3300</v>
      </c>
      <c r="C485" s="3000" t="s">
        <v>3279</v>
      </c>
      <c r="D485" s="3002" t="s">
        <v>3257</v>
      </c>
      <c r="E485" s="3000" t="s">
        <v>70</v>
      </c>
      <c r="F485" s="3002">
        <v>106</v>
      </c>
      <c r="G485" s="3000">
        <v>95.56</v>
      </c>
      <c r="H485" s="3001" t="s">
        <v>3055</v>
      </c>
    </row>
    <row r="486" spans="1:8" ht="14.25" thickBot="1">
      <c r="A486" s="2999">
        <v>485</v>
      </c>
      <c r="B486" s="3005" t="s">
        <v>3300</v>
      </c>
      <c r="C486" s="3000" t="s">
        <v>3279</v>
      </c>
      <c r="D486" s="3002" t="s">
        <v>3260</v>
      </c>
      <c r="E486" s="3000" t="s">
        <v>70</v>
      </c>
      <c r="F486" s="3002">
        <v>201</v>
      </c>
      <c r="G486" s="3000">
        <v>69.25</v>
      </c>
      <c r="H486" s="3001" t="s">
        <v>3055</v>
      </c>
    </row>
    <row r="487" spans="1:8" ht="14.25" thickBot="1">
      <c r="A487" s="2999">
        <v>486</v>
      </c>
      <c r="B487" s="3005" t="s">
        <v>3300</v>
      </c>
      <c r="C487" s="3000" t="s">
        <v>3279</v>
      </c>
      <c r="D487" s="3002" t="s">
        <v>3260</v>
      </c>
      <c r="E487" s="3000" t="s">
        <v>70</v>
      </c>
      <c r="F487" s="3002">
        <v>202</v>
      </c>
      <c r="G487" s="3000">
        <v>94.83</v>
      </c>
      <c r="H487" s="3001" t="s">
        <v>3055</v>
      </c>
    </row>
    <row r="488" spans="1:8" ht="14.25" thickBot="1">
      <c r="A488" s="2999">
        <v>487</v>
      </c>
      <c r="B488" s="3005" t="s">
        <v>3300</v>
      </c>
      <c r="C488" s="3000" t="s">
        <v>3279</v>
      </c>
      <c r="D488" s="3002" t="s">
        <v>3260</v>
      </c>
      <c r="E488" s="3000" t="s">
        <v>70</v>
      </c>
      <c r="F488" s="3002">
        <v>203</v>
      </c>
      <c r="G488" s="3000">
        <v>93.7</v>
      </c>
      <c r="H488" s="3001" t="s">
        <v>3055</v>
      </c>
    </row>
    <row r="489" spans="1:8" ht="14.25" thickBot="1">
      <c r="A489" s="2999">
        <v>488</v>
      </c>
      <c r="B489" s="3005" t="s">
        <v>3300</v>
      </c>
      <c r="C489" s="3000" t="s">
        <v>3279</v>
      </c>
      <c r="D489" s="3002" t="s">
        <v>3260</v>
      </c>
      <c r="E489" s="3000" t="s">
        <v>70</v>
      </c>
      <c r="F489" s="3002">
        <v>205</v>
      </c>
      <c r="G489" s="3000">
        <v>93.7</v>
      </c>
      <c r="H489" s="3001" t="s">
        <v>3055</v>
      </c>
    </row>
    <row r="490" spans="1:8" ht="14.25" thickBot="1">
      <c r="A490" s="2999">
        <v>489</v>
      </c>
      <c r="B490" s="3005" t="s">
        <v>3300</v>
      </c>
      <c r="C490" s="3000" t="s">
        <v>3279</v>
      </c>
      <c r="D490" s="3002" t="s">
        <v>3260</v>
      </c>
      <c r="E490" s="3000" t="s">
        <v>70</v>
      </c>
      <c r="F490" s="3002">
        <v>206</v>
      </c>
      <c r="G490" s="3000">
        <v>95.56</v>
      </c>
      <c r="H490" s="3001" t="s">
        <v>3055</v>
      </c>
    </row>
    <row r="491" spans="1:8" ht="14.25" thickBot="1">
      <c r="A491" s="2999">
        <v>490</v>
      </c>
      <c r="B491" s="3005" t="s">
        <v>3300</v>
      </c>
      <c r="C491" s="3000" t="s">
        <v>3279</v>
      </c>
      <c r="D491" s="3002" t="s">
        <v>3260</v>
      </c>
      <c r="E491" s="3000" t="s">
        <v>70</v>
      </c>
      <c r="F491" s="3002">
        <v>207</v>
      </c>
      <c r="G491" s="3000">
        <v>69.25</v>
      </c>
      <c r="H491" s="3001" t="s">
        <v>3055</v>
      </c>
    </row>
    <row r="492" spans="1:8" ht="14.25" thickBot="1">
      <c r="A492" s="2999">
        <v>491</v>
      </c>
      <c r="B492" s="3005" t="s">
        <v>3300</v>
      </c>
      <c r="C492" s="3000" t="s">
        <v>3279</v>
      </c>
      <c r="D492" s="3002" t="s">
        <v>3261</v>
      </c>
      <c r="E492" s="3000" t="s">
        <v>70</v>
      </c>
      <c r="F492" s="3002">
        <v>301</v>
      </c>
      <c r="G492" s="3000">
        <v>69.25</v>
      </c>
      <c r="H492" s="3001" t="s">
        <v>3055</v>
      </c>
    </row>
    <row r="493" spans="1:8" ht="14.25" thickBot="1">
      <c r="A493" s="2999">
        <v>492</v>
      </c>
      <c r="B493" s="3005" t="s">
        <v>3300</v>
      </c>
      <c r="C493" s="3000" t="s">
        <v>3279</v>
      </c>
      <c r="D493" s="3002" t="s">
        <v>3261</v>
      </c>
      <c r="E493" s="3000" t="s">
        <v>70</v>
      </c>
      <c r="F493" s="3002">
        <v>302</v>
      </c>
      <c r="G493" s="3000">
        <v>94.83</v>
      </c>
      <c r="H493" s="3001" t="s">
        <v>3055</v>
      </c>
    </row>
    <row r="494" spans="1:8" ht="14.25" thickBot="1">
      <c r="A494" s="2999">
        <v>493</v>
      </c>
      <c r="B494" s="3005" t="s">
        <v>3300</v>
      </c>
      <c r="C494" s="3000" t="s">
        <v>3279</v>
      </c>
      <c r="D494" s="3002" t="s">
        <v>3261</v>
      </c>
      <c r="E494" s="3000" t="s">
        <v>70</v>
      </c>
      <c r="F494" s="3002">
        <v>303</v>
      </c>
      <c r="G494" s="3000">
        <v>93.7</v>
      </c>
      <c r="H494" s="3001" t="s">
        <v>3055</v>
      </c>
    </row>
    <row r="495" spans="1:8" ht="14.25" thickBot="1">
      <c r="A495" s="2999">
        <v>494</v>
      </c>
      <c r="B495" s="3005" t="s">
        <v>3300</v>
      </c>
      <c r="C495" s="3000" t="s">
        <v>3279</v>
      </c>
      <c r="D495" s="3002" t="s">
        <v>3261</v>
      </c>
      <c r="E495" s="3000" t="s">
        <v>70</v>
      </c>
      <c r="F495" s="3002">
        <v>305</v>
      </c>
      <c r="G495" s="3000">
        <v>93.7</v>
      </c>
      <c r="H495" s="3001" t="s">
        <v>3055</v>
      </c>
    </row>
    <row r="496" spans="1:8" ht="14.25" thickBot="1">
      <c r="A496" s="2999">
        <v>495</v>
      </c>
      <c r="B496" s="3005" t="s">
        <v>3300</v>
      </c>
      <c r="C496" s="3000" t="s">
        <v>3279</v>
      </c>
      <c r="D496" s="3002" t="s">
        <v>3261</v>
      </c>
      <c r="E496" s="3000" t="s">
        <v>70</v>
      </c>
      <c r="F496" s="3002">
        <v>306</v>
      </c>
      <c r="G496" s="3000">
        <v>95.56</v>
      </c>
      <c r="H496" s="3001" t="s">
        <v>3055</v>
      </c>
    </row>
    <row r="497" spans="1:8" ht="14.25" thickBot="1">
      <c r="A497" s="2999">
        <v>496</v>
      </c>
      <c r="B497" s="3005" t="s">
        <v>3300</v>
      </c>
      <c r="C497" s="3000" t="s">
        <v>3279</v>
      </c>
      <c r="D497" s="3002" t="s">
        <v>3261</v>
      </c>
      <c r="E497" s="3000" t="s">
        <v>70</v>
      </c>
      <c r="F497" s="3002">
        <v>307</v>
      </c>
      <c r="G497" s="3000">
        <v>69.25</v>
      </c>
      <c r="H497" s="3001" t="s">
        <v>3055</v>
      </c>
    </row>
    <row r="498" spans="1:8" ht="14.25" thickBot="1">
      <c r="A498" s="2999">
        <v>497</v>
      </c>
      <c r="B498" s="3005" t="s">
        <v>3300</v>
      </c>
      <c r="C498" s="3000" t="s">
        <v>3279</v>
      </c>
      <c r="D498" s="3002" t="s">
        <v>3262</v>
      </c>
      <c r="E498" s="3000" t="s">
        <v>70</v>
      </c>
      <c r="F498" s="3002" t="s">
        <v>3145</v>
      </c>
      <c r="G498" s="3000">
        <v>69.25</v>
      </c>
      <c r="H498" s="3001" t="s">
        <v>3055</v>
      </c>
    </row>
    <row r="499" spans="1:8" ht="14.25" thickBot="1">
      <c r="A499" s="2999">
        <v>498</v>
      </c>
      <c r="B499" s="3005" t="s">
        <v>3300</v>
      </c>
      <c r="C499" s="3000" t="s">
        <v>3279</v>
      </c>
      <c r="D499" s="3002" t="s">
        <v>3262</v>
      </c>
      <c r="E499" s="3000" t="s">
        <v>70</v>
      </c>
      <c r="F499" s="3002" t="s">
        <v>3146</v>
      </c>
      <c r="G499" s="3000">
        <v>94.83</v>
      </c>
      <c r="H499" s="3001" t="s">
        <v>3055</v>
      </c>
    </row>
    <row r="500" spans="1:8" ht="14.25" thickBot="1">
      <c r="A500" s="2999">
        <v>499</v>
      </c>
      <c r="B500" s="3005" t="s">
        <v>3300</v>
      </c>
      <c r="C500" s="3000" t="s">
        <v>3279</v>
      </c>
      <c r="D500" s="3002" t="s">
        <v>3262</v>
      </c>
      <c r="E500" s="3000" t="s">
        <v>70</v>
      </c>
      <c r="F500" s="3002" t="s">
        <v>3147</v>
      </c>
      <c r="G500" s="3000">
        <v>93.7</v>
      </c>
      <c r="H500" s="3001" t="s">
        <v>3055</v>
      </c>
    </row>
    <row r="501" spans="1:8" ht="14.25" thickBot="1">
      <c r="A501" s="2999">
        <v>500</v>
      </c>
      <c r="B501" s="3005" t="s">
        <v>3300</v>
      </c>
      <c r="C501" s="3000" t="s">
        <v>3279</v>
      </c>
      <c r="D501" s="3002" t="s">
        <v>3262</v>
      </c>
      <c r="E501" s="3000" t="s">
        <v>70</v>
      </c>
      <c r="F501" s="3002" t="s">
        <v>3148</v>
      </c>
      <c r="G501" s="3000">
        <v>93.7</v>
      </c>
      <c r="H501" s="3001" t="s">
        <v>3055</v>
      </c>
    </row>
    <row r="502" spans="1:8" ht="14.25" thickBot="1">
      <c r="A502" s="2999">
        <v>501</v>
      </c>
      <c r="B502" s="3005" t="s">
        <v>3300</v>
      </c>
      <c r="C502" s="3000" t="s">
        <v>3279</v>
      </c>
      <c r="D502" s="3002" t="s">
        <v>3262</v>
      </c>
      <c r="E502" s="3000" t="s">
        <v>70</v>
      </c>
      <c r="F502" s="3002" t="s">
        <v>3149</v>
      </c>
      <c r="G502" s="3000">
        <v>95.56</v>
      </c>
      <c r="H502" s="3001" t="s">
        <v>3055</v>
      </c>
    </row>
    <row r="503" spans="1:8" ht="14.25" thickBot="1">
      <c r="A503" s="2999">
        <v>502</v>
      </c>
      <c r="B503" s="3005" t="s">
        <v>3300</v>
      </c>
      <c r="C503" s="3000" t="s">
        <v>3279</v>
      </c>
      <c r="D503" s="3002" t="s">
        <v>3262</v>
      </c>
      <c r="E503" s="3000" t="s">
        <v>70</v>
      </c>
      <c r="F503" s="3002" t="s">
        <v>3150</v>
      </c>
      <c r="G503" s="3000">
        <v>69.25</v>
      </c>
      <c r="H503" s="3001" t="s">
        <v>3055</v>
      </c>
    </row>
    <row r="504" spans="1:8" ht="14.25" thickBot="1">
      <c r="A504" s="2999">
        <v>503</v>
      </c>
      <c r="B504" s="3005" t="s">
        <v>3300</v>
      </c>
      <c r="C504" s="3000" t="s">
        <v>3279</v>
      </c>
      <c r="D504" s="3002" t="s">
        <v>3263</v>
      </c>
      <c r="E504" s="3000" t="s">
        <v>70</v>
      </c>
      <c r="F504" s="3002">
        <v>501</v>
      </c>
      <c r="G504" s="3000">
        <v>69.25</v>
      </c>
      <c r="H504" s="3001" t="s">
        <v>3055</v>
      </c>
    </row>
    <row r="505" spans="1:8" ht="14.25" thickBot="1">
      <c r="A505" s="2999">
        <v>504</v>
      </c>
      <c r="B505" s="3005" t="s">
        <v>3300</v>
      </c>
      <c r="C505" s="3000" t="s">
        <v>3279</v>
      </c>
      <c r="D505" s="3002" t="s">
        <v>3263</v>
      </c>
      <c r="E505" s="3000" t="s">
        <v>70</v>
      </c>
      <c r="F505" s="3002">
        <v>502</v>
      </c>
      <c r="G505" s="3000">
        <v>94.83</v>
      </c>
      <c r="H505" s="3001" t="s">
        <v>3055</v>
      </c>
    </row>
    <row r="506" spans="1:8" ht="14.25" thickBot="1">
      <c r="A506" s="2999">
        <v>505</v>
      </c>
      <c r="B506" s="3005" t="s">
        <v>3300</v>
      </c>
      <c r="C506" s="3000" t="s">
        <v>3279</v>
      </c>
      <c r="D506" s="3002" t="s">
        <v>3263</v>
      </c>
      <c r="E506" s="3000" t="s">
        <v>70</v>
      </c>
      <c r="F506" s="3002">
        <v>503</v>
      </c>
      <c r="G506" s="3000">
        <v>93.7</v>
      </c>
      <c r="H506" s="3001" t="s">
        <v>3055</v>
      </c>
    </row>
    <row r="507" spans="1:8" ht="14.25" thickBot="1">
      <c r="A507" s="2999">
        <v>506</v>
      </c>
      <c r="B507" s="3005" t="s">
        <v>3300</v>
      </c>
      <c r="C507" s="3000" t="s">
        <v>3279</v>
      </c>
      <c r="D507" s="3002" t="s">
        <v>3263</v>
      </c>
      <c r="E507" s="3000" t="s">
        <v>70</v>
      </c>
      <c r="F507" s="3002">
        <v>505</v>
      </c>
      <c r="G507" s="3000">
        <v>93.7</v>
      </c>
      <c r="H507" s="3001" t="s">
        <v>3055</v>
      </c>
    </row>
    <row r="508" spans="1:8" ht="14.25" thickBot="1">
      <c r="A508" s="2999">
        <v>507</v>
      </c>
      <c r="B508" s="3005" t="s">
        <v>3300</v>
      </c>
      <c r="C508" s="3000" t="s">
        <v>3279</v>
      </c>
      <c r="D508" s="3002" t="s">
        <v>3263</v>
      </c>
      <c r="E508" s="3000" t="s">
        <v>70</v>
      </c>
      <c r="F508" s="3002">
        <v>506</v>
      </c>
      <c r="G508" s="3000">
        <v>95.56</v>
      </c>
      <c r="H508" s="3001" t="s">
        <v>3055</v>
      </c>
    </row>
    <row r="509" spans="1:8" ht="14.25" thickBot="1">
      <c r="A509" s="2999">
        <v>508</v>
      </c>
      <c r="B509" s="3005" t="s">
        <v>3300</v>
      </c>
      <c r="C509" s="3000" t="s">
        <v>3279</v>
      </c>
      <c r="D509" s="3002" t="s">
        <v>3263</v>
      </c>
      <c r="E509" s="3000" t="s">
        <v>70</v>
      </c>
      <c r="F509" s="3002">
        <v>507</v>
      </c>
      <c r="G509" s="3000">
        <v>69.25</v>
      </c>
      <c r="H509" s="3001" t="s">
        <v>3055</v>
      </c>
    </row>
    <row r="510" spans="1:8" ht="14.25" thickBot="1">
      <c r="A510" s="2999">
        <v>509</v>
      </c>
      <c r="B510" s="3005" t="s">
        <v>3300</v>
      </c>
      <c r="C510" s="3000" t="s">
        <v>3279</v>
      </c>
      <c r="D510" s="3002" t="s">
        <v>3264</v>
      </c>
      <c r="E510" s="3000" t="s">
        <v>70</v>
      </c>
      <c r="F510" s="3002">
        <v>601</v>
      </c>
      <c r="G510" s="3000">
        <v>69.25</v>
      </c>
      <c r="H510" s="3001" t="s">
        <v>3055</v>
      </c>
    </row>
    <row r="511" spans="1:8" ht="14.25" thickBot="1">
      <c r="A511" s="2999">
        <v>510</v>
      </c>
      <c r="B511" s="3005" t="s">
        <v>3300</v>
      </c>
      <c r="C511" s="3000" t="s">
        <v>3279</v>
      </c>
      <c r="D511" s="3002" t="s">
        <v>3264</v>
      </c>
      <c r="E511" s="3000" t="s">
        <v>70</v>
      </c>
      <c r="F511" s="3002">
        <v>602</v>
      </c>
      <c r="G511" s="3000">
        <v>94.83</v>
      </c>
      <c r="H511" s="3001" t="s">
        <v>3055</v>
      </c>
    </row>
    <row r="512" spans="1:8" ht="14.25" thickBot="1">
      <c r="A512" s="2999">
        <v>511</v>
      </c>
      <c r="B512" s="3005" t="s">
        <v>3300</v>
      </c>
      <c r="C512" s="3000" t="s">
        <v>3279</v>
      </c>
      <c r="D512" s="3002" t="s">
        <v>3264</v>
      </c>
      <c r="E512" s="3000" t="s">
        <v>70</v>
      </c>
      <c r="F512" s="3002">
        <v>603</v>
      </c>
      <c r="G512" s="3000">
        <v>93.7</v>
      </c>
      <c r="H512" s="3001" t="s">
        <v>3055</v>
      </c>
    </row>
    <row r="513" spans="1:8" ht="14.25" thickBot="1">
      <c r="A513" s="2999">
        <v>512</v>
      </c>
      <c r="B513" s="3005" t="s">
        <v>3300</v>
      </c>
      <c r="C513" s="3000" t="s">
        <v>3279</v>
      </c>
      <c r="D513" s="3002" t="s">
        <v>3264</v>
      </c>
      <c r="E513" s="3000" t="s">
        <v>70</v>
      </c>
      <c r="F513" s="3002">
        <v>605</v>
      </c>
      <c r="G513" s="3000">
        <v>93.7</v>
      </c>
      <c r="H513" s="3001" t="s">
        <v>3055</v>
      </c>
    </row>
    <row r="514" spans="1:8" ht="14.25" thickBot="1">
      <c r="A514" s="2999">
        <v>513</v>
      </c>
      <c r="B514" s="3005" t="s">
        <v>3300</v>
      </c>
      <c r="C514" s="3000" t="s">
        <v>3279</v>
      </c>
      <c r="D514" s="3002" t="s">
        <v>3264</v>
      </c>
      <c r="E514" s="3000" t="s">
        <v>70</v>
      </c>
      <c r="F514" s="3002">
        <v>606</v>
      </c>
      <c r="G514" s="3000">
        <v>95.56</v>
      </c>
      <c r="H514" s="3001" t="s">
        <v>3055</v>
      </c>
    </row>
    <row r="515" spans="1:8" ht="14.25" thickBot="1">
      <c r="A515" s="2999">
        <v>514</v>
      </c>
      <c r="B515" s="3005" t="s">
        <v>3300</v>
      </c>
      <c r="C515" s="3000" t="s">
        <v>3279</v>
      </c>
      <c r="D515" s="3002" t="s">
        <v>3264</v>
      </c>
      <c r="E515" s="3000" t="s">
        <v>70</v>
      </c>
      <c r="F515" s="3002">
        <v>607</v>
      </c>
      <c r="G515" s="3000">
        <v>69.25</v>
      </c>
      <c r="H515" s="3001" t="s">
        <v>3055</v>
      </c>
    </row>
    <row r="516" spans="1:8" ht="14.25" hidden="1" thickBot="1">
      <c r="A516" s="2999">
        <v>515</v>
      </c>
      <c r="B516" s="3005" t="s">
        <v>3299</v>
      </c>
      <c r="C516" s="3000" t="s">
        <v>3280</v>
      </c>
      <c r="D516" s="3000" t="s">
        <v>3257</v>
      </c>
      <c r="E516" s="3000" t="s">
        <v>70</v>
      </c>
      <c r="F516" s="3000">
        <v>101</v>
      </c>
      <c r="G516" s="3000">
        <v>68.23</v>
      </c>
      <c r="H516" s="3001" t="s">
        <v>3055</v>
      </c>
    </row>
    <row r="517" spans="1:8" ht="14.25" hidden="1" thickBot="1">
      <c r="A517" s="2999">
        <v>516</v>
      </c>
      <c r="B517" s="3005" t="s">
        <v>3299</v>
      </c>
      <c r="C517" s="3000" t="s">
        <v>3280</v>
      </c>
      <c r="D517" s="3000" t="s">
        <v>3257</v>
      </c>
      <c r="E517" s="3000" t="s">
        <v>70</v>
      </c>
      <c r="F517" s="3000">
        <v>102</v>
      </c>
      <c r="G517" s="3000">
        <v>69.5</v>
      </c>
      <c r="H517" s="3001" t="s">
        <v>3055</v>
      </c>
    </row>
    <row r="518" spans="1:8" ht="14.25" hidden="1" thickBot="1">
      <c r="A518" s="2999">
        <v>517</v>
      </c>
      <c r="B518" s="3005" t="s">
        <v>3299</v>
      </c>
      <c r="C518" s="3000" t="s">
        <v>3280</v>
      </c>
      <c r="D518" s="3000" t="s">
        <v>3257</v>
      </c>
      <c r="E518" s="3000" t="s">
        <v>70</v>
      </c>
      <c r="F518" s="3000">
        <v>103</v>
      </c>
      <c r="G518" s="3000">
        <v>69.55</v>
      </c>
      <c r="H518" s="3001" t="s">
        <v>3055</v>
      </c>
    </row>
    <row r="519" spans="1:8" ht="14.25" hidden="1" thickBot="1">
      <c r="A519" s="2999">
        <v>518</v>
      </c>
      <c r="B519" s="3005" t="s">
        <v>3299</v>
      </c>
      <c r="C519" s="3000" t="s">
        <v>3280</v>
      </c>
      <c r="D519" s="3000" t="s">
        <v>3257</v>
      </c>
      <c r="E519" s="3000" t="s">
        <v>70</v>
      </c>
      <c r="F519" s="3000">
        <v>105</v>
      </c>
      <c r="G519" s="3000">
        <v>69.55</v>
      </c>
      <c r="H519" s="3001" t="s">
        <v>3055</v>
      </c>
    </row>
    <row r="520" spans="1:8" ht="14.25" hidden="1" thickBot="1">
      <c r="A520" s="2999">
        <v>519</v>
      </c>
      <c r="B520" s="3005" t="s">
        <v>3299</v>
      </c>
      <c r="C520" s="3000" t="s">
        <v>3280</v>
      </c>
      <c r="D520" s="3000" t="s">
        <v>3257</v>
      </c>
      <c r="E520" s="3000" t="s">
        <v>70</v>
      </c>
      <c r="F520" s="3000">
        <v>106</v>
      </c>
      <c r="G520" s="3000">
        <v>69.739999999999995</v>
      </c>
      <c r="H520" s="3001" t="s">
        <v>3055</v>
      </c>
    </row>
    <row r="521" spans="1:8" ht="14.25" hidden="1" thickBot="1">
      <c r="A521" s="2999">
        <v>520</v>
      </c>
      <c r="B521" s="3005" t="s">
        <v>3299</v>
      </c>
      <c r="C521" s="3000" t="s">
        <v>3280</v>
      </c>
      <c r="D521" s="3000" t="s">
        <v>3260</v>
      </c>
      <c r="E521" s="3000" t="s">
        <v>70</v>
      </c>
      <c r="F521" s="3000">
        <v>201</v>
      </c>
      <c r="G521" s="3000">
        <v>68.23</v>
      </c>
      <c r="H521" s="3001" t="s">
        <v>3055</v>
      </c>
    </row>
    <row r="522" spans="1:8" ht="14.25" hidden="1" thickBot="1">
      <c r="A522" s="2999">
        <v>521</v>
      </c>
      <c r="B522" s="3005" t="s">
        <v>3299</v>
      </c>
      <c r="C522" s="3000" t="s">
        <v>3280</v>
      </c>
      <c r="D522" s="3000" t="s">
        <v>3260</v>
      </c>
      <c r="E522" s="3000" t="s">
        <v>70</v>
      </c>
      <c r="F522" s="3000">
        <v>202</v>
      </c>
      <c r="G522" s="3000">
        <v>69.5</v>
      </c>
      <c r="H522" s="3001" t="s">
        <v>3055</v>
      </c>
    </row>
    <row r="523" spans="1:8" ht="14.25" hidden="1" thickBot="1">
      <c r="A523" s="2999">
        <v>522</v>
      </c>
      <c r="B523" s="3005" t="s">
        <v>3299</v>
      </c>
      <c r="C523" s="3000" t="s">
        <v>3280</v>
      </c>
      <c r="D523" s="3000" t="s">
        <v>3260</v>
      </c>
      <c r="E523" s="3000" t="s">
        <v>70</v>
      </c>
      <c r="F523" s="3000">
        <v>203</v>
      </c>
      <c r="G523" s="3000">
        <v>69.55</v>
      </c>
      <c r="H523" s="3001" t="s">
        <v>3055</v>
      </c>
    </row>
    <row r="524" spans="1:8" ht="14.25" hidden="1" thickBot="1">
      <c r="A524" s="2999">
        <v>523</v>
      </c>
      <c r="B524" s="3005" t="s">
        <v>3299</v>
      </c>
      <c r="C524" s="3000" t="s">
        <v>3280</v>
      </c>
      <c r="D524" s="3000" t="s">
        <v>3260</v>
      </c>
      <c r="E524" s="3000" t="s">
        <v>70</v>
      </c>
      <c r="F524" s="3000">
        <v>205</v>
      </c>
      <c r="G524" s="3000">
        <v>69.55</v>
      </c>
      <c r="H524" s="3001" t="s">
        <v>3055</v>
      </c>
    </row>
    <row r="525" spans="1:8" ht="14.25" hidden="1" thickBot="1">
      <c r="A525" s="2999">
        <v>524</v>
      </c>
      <c r="B525" s="3005" t="s">
        <v>3299</v>
      </c>
      <c r="C525" s="3000" t="s">
        <v>3280</v>
      </c>
      <c r="D525" s="3000" t="s">
        <v>3260</v>
      </c>
      <c r="E525" s="3000" t="s">
        <v>70</v>
      </c>
      <c r="F525" s="3000">
        <v>206</v>
      </c>
      <c r="G525" s="3000">
        <v>69.739999999999995</v>
      </c>
      <c r="H525" s="3001" t="s">
        <v>3055</v>
      </c>
    </row>
    <row r="526" spans="1:8" ht="14.25" hidden="1" thickBot="1">
      <c r="A526" s="2999">
        <v>525</v>
      </c>
      <c r="B526" s="3005" t="s">
        <v>3299</v>
      </c>
      <c r="C526" s="3000" t="s">
        <v>3280</v>
      </c>
      <c r="D526" s="3000" t="s">
        <v>3261</v>
      </c>
      <c r="E526" s="3000" t="s">
        <v>70</v>
      </c>
      <c r="F526" s="3000">
        <v>301</v>
      </c>
      <c r="G526" s="3000">
        <v>68.05</v>
      </c>
      <c r="H526" s="3001" t="s">
        <v>3055</v>
      </c>
    </row>
    <row r="527" spans="1:8" ht="14.25" hidden="1" thickBot="1">
      <c r="A527" s="2999">
        <v>526</v>
      </c>
      <c r="B527" s="3005" t="s">
        <v>3299</v>
      </c>
      <c r="C527" s="3000" t="s">
        <v>3280</v>
      </c>
      <c r="D527" s="3000" t="s">
        <v>3261</v>
      </c>
      <c r="E527" s="3000" t="s">
        <v>70</v>
      </c>
      <c r="F527" s="3000">
        <v>302</v>
      </c>
      <c r="G527" s="3000">
        <v>69.5</v>
      </c>
      <c r="H527" s="3001" t="s">
        <v>3055</v>
      </c>
    </row>
    <row r="528" spans="1:8" ht="14.25" hidden="1" thickBot="1">
      <c r="A528" s="2999">
        <v>527</v>
      </c>
      <c r="B528" s="3005" t="s">
        <v>3299</v>
      </c>
      <c r="C528" s="3000" t="s">
        <v>3280</v>
      </c>
      <c r="D528" s="3000" t="s">
        <v>3261</v>
      </c>
      <c r="E528" s="3000" t="s">
        <v>70</v>
      </c>
      <c r="F528" s="3000">
        <v>303</v>
      </c>
      <c r="G528" s="3000">
        <v>69.55</v>
      </c>
      <c r="H528" s="3001" t="s">
        <v>3055</v>
      </c>
    </row>
    <row r="529" spans="1:8" ht="14.25" hidden="1" thickBot="1">
      <c r="A529" s="2999">
        <v>528</v>
      </c>
      <c r="B529" s="3005" t="s">
        <v>3299</v>
      </c>
      <c r="C529" s="3000" t="s">
        <v>3280</v>
      </c>
      <c r="D529" s="3000" t="s">
        <v>3261</v>
      </c>
      <c r="E529" s="3000" t="s">
        <v>70</v>
      </c>
      <c r="F529" s="3000">
        <v>305</v>
      </c>
      <c r="G529" s="3000">
        <v>69.55</v>
      </c>
      <c r="H529" s="3001" t="s">
        <v>3055</v>
      </c>
    </row>
    <row r="530" spans="1:8" ht="14.25" hidden="1" thickBot="1">
      <c r="A530" s="2999">
        <v>529</v>
      </c>
      <c r="B530" s="3005" t="s">
        <v>3299</v>
      </c>
      <c r="C530" s="3000" t="s">
        <v>3280</v>
      </c>
      <c r="D530" s="3000" t="s">
        <v>3261</v>
      </c>
      <c r="E530" s="3000" t="s">
        <v>70</v>
      </c>
      <c r="F530" s="3000">
        <v>306</v>
      </c>
      <c r="G530" s="3000">
        <v>69.739999999999995</v>
      </c>
      <c r="H530" s="3001" t="s">
        <v>3055</v>
      </c>
    </row>
    <row r="531" spans="1:8" ht="14.25" hidden="1" thickBot="1">
      <c r="A531" s="2999">
        <v>530</v>
      </c>
      <c r="B531" s="3005" t="s">
        <v>3299</v>
      </c>
      <c r="C531" s="3000" t="s">
        <v>3280</v>
      </c>
      <c r="D531" s="3000" t="s">
        <v>3261</v>
      </c>
      <c r="E531" s="3000" t="s">
        <v>70</v>
      </c>
      <c r="F531" s="3000">
        <v>307</v>
      </c>
      <c r="G531" s="3000">
        <v>68.37</v>
      </c>
      <c r="H531" s="3001" t="s">
        <v>3055</v>
      </c>
    </row>
    <row r="532" spans="1:8" ht="14.25" hidden="1" thickBot="1">
      <c r="A532" s="2999">
        <v>531</v>
      </c>
      <c r="B532" s="3005" t="s">
        <v>3299</v>
      </c>
      <c r="C532" s="3000" t="s">
        <v>3280</v>
      </c>
      <c r="D532" s="3000" t="s">
        <v>3261</v>
      </c>
      <c r="E532" s="3000" t="s">
        <v>70</v>
      </c>
      <c r="F532" s="3000">
        <v>308</v>
      </c>
      <c r="G532" s="3000">
        <v>64.430000000000007</v>
      </c>
      <c r="H532" s="3001" t="s">
        <v>3055</v>
      </c>
    </row>
    <row r="533" spans="1:8" ht="14.25" hidden="1" thickBot="1">
      <c r="A533" s="2999">
        <v>532</v>
      </c>
      <c r="B533" s="3005" t="s">
        <v>3299</v>
      </c>
      <c r="C533" s="3000" t="s">
        <v>3280</v>
      </c>
      <c r="D533" s="3000" t="s">
        <v>3262</v>
      </c>
      <c r="E533" s="3000" t="s">
        <v>70</v>
      </c>
      <c r="F533" s="3000" t="s">
        <v>3145</v>
      </c>
      <c r="G533" s="3000">
        <v>68.23</v>
      </c>
      <c r="H533" s="3001" t="s">
        <v>3055</v>
      </c>
    </row>
    <row r="534" spans="1:8" ht="14.25" hidden="1" thickBot="1">
      <c r="A534" s="2999">
        <v>533</v>
      </c>
      <c r="B534" s="3005" t="s">
        <v>3299</v>
      </c>
      <c r="C534" s="3000" t="s">
        <v>3280</v>
      </c>
      <c r="D534" s="3000" t="s">
        <v>3262</v>
      </c>
      <c r="E534" s="3000" t="s">
        <v>70</v>
      </c>
      <c r="F534" s="3000" t="s">
        <v>3146</v>
      </c>
      <c r="G534" s="3000">
        <v>69.5</v>
      </c>
      <c r="H534" s="3001" t="s">
        <v>3055</v>
      </c>
    </row>
    <row r="535" spans="1:8" ht="14.25" hidden="1" thickBot="1">
      <c r="A535" s="2999">
        <v>534</v>
      </c>
      <c r="B535" s="3005" t="s">
        <v>3299</v>
      </c>
      <c r="C535" s="3000" t="s">
        <v>3280</v>
      </c>
      <c r="D535" s="3000" t="s">
        <v>3262</v>
      </c>
      <c r="E535" s="3000" t="s">
        <v>70</v>
      </c>
      <c r="F535" s="3000" t="s">
        <v>3147</v>
      </c>
      <c r="G535" s="3000">
        <v>69.55</v>
      </c>
      <c r="H535" s="3001" t="s">
        <v>3055</v>
      </c>
    </row>
    <row r="536" spans="1:8" ht="14.25" hidden="1" thickBot="1">
      <c r="A536" s="2999">
        <v>535</v>
      </c>
      <c r="B536" s="3005" t="s">
        <v>3299</v>
      </c>
      <c r="C536" s="3000" t="s">
        <v>3280</v>
      </c>
      <c r="D536" s="3000" t="s">
        <v>3262</v>
      </c>
      <c r="E536" s="3000" t="s">
        <v>70</v>
      </c>
      <c r="F536" s="3000" t="s">
        <v>3148</v>
      </c>
      <c r="G536" s="3000">
        <v>69.55</v>
      </c>
      <c r="H536" s="3001" t="s">
        <v>3055</v>
      </c>
    </row>
    <row r="537" spans="1:8" ht="14.25" hidden="1" thickBot="1">
      <c r="A537" s="2999">
        <v>536</v>
      </c>
      <c r="B537" s="3005" t="s">
        <v>3299</v>
      </c>
      <c r="C537" s="3000" t="s">
        <v>3280</v>
      </c>
      <c r="D537" s="3000" t="s">
        <v>3262</v>
      </c>
      <c r="E537" s="3000" t="s">
        <v>70</v>
      </c>
      <c r="F537" s="3000" t="s">
        <v>3149</v>
      </c>
      <c r="G537" s="3000">
        <v>69.739999999999995</v>
      </c>
      <c r="H537" s="3001" t="s">
        <v>3055</v>
      </c>
    </row>
    <row r="538" spans="1:8" ht="14.25" hidden="1" thickBot="1">
      <c r="A538" s="2999">
        <v>537</v>
      </c>
      <c r="B538" s="3005" t="s">
        <v>3299</v>
      </c>
      <c r="C538" s="3000" t="s">
        <v>3280</v>
      </c>
      <c r="D538" s="3000" t="s">
        <v>3262</v>
      </c>
      <c r="E538" s="3000" t="s">
        <v>70</v>
      </c>
      <c r="F538" s="3000" t="s">
        <v>3150</v>
      </c>
      <c r="G538" s="3000">
        <v>68.37</v>
      </c>
      <c r="H538" s="3001" t="s">
        <v>3055</v>
      </c>
    </row>
    <row r="539" spans="1:8" ht="14.25" hidden="1" thickBot="1">
      <c r="A539" s="2999">
        <v>538</v>
      </c>
      <c r="B539" s="3005" t="s">
        <v>3299</v>
      </c>
      <c r="C539" s="3000" t="s">
        <v>3280</v>
      </c>
      <c r="D539" s="3000" t="s">
        <v>3262</v>
      </c>
      <c r="E539" s="3000" t="s">
        <v>70</v>
      </c>
      <c r="F539" s="3000" t="s">
        <v>3151</v>
      </c>
      <c r="G539" s="3000">
        <v>64.430000000000007</v>
      </c>
      <c r="H539" s="3001" t="s">
        <v>3055</v>
      </c>
    </row>
    <row r="540" spans="1:8" ht="14.25" hidden="1" thickBot="1">
      <c r="A540" s="2999">
        <v>539</v>
      </c>
      <c r="B540" s="3005" t="s">
        <v>3299</v>
      </c>
      <c r="C540" s="3000" t="s">
        <v>3280</v>
      </c>
      <c r="D540" s="3000" t="s">
        <v>3263</v>
      </c>
      <c r="E540" s="3000" t="s">
        <v>70</v>
      </c>
      <c r="F540" s="3000">
        <v>501</v>
      </c>
      <c r="G540" s="3000">
        <v>68.23</v>
      </c>
      <c r="H540" s="3001" t="s">
        <v>3055</v>
      </c>
    </row>
    <row r="541" spans="1:8" ht="14.25" hidden="1" thickBot="1">
      <c r="A541" s="2999">
        <v>540</v>
      </c>
      <c r="B541" s="3005" t="s">
        <v>3299</v>
      </c>
      <c r="C541" s="3000" t="s">
        <v>3280</v>
      </c>
      <c r="D541" s="3000" t="s">
        <v>3263</v>
      </c>
      <c r="E541" s="3000" t="s">
        <v>70</v>
      </c>
      <c r="F541" s="3000">
        <v>503</v>
      </c>
      <c r="G541" s="3000">
        <v>69.55</v>
      </c>
      <c r="H541" s="3001" t="s">
        <v>3055</v>
      </c>
    </row>
    <row r="542" spans="1:8" ht="14.25" hidden="1" thickBot="1">
      <c r="A542" s="2999">
        <v>541</v>
      </c>
      <c r="B542" s="3005" t="s">
        <v>3299</v>
      </c>
      <c r="C542" s="3000" t="s">
        <v>3280</v>
      </c>
      <c r="D542" s="3000" t="s">
        <v>3263</v>
      </c>
      <c r="E542" s="3000" t="s">
        <v>70</v>
      </c>
      <c r="F542" s="3000">
        <v>505</v>
      </c>
      <c r="G542" s="3000">
        <v>69.55</v>
      </c>
      <c r="H542" s="3001" t="s">
        <v>3055</v>
      </c>
    </row>
    <row r="543" spans="1:8" ht="14.25" hidden="1" thickBot="1">
      <c r="A543" s="2999">
        <v>542</v>
      </c>
      <c r="B543" s="3005" t="s">
        <v>3299</v>
      </c>
      <c r="C543" s="3000" t="s">
        <v>3280</v>
      </c>
      <c r="D543" s="3000" t="s">
        <v>3263</v>
      </c>
      <c r="E543" s="3000" t="s">
        <v>70</v>
      </c>
      <c r="F543" s="3000">
        <v>506</v>
      </c>
      <c r="G543" s="3000">
        <v>69.739999999999995</v>
      </c>
      <c r="H543" s="3001" t="s">
        <v>3055</v>
      </c>
    </row>
    <row r="544" spans="1:8" ht="14.25" hidden="1" thickBot="1">
      <c r="A544" s="2999">
        <v>543</v>
      </c>
      <c r="B544" s="3005" t="s">
        <v>3299</v>
      </c>
      <c r="C544" s="3000" t="s">
        <v>3280</v>
      </c>
      <c r="D544" s="3000" t="s">
        <v>3263</v>
      </c>
      <c r="E544" s="3000" t="s">
        <v>70</v>
      </c>
      <c r="F544" s="3000">
        <v>507</v>
      </c>
      <c r="G544" s="3000">
        <v>68.37</v>
      </c>
      <c r="H544" s="3001" t="s">
        <v>3055</v>
      </c>
    </row>
    <row r="545" spans="1:8" ht="14.25" hidden="1" thickBot="1">
      <c r="A545" s="2999">
        <v>544</v>
      </c>
      <c r="B545" s="3005" t="s">
        <v>3299</v>
      </c>
      <c r="C545" s="3000" t="s">
        <v>3280</v>
      </c>
      <c r="D545" s="3000" t="s">
        <v>3263</v>
      </c>
      <c r="E545" s="3000" t="s">
        <v>70</v>
      </c>
      <c r="F545" s="3000">
        <v>508</v>
      </c>
      <c r="G545" s="3000">
        <v>64.430000000000007</v>
      </c>
      <c r="H545" s="3001" t="s">
        <v>3055</v>
      </c>
    </row>
    <row r="546" spans="1:8" ht="14.25" hidden="1" thickBot="1">
      <c r="A546" s="2999">
        <v>545</v>
      </c>
      <c r="B546" s="3005" t="s">
        <v>3299</v>
      </c>
      <c r="C546" s="3000" t="s">
        <v>3280</v>
      </c>
      <c r="D546" s="3000" t="s">
        <v>3264</v>
      </c>
      <c r="E546" s="3000" t="s">
        <v>70</v>
      </c>
      <c r="F546" s="3000">
        <v>601</v>
      </c>
      <c r="G546" s="3000">
        <v>68.23</v>
      </c>
      <c r="H546" s="3001" t="s">
        <v>3055</v>
      </c>
    </row>
    <row r="547" spans="1:8" ht="14.25" hidden="1" thickBot="1">
      <c r="A547" s="2999">
        <v>546</v>
      </c>
      <c r="B547" s="3005" t="s">
        <v>3299</v>
      </c>
      <c r="C547" s="3000" t="s">
        <v>3280</v>
      </c>
      <c r="D547" s="3000" t="s">
        <v>3264</v>
      </c>
      <c r="E547" s="3000" t="s">
        <v>70</v>
      </c>
      <c r="F547" s="3000">
        <v>602</v>
      </c>
      <c r="G547" s="3000">
        <v>69.5</v>
      </c>
      <c r="H547" s="3001" t="s">
        <v>3055</v>
      </c>
    </row>
    <row r="548" spans="1:8" ht="14.25" hidden="1" thickBot="1">
      <c r="A548" s="2999">
        <v>547</v>
      </c>
      <c r="B548" s="3005" t="s">
        <v>3299</v>
      </c>
      <c r="C548" s="3000" t="s">
        <v>3280</v>
      </c>
      <c r="D548" s="3000" t="s">
        <v>3264</v>
      </c>
      <c r="E548" s="3000" t="s">
        <v>70</v>
      </c>
      <c r="F548" s="3000">
        <v>603</v>
      </c>
      <c r="G548" s="3000">
        <v>69.55</v>
      </c>
      <c r="H548" s="3001" t="s">
        <v>3055</v>
      </c>
    </row>
    <row r="549" spans="1:8" ht="14.25" hidden="1" thickBot="1">
      <c r="A549" s="2999">
        <v>548</v>
      </c>
      <c r="B549" s="3005" t="s">
        <v>3299</v>
      </c>
      <c r="C549" s="3000" t="s">
        <v>3280</v>
      </c>
      <c r="D549" s="3000" t="s">
        <v>3264</v>
      </c>
      <c r="E549" s="3000" t="s">
        <v>70</v>
      </c>
      <c r="F549" s="3000">
        <v>605</v>
      </c>
      <c r="G549" s="3000">
        <v>69.55</v>
      </c>
      <c r="H549" s="3001" t="s">
        <v>3055</v>
      </c>
    </row>
    <row r="550" spans="1:8" ht="14.25" hidden="1" thickBot="1">
      <c r="A550" s="2999">
        <v>549</v>
      </c>
      <c r="B550" s="3005" t="s">
        <v>3299</v>
      </c>
      <c r="C550" s="3000" t="s">
        <v>3280</v>
      </c>
      <c r="D550" s="3000" t="s">
        <v>3264</v>
      </c>
      <c r="E550" s="3000" t="s">
        <v>70</v>
      </c>
      <c r="F550" s="3000">
        <v>606</v>
      </c>
      <c r="G550" s="3000">
        <v>69.739999999999995</v>
      </c>
      <c r="H550" s="3001" t="s">
        <v>3055</v>
      </c>
    </row>
    <row r="551" spans="1:8" ht="14.25" hidden="1" thickBot="1">
      <c r="A551" s="2999">
        <v>550</v>
      </c>
      <c r="B551" s="3005" t="s">
        <v>3299</v>
      </c>
      <c r="C551" s="3000" t="s">
        <v>3280</v>
      </c>
      <c r="D551" s="3000" t="s">
        <v>3264</v>
      </c>
      <c r="E551" s="3000" t="s">
        <v>70</v>
      </c>
      <c r="F551" s="3000">
        <v>607</v>
      </c>
      <c r="G551" s="3000">
        <v>68.37</v>
      </c>
      <c r="H551" s="3001" t="s">
        <v>3055</v>
      </c>
    </row>
    <row r="552" spans="1:8" ht="14.25" hidden="1" thickBot="1">
      <c r="A552" s="2999">
        <v>551</v>
      </c>
      <c r="B552" s="3005" t="s">
        <v>3299</v>
      </c>
      <c r="C552" s="3000" t="s">
        <v>3280</v>
      </c>
      <c r="D552" s="3000" t="s">
        <v>3264</v>
      </c>
      <c r="E552" s="3000" t="s">
        <v>70</v>
      </c>
      <c r="F552" s="3000">
        <v>608</v>
      </c>
      <c r="G552" s="3000">
        <v>64.430000000000007</v>
      </c>
      <c r="H552" s="3001" t="s">
        <v>3055</v>
      </c>
    </row>
    <row r="553" spans="1:8" ht="14.25" thickBot="1">
      <c r="A553" s="2999">
        <v>552</v>
      </c>
      <c r="B553" s="3005" t="s">
        <v>3300</v>
      </c>
      <c r="C553" s="3000" t="s">
        <v>3281</v>
      </c>
      <c r="D553" s="3002" t="s">
        <v>3261</v>
      </c>
      <c r="E553" s="3000" t="s">
        <v>70</v>
      </c>
      <c r="F553" s="3000">
        <v>301</v>
      </c>
      <c r="G553" s="3000">
        <v>68.92</v>
      </c>
      <c r="H553" s="3001" t="s">
        <v>3055</v>
      </c>
    </row>
    <row r="554" spans="1:8" ht="14.25" thickBot="1">
      <c r="A554" s="2999">
        <v>553</v>
      </c>
      <c r="B554" s="3005" t="s">
        <v>3300</v>
      </c>
      <c r="C554" s="3000" t="s">
        <v>3281</v>
      </c>
      <c r="D554" s="3002" t="s">
        <v>3261</v>
      </c>
      <c r="E554" s="3000" t="s">
        <v>70</v>
      </c>
      <c r="F554" s="3000">
        <v>302</v>
      </c>
      <c r="G554" s="3000">
        <v>72.41</v>
      </c>
      <c r="H554" s="3001" t="s">
        <v>3055</v>
      </c>
    </row>
    <row r="555" spans="1:8" ht="14.25" thickBot="1">
      <c r="A555" s="2999">
        <v>554</v>
      </c>
      <c r="B555" s="3005" t="s">
        <v>3300</v>
      </c>
      <c r="C555" s="3000" t="s">
        <v>3281</v>
      </c>
      <c r="D555" s="3002" t="s">
        <v>3261</v>
      </c>
      <c r="E555" s="3000" t="s">
        <v>70</v>
      </c>
      <c r="F555" s="3000">
        <v>303</v>
      </c>
      <c r="G555" s="3000">
        <v>72.45</v>
      </c>
      <c r="H555" s="3001" t="s">
        <v>3055</v>
      </c>
    </row>
    <row r="556" spans="1:8" ht="14.25" thickBot="1">
      <c r="A556" s="2999">
        <v>555</v>
      </c>
      <c r="B556" s="3005" t="s">
        <v>3300</v>
      </c>
      <c r="C556" s="3000" t="s">
        <v>3281</v>
      </c>
      <c r="D556" s="3002" t="s">
        <v>3261</v>
      </c>
      <c r="E556" s="3000" t="s">
        <v>70</v>
      </c>
      <c r="F556" s="3000">
        <v>305</v>
      </c>
      <c r="G556" s="3000">
        <v>72.45</v>
      </c>
      <c r="H556" s="3001" t="s">
        <v>3055</v>
      </c>
    </row>
    <row r="557" spans="1:8" ht="14.25" thickBot="1">
      <c r="A557" s="2999">
        <v>556</v>
      </c>
      <c r="B557" s="3005" t="s">
        <v>3300</v>
      </c>
      <c r="C557" s="3000" t="s">
        <v>3281</v>
      </c>
      <c r="D557" s="3002" t="s">
        <v>3261</v>
      </c>
      <c r="E557" s="3000" t="s">
        <v>70</v>
      </c>
      <c r="F557" s="3000">
        <v>306</v>
      </c>
      <c r="G557" s="3000">
        <v>72.41</v>
      </c>
      <c r="H557" s="3001" t="s">
        <v>3055</v>
      </c>
    </row>
    <row r="558" spans="1:8" ht="14.25" thickBot="1">
      <c r="A558" s="2999">
        <v>557</v>
      </c>
      <c r="B558" s="3005" t="s">
        <v>3300</v>
      </c>
      <c r="C558" s="3000" t="s">
        <v>3281</v>
      </c>
      <c r="D558" s="3002" t="s">
        <v>3261</v>
      </c>
      <c r="E558" s="3000" t="s">
        <v>70</v>
      </c>
      <c r="F558" s="3000">
        <v>307</v>
      </c>
      <c r="G558" s="3000">
        <v>68.92</v>
      </c>
      <c r="H558" s="3001" t="s">
        <v>3055</v>
      </c>
    </row>
    <row r="559" spans="1:8" ht="14.25" thickBot="1">
      <c r="A559" s="2999">
        <v>558</v>
      </c>
      <c r="B559" s="3005" t="s">
        <v>3300</v>
      </c>
      <c r="C559" s="3000" t="s">
        <v>3281</v>
      </c>
      <c r="D559" s="3002" t="s">
        <v>3262</v>
      </c>
      <c r="E559" s="3000" t="s">
        <v>70</v>
      </c>
      <c r="F559" s="3000" t="s">
        <v>3145</v>
      </c>
      <c r="G559" s="3000">
        <v>68.92</v>
      </c>
      <c r="H559" s="3001" t="s">
        <v>3055</v>
      </c>
    </row>
    <row r="560" spans="1:8" ht="14.25" thickBot="1">
      <c r="A560" s="2999">
        <v>559</v>
      </c>
      <c r="B560" s="3005" t="s">
        <v>3300</v>
      </c>
      <c r="C560" s="3000" t="s">
        <v>3281</v>
      </c>
      <c r="D560" s="3002" t="s">
        <v>3262</v>
      </c>
      <c r="E560" s="3000" t="s">
        <v>70</v>
      </c>
      <c r="F560" s="3000" t="s">
        <v>3146</v>
      </c>
      <c r="G560" s="3000">
        <v>72.41</v>
      </c>
      <c r="H560" s="3001" t="s">
        <v>3055</v>
      </c>
    </row>
    <row r="561" spans="1:8" ht="14.25" thickBot="1">
      <c r="A561" s="2999">
        <v>560</v>
      </c>
      <c r="B561" s="3005" t="s">
        <v>3300</v>
      </c>
      <c r="C561" s="3000" t="s">
        <v>3281</v>
      </c>
      <c r="D561" s="3002" t="s">
        <v>3262</v>
      </c>
      <c r="E561" s="3000" t="s">
        <v>70</v>
      </c>
      <c r="F561" s="3000" t="s">
        <v>3147</v>
      </c>
      <c r="G561" s="3000">
        <v>72.45</v>
      </c>
      <c r="H561" s="3001" t="s">
        <v>3055</v>
      </c>
    </row>
    <row r="562" spans="1:8" ht="14.25" thickBot="1">
      <c r="A562" s="2999">
        <v>561</v>
      </c>
      <c r="B562" s="3005" t="s">
        <v>3300</v>
      </c>
      <c r="C562" s="3000" t="s">
        <v>3281</v>
      </c>
      <c r="D562" s="3002" t="s">
        <v>3262</v>
      </c>
      <c r="E562" s="3000" t="s">
        <v>70</v>
      </c>
      <c r="F562" s="3000" t="s">
        <v>3148</v>
      </c>
      <c r="G562" s="3000">
        <v>72.45</v>
      </c>
      <c r="H562" s="3001" t="s">
        <v>3055</v>
      </c>
    </row>
    <row r="563" spans="1:8" ht="14.25" thickBot="1">
      <c r="A563" s="2999">
        <v>562</v>
      </c>
      <c r="B563" s="3005" t="s">
        <v>3300</v>
      </c>
      <c r="C563" s="3000" t="s">
        <v>3281</v>
      </c>
      <c r="D563" s="3002" t="s">
        <v>3262</v>
      </c>
      <c r="E563" s="3000" t="s">
        <v>70</v>
      </c>
      <c r="F563" s="3000" t="s">
        <v>3149</v>
      </c>
      <c r="G563" s="3000">
        <v>72.41</v>
      </c>
      <c r="H563" s="3001" t="s">
        <v>3055</v>
      </c>
    </row>
    <row r="564" spans="1:8" ht="14.25" thickBot="1">
      <c r="A564" s="2999">
        <v>563</v>
      </c>
      <c r="B564" s="3005" t="s">
        <v>3300</v>
      </c>
      <c r="C564" s="3000" t="s">
        <v>3281</v>
      </c>
      <c r="D564" s="3002" t="s">
        <v>3262</v>
      </c>
      <c r="E564" s="3000" t="s">
        <v>70</v>
      </c>
      <c r="F564" s="3000" t="s">
        <v>3150</v>
      </c>
      <c r="G564" s="3000">
        <v>68.92</v>
      </c>
      <c r="H564" s="3001" t="s">
        <v>3055</v>
      </c>
    </row>
    <row r="565" spans="1:8" ht="14.25" thickBot="1">
      <c r="A565" s="2999">
        <v>564</v>
      </c>
      <c r="B565" s="3005" t="s">
        <v>3300</v>
      </c>
      <c r="C565" s="3000" t="s">
        <v>3281</v>
      </c>
      <c r="D565" s="3002" t="s">
        <v>3263</v>
      </c>
      <c r="E565" s="3000" t="s">
        <v>70</v>
      </c>
      <c r="F565" s="3000">
        <v>501</v>
      </c>
      <c r="G565" s="3000">
        <v>68.92</v>
      </c>
      <c r="H565" s="3001" t="s">
        <v>3055</v>
      </c>
    </row>
    <row r="566" spans="1:8" ht="14.25" thickBot="1">
      <c r="A566" s="2999">
        <v>565</v>
      </c>
      <c r="B566" s="3005" t="s">
        <v>3300</v>
      </c>
      <c r="C566" s="3000" t="s">
        <v>3281</v>
      </c>
      <c r="D566" s="3002" t="s">
        <v>3263</v>
      </c>
      <c r="E566" s="3000" t="s">
        <v>70</v>
      </c>
      <c r="F566" s="3000">
        <v>502</v>
      </c>
      <c r="G566" s="3000">
        <v>72.41</v>
      </c>
      <c r="H566" s="3001" t="s">
        <v>3055</v>
      </c>
    </row>
    <row r="567" spans="1:8" ht="14.25" thickBot="1">
      <c r="A567" s="2999">
        <v>566</v>
      </c>
      <c r="B567" s="3005" t="s">
        <v>3300</v>
      </c>
      <c r="C567" s="3000" t="s">
        <v>3281</v>
      </c>
      <c r="D567" s="3002" t="s">
        <v>3263</v>
      </c>
      <c r="E567" s="3000" t="s">
        <v>70</v>
      </c>
      <c r="F567" s="3000">
        <v>503</v>
      </c>
      <c r="G567" s="3000">
        <v>72.45</v>
      </c>
      <c r="H567" s="3001" t="s">
        <v>3055</v>
      </c>
    </row>
    <row r="568" spans="1:8" ht="14.25" thickBot="1">
      <c r="A568" s="2999">
        <v>567</v>
      </c>
      <c r="B568" s="3005" t="s">
        <v>3300</v>
      </c>
      <c r="C568" s="3000" t="s">
        <v>3281</v>
      </c>
      <c r="D568" s="3002" t="s">
        <v>3263</v>
      </c>
      <c r="E568" s="3000" t="s">
        <v>70</v>
      </c>
      <c r="F568" s="3000">
        <v>505</v>
      </c>
      <c r="G568" s="3000">
        <v>72.45</v>
      </c>
      <c r="H568" s="3001" t="s">
        <v>3055</v>
      </c>
    </row>
    <row r="569" spans="1:8" ht="14.25" thickBot="1">
      <c r="A569" s="2999">
        <v>568</v>
      </c>
      <c r="B569" s="3005" t="s">
        <v>3300</v>
      </c>
      <c r="C569" s="3000" t="s">
        <v>3281</v>
      </c>
      <c r="D569" s="3002" t="s">
        <v>3263</v>
      </c>
      <c r="E569" s="3000" t="s">
        <v>70</v>
      </c>
      <c r="F569" s="3000">
        <v>506</v>
      </c>
      <c r="G569" s="3000">
        <v>72.41</v>
      </c>
      <c r="H569" s="3001" t="s">
        <v>3055</v>
      </c>
    </row>
    <row r="570" spans="1:8" ht="14.25" thickBot="1">
      <c r="A570" s="2999">
        <v>569</v>
      </c>
      <c r="B570" s="3005" t="s">
        <v>3300</v>
      </c>
      <c r="C570" s="3000" t="s">
        <v>3281</v>
      </c>
      <c r="D570" s="3002" t="s">
        <v>3263</v>
      </c>
      <c r="E570" s="3000" t="s">
        <v>70</v>
      </c>
      <c r="F570" s="3000">
        <v>507</v>
      </c>
      <c r="G570" s="3000">
        <v>68.92</v>
      </c>
      <c r="H570" s="3001" t="s">
        <v>3055</v>
      </c>
    </row>
    <row r="571" spans="1:8" ht="14.25" thickBot="1">
      <c r="A571" s="2999">
        <v>570</v>
      </c>
      <c r="B571" s="3005" t="s">
        <v>3300</v>
      </c>
      <c r="C571" s="3000" t="s">
        <v>3281</v>
      </c>
      <c r="D571" s="3002" t="s">
        <v>3264</v>
      </c>
      <c r="E571" s="3000" t="s">
        <v>70</v>
      </c>
      <c r="F571" s="3000">
        <v>601</v>
      </c>
      <c r="G571" s="3000">
        <v>68.92</v>
      </c>
      <c r="H571" s="3001" t="s">
        <v>3055</v>
      </c>
    </row>
    <row r="572" spans="1:8" ht="14.25" thickBot="1">
      <c r="A572" s="2999">
        <v>571</v>
      </c>
      <c r="B572" s="3005" t="s">
        <v>3300</v>
      </c>
      <c r="C572" s="3000" t="s">
        <v>3281</v>
      </c>
      <c r="D572" s="3002" t="s">
        <v>3264</v>
      </c>
      <c r="E572" s="3000" t="s">
        <v>70</v>
      </c>
      <c r="F572" s="3000">
        <v>602</v>
      </c>
      <c r="G572" s="3000">
        <v>72.41</v>
      </c>
      <c r="H572" s="3001" t="s">
        <v>3055</v>
      </c>
    </row>
    <row r="573" spans="1:8" ht="14.25" thickBot="1">
      <c r="A573" s="2999">
        <v>572</v>
      </c>
      <c r="B573" s="3005" t="s">
        <v>3300</v>
      </c>
      <c r="C573" s="3000" t="s">
        <v>3281</v>
      </c>
      <c r="D573" s="3002" t="s">
        <v>3264</v>
      </c>
      <c r="E573" s="3000" t="s">
        <v>70</v>
      </c>
      <c r="F573" s="3000">
        <v>603</v>
      </c>
      <c r="G573" s="3000">
        <v>72.45</v>
      </c>
      <c r="H573" s="3001" t="s">
        <v>3055</v>
      </c>
    </row>
    <row r="574" spans="1:8" ht="14.25" thickBot="1">
      <c r="A574" s="2999">
        <v>573</v>
      </c>
      <c r="B574" s="3005" t="s">
        <v>3300</v>
      </c>
      <c r="C574" s="3000" t="s">
        <v>3281</v>
      </c>
      <c r="D574" s="3002" t="s">
        <v>3264</v>
      </c>
      <c r="E574" s="3000" t="s">
        <v>70</v>
      </c>
      <c r="F574" s="3000">
        <v>605</v>
      </c>
      <c r="G574" s="3000">
        <v>72.45</v>
      </c>
      <c r="H574" s="3001" t="s">
        <v>3055</v>
      </c>
    </row>
    <row r="575" spans="1:8" ht="14.25" thickBot="1">
      <c r="A575" s="2999">
        <v>574</v>
      </c>
      <c r="B575" s="3005" t="s">
        <v>3300</v>
      </c>
      <c r="C575" s="3000" t="s">
        <v>3281</v>
      </c>
      <c r="D575" s="3002" t="s">
        <v>3264</v>
      </c>
      <c r="E575" s="3000" t="s">
        <v>70</v>
      </c>
      <c r="F575" s="3000">
        <v>606</v>
      </c>
      <c r="G575" s="3000">
        <v>72.41</v>
      </c>
      <c r="H575" s="3001" t="s">
        <v>3055</v>
      </c>
    </row>
    <row r="576" spans="1:8" ht="14.25" thickBot="1">
      <c r="A576" s="2999">
        <v>575</v>
      </c>
      <c r="B576" s="3005" t="s">
        <v>3300</v>
      </c>
      <c r="C576" s="3000" t="s">
        <v>3281</v>
      </c>
      <c r="D576" s="3002" t="s">
        <v>3264</v>
      </c>
      <c r="E576" s="3000" t="s">
        <v>70</v>
      </c>
      <c r="F576" s="3000">
        <v>607</v>
      </c>
      <c r="G576" s="3000">
        <v>68.92</v>
      </c>
      <c r="H576" s="3001" t="s">
        <v>3055</v>
      </c>
    </row>
    <row r="577" spans="1:8" ht="14.25" thickBot="1">
      <c r="A577" s="2999">
        <v>576</v>
      </c>
      <c r="B577" s="3005" t="s">
        <v>3300</v>
      </c>
      <c r="C577" s="3000" t="s">
        <v>3282</v>
      </c>
      <c r="D577" s="3002" t="s">
        <v>3261</v>
      </c>
      <c r="E577" s="3000" t="s">
        <v>70</v>
      </c>
      <c r="F577" s="3002">
        <v>301</v>
      </c>
      <c r="G577" s="3000">
        <v>69.680000000000007</v>
      </c>
      <c r="H577" s="3001" t="s">
        <v>3055</v>
      </c>
    </row>
    <row r="578" spans="1:8" ht="14.25" thickBot="1">
      <c r="A578" s="2999">
        <v>577</v>
      </c>
      <c r="B578" s="3005" t="s">
        <v>3300</v>
      </c>
      <c r="C578" s="3000" t="s">
        <v>3282</v>
      </c>
      <c r="D578" s="3002" t="s">
        <v>3261</v>
      </c>
      <c r="E578" s="3000" t="s">
        <v>70</v>
      </c>
      <c r="F578" s="3002">
        <v>302</v>
      </c>
      <c r="G578" s="3000">
        <v>71.23</v>
      </c>
      <c r="H578" s="3001" t="s">
        <v>3055</v>
      </c>
    </row>
    <row r="579" spans="1:8" ht="14.25" thickBot="1">
      <c r="A579" s="2999">
        <v>578</v>
      </c>
      <c r="B579" s="3005" t="s">
        <v>3300</v>
      </c>
      <c r="C579" s="3000" t="s">
        <v>3282</v>
      </c>
      <c r="D579" s="3002" t="s">
        <v>3261</v>
      </c>
      <c r="E579" s="3000" t="s">
        <v>70</v>
      </c>
      <c r="F579" s="3002">
        <v>303</v>
      </c>
      <c r="G579" s="3000">
        <v>71.27</v>
      </c>
      <c r="H579" s="3001" t="s">
        <v>3055</v>
      </c>
    </row>
    <row r="580" spans="1:8" ht="14.25" thickBot="1">
      <c r="A580" s="2999">
        <v>579</v>
      </c>
      <c r="B580" s="3005" t="s">
        <v>3300</v>
      </c>
      <c r="C580" s="3000" t="s">
        <v>3282</v>
      </c>
      <c r="D580" s="3002" t="s">
        <v>3261</v>
      </c>
      <c r="E580" s="3000" t="s">
        <v>70</v>
      </c>
      <c r="F580" s="3002">
        <v>305</v>
      </c>
      <c r="G580" s="3000">
        <v>71.27</v>
      </c>
      <c r="H580" s="3001" t="s">
        <v>3055</v>
      </c>
    </row>
    <row r="581" spans="1:8" ht="14.25" thickBot="1">
      <c r="A581" s="2999">
        <v>580</v>
      </c>
      <c r="B581" s="3005" t="s">
        <v>3300</v>
      </c>
      <c r="C581" s="3000" t="s">
        <v>3282</v>
      </c>
      <c r="D581" s="3002" t="s">
        <v>3261</v>
      </c>
      <c r="E581" s="3000" t="s">
        <v>70</v>
      </c>
      <c r="F581" s="3002">
        <v>306</v>
      </c>
      <c r="G581" s="3000">
        <v>71.27</v>
      </c>
      <c r="H581" s="3001" t="s">
        <v>3055</v>
      </c>
    </row>
    <row r="582" spans="1:8" ht="14.25" thickBot="1">
      <c r="A582" s="2999">
        <v>581</v>
      </c>
      <c r="B582" s="3005" t="s">
        <v>3300</v>
      </c>
      <c r="C582" s="3000" t="s">
        <v>3282</v>
      </c>
      <c r="D582" s="3002" t="s">
        <v>3261</v>
      </c>
      <c r="E582" s="3000" t="s">
        <v>70</v>
      </c>
      <c r="F582" s="3002">
        <v>307</v>
      </c>
      <c r="G582" s="3000">
        <v>69.87</v>
      </c>
      <c r="H582" s="3001" t="s">
        <v>3055</v>
      </c>
    </row>
    <row r="583" spans="1:8" ht="14.25" thickBot="1">
      <c r="A583" s="2999">
        <v>582</v>
      </c>
      <c r="B583" s="3005" t="s">
        <v>3300</v>
      </c>
      <c r="C583" s="3000" t="s">
        <v>3282</v>
      </c>
      <c r="D583" s="3002" t="s">
        <v>3261</v>
      </c>
      <c r="E583" s="3000" t="s">
        <v>70</v>
      </c>
      <c r="F583" s="3002">
        <v>308</v>
      </c>
      <c r="G583" s="3000">
        <v>66.13</v>
      </c>
      <c r="H583" s="3001" t="s">
        <v>3055</v>
      </c>
    </row>
    <row r="584" spans="1:8" ht="14.25" thickBot="1">
      <c r="A584" s="2999">
        <v>583</v>
      </c>
      <c r="B584" s="3005" t="s">
        <v>3300</v>
      </c>
      <c r="C584" s="3000" t="s">
        <v>3282</v>
      </c>
      <c r="D584" s="3002" t="s">
        <v>3262</v>
      </c>
      <c r="E584" s="3000" t="s">
        <v>70</v>
      </c>
      <c r="F584" s="3002" t="s">
        <v>3145</v>
      </c>
      <c r="G584" s="3000">
        <v>69.680000000000007</v>
      </c>
      <c r="H584" s="3001" t="s">
        <v>3055</v>
      </c>
    </row>
    <row r="585" spans="1:8" ht="14.25" thickBot="1">
      <c r="A585" s="2999">
        <v>584</v>
      </c>
      <c r="B585" s="3005" t="s">
        <v>3300</v>
      </c>
      <c r="C585" s="3000" t="s">
        <v>3282</v>
      </c>
      <c r="D585" s="3002" t="s">
        <v>3262</v>
      </c>
      <c r="E585" s="3000" t="s">
        <v>70</v>
      </c>
      <c r="F585" s="3002" t="s">
        <v>3146</v>
      </c>
      <c r="G585" s="3000">
        <v>71.23</v>
      </c>
      <c r="H585" s="3001" t="s">
        <v>3055</v>
      </c>
    </row>
    <row r="586" spans="1:8" ht="14.25" thickBot="1">
      <c r="A586" s="2999">
        <v>585</v>
      </c>
      <c r="B586" s="3005" t="s">
        <v>3300</v>
      </c>
      <c r="C586" s="3000" t="s">
        <v>3282</v>
      </c>
      <c r="D586" s="3002" t="s">
        <v>3262</v>
      </c>
      <c r="E586" s="3000" t="s">
        <v>70</v>
      </c>
      <c r="F586" s="3002" t="s">
        <v>3147</v>
      </c>
      <c r="G586" s="3000">
        <v>71.27</v>
      </c>
      <c r="H586" s="3001" t="s">
        <v>3055</v>
      </c>
    </row>
    <row r="587" spans="1:8" ht="14.25" thickBot="1">
      <c r="A587" s="2999">
        <v>586</v>
      </c>
      <c r="B587" s="3005" t="s">
        <v>3300</v>
      </c>
      <c r="C587" s="3000" t="s">
        <v>3282</v>
      </c>
      <c r="D587" s="3002" t="s">
        <v>3262</v>
      </c>
      <c r="E587" s="3000" t="s">
        <v>70</v>
      </c>
      <c r="F587" s="3002" t="s">
        <v>3148</v>
      </c>
      <c r="G587" s="3000">
        <v>71.27</v>
      </c>
      <c r="H587" s="3001" t="s">
        <v>3055</v>
      </c>
    </row>
    <row r="588" spans="1:8" ht="14.25" thickBot="1">
      <c r="A588" s="2999">
        <v>587</v>
      </c>
      <c r="B588" s="3005" t="s">
        <v>3300</v>
      </c>
      <c r="C588" s="3000" t="s">
        <v>3282</v>
      </c>
      <c r="D588" s="3002" t="s">
        <v>3262</v>
      </c>
      <c r="E588" s="3000" t="s">
        <v>70</v>
      </c>
      <c r="F588" s="3002" t="s">
        <v>3149</v>
      </c>
      <c r="G588" s="3000">
        <v>71.27</v>
      </c>
      <c r="H588" s="3001" t="s">
        <v>3055</v>
      </c>
    </row>
    <row r="589" spans="1:8" ht="14.25" thickBot="1">
      <c r="A589" s="2999">
        <v>588</v>
      </c>
      <c r="B589" s="3005" t="s">
        <v>3300</v>
      </c>
      <c r="C589" s="3000" t="s">
        <v>3282</v>
      </c>
      <c r="D589" s="3002" t="s">
        <v>3262</v>
      </c>
      <c r="E589" s="3000" t="s">
        <v>70</v>
      </c>
      <c r="F589" s="3002" t="s">
        <v>3150</v>
      </c>
      <c r="G589" s="3000">
        <v>69.87</v>
      </c>
      <c r="H589" s="3001" t="s">
        <v>3055</v>
      </c>
    </row>
    <row r="590" spans="1:8" ht="14.25" thickBot="1">
      <c r="A590" s="2999">
        <v>589</v>
      </c>
      <c r="B590" s="3005" t="s">
        <v>3300</v>
      </c>
      <c r="C590" s="3000" t="s">
        <v>3282</v>
      </c>
      <c r="D590" s="3002" t="s">
        <v>3262</v>
      </c>
      <c r="E590" s="3000" t="s">
        <v>70</v>
      </c>
      <c r="F590" s="3002" t="s">
        <v>3151</v>
      </c>
      <c r="G590" s="3000">
        <v>66.13</v>
      </c>
      <c r="H590" s="3001" t="s">
        <v>3055</v>
      </c>
    </row>
    <row r="591" spans="1:8" ht="14.25" thickBot="1">
      <c r="A591" s="2999">
        <v>590</v>
      </c>
      <c r="B591" s="3005" t="s">
        <v>3300</v>
      </c>
      <c r="C591" s="3000" t="s">
        <v>3282</v>
      </c>
      <c r="D591" s="3002" t="s">
        <v>3263</v>
      </c>
      <c r="E591" s="3000" t="s">
        <v>70</v>
      </c>
      <c r="F591" s="3002">
        <v>501</v>
      </c>
      <c r="G591" s="3000">
        <v>69.680000000000007</v>
      </c>
      <c r="H591" s="3001" t="s">
        <v>3055</v>
      </c>
    </row>
    <row r="592" spans="1:8" ht="14.25" thickBot="1">
      <c r="A592" s="2999">
        <v>591</v>
      </c>
      <c r="B592" s="3005" t="s">
        <v>3300</v>
      </c>
      <c r="C592" s="3000" t="s">
        <v>3282</v>
      </c>
      <c r="D592" s="3002" t="s">
        <v>3263</v>
      </c>
      <c r="E592" s="3000" t="s">
        <v>70</v>
      </c>
      <c r="F592" s="3002">
        <v>502</v>
      </c>
      <c r="G592" s="3000">
        <v>71.23</v>
      </c>
      <c r="H592" s="3001" t="s">
        <v>3055</v>
      </c>
    </row>
    <row r="593" spans="1:8" ht="14.25" thickBot="1">
      <c r="A593" s="2999">
        <v>592</v>
      </c>
      <c r="B593" s="3005" t="s">
        <v>3300</v>
      </c>
      <c r="C593" s="3000" t="s">
        <v>3282</v>
      </c>
      <c r="D593" s="3002" t="s">
        <v>3263</v>
      </c>
      <c r="E593" s="3000" t="s">
        <v>70</v>
      </c>
      <c r="F593" s="3002">
        <v>503</v>
      </c>
      <c r="G593" s="3000">
        <v>71.27</v>
      </c>
      <c r="H593" s="3001" t="s">
        <v>3055</v>
      </c>
    </row>
    <row r="594" spans="1:8" ht="14.25" thickBot="1">
      <c r="A594" s="2999">
        <v>593</v>
      </c>
      <c r="B594" s="3005" t="s">
        <v>3300</v>
      </c>
      <c r="C594" s="3000" t="s">
        <v>3282</v>
      </c>
      <c r="D594" s="3002" t="s">
        <v>3263</v>
      </c>
      <c r="E594" s="3000" t="s">
        <v>70</v>
      </c>
      <c r="F594" s="3002">
        <v>505</v>
      </c>
      <c r="G594" s="3000">
        <v>71.27</v>
      </c>
      <c r="H594" s="3001" t="s">
        <v>3055</v>
      </c>
    </row>
    <row r="595" spans="1:8" ht="14.25" thickBot="1">
      <c r="A595" s="2999">
        <v>594</v>
      </c>
      <c r="B595" s="3005" t="s">
        <v>3300</v>
      </c>
      <c r="C595" s="3000" t="s">
        <v>3282</v>
      </c>
      <c r="D595" s="3002" t="s">
        <v>3263</v>
      </c>
      <c r="E595" s="3000" t="s">
        <v>70</v>
      </c>
      <c r="F595" s="3002">
        <v>506</v>
      </c>
      <c r="G595" s="3000">
        <v>71.27</v>
      </c>
      <c r="H595" s="3001" t="s">
        <v>3055</v>
      </c>
    </row>
    <row r="596" spans="1:8" ht="14.25" thickBot="1">
      <c r="A596" s="2999">
        <v>595</v>
      </c>
      <c r="B596" s="3005" t="s">
        <v>3300</v>
      </c>
      <c r="C596" s="3000" t="s">
        <v>3282</v>
      </c>
      <c r="D596" s="3002" t="s">
        <v>3263</v>
      </c>
      <c r="E596" s="3000" t="s">
        <v>70</v>
      </c>
      <c r="F596" s="3002">
        <v>507</v>
      </c>
      <c r="G596" s="3000">
        <v>69.87</v>
      </c>
      <c r="H596" s="3001" t="s">
        <v>3055</v>
      </c>
    </row>
    <row r="597" spans="1:8" ht="14.25" thickBot="1">
      <c r="A597" s="2999">
        <v>596</v>
      </c>
      <c r="B597" s="3005" t="s">
        <v>3300</v>
      </c>
      <c r="C597" s="3000" t="s">
        <v>3282</v>
      </c>
      <c r="D597" s="3002" t="s">
        <v>3263</v>
      </c>
      <c r="E597" s="3000" t="s">
        <v>70</v>
      </c>
      <c r="F597" s="3002">
        <v>508</v>
      </c>
      <c r="G597" s="3000">
        <v>66.13</v>
      </c>
      <c r="H597" s="3001" t="s">
        <v>3055</v>
      </c>
    </row>
    <row r="598" spans="1:8" ht="14.25" thickBot="1">
      <c r="A598" s="2999">
        <v>597</v>
      </c>
      <c r="B598" s="3005" t="s">
        <v>3300</v>
      </c>
      <c r="C598" s="3000" t="s">
        <v>3283</v>
      </c>
      <c r="D598" s="3002" t="s">
        <v>3257</v>
      </c>
      <c r="E598" s="3000" t="s">
        <v>70</v>
      </c>
      <c r="F598" s="3002">
        <v>101</v>
      </c>
      <c r="G598" s="3000">
        <v>67</v>
      </c>
      <c r="H598" s="3001" t="s">
        <v>3055</v>
      </c>
    </row>
    <row r="599" spans="1:8" ht="14.25" thickBot="1">
      <c r="A599" s="2999">
        <v>598</v>
      </c>
      <c r="B599" s="3005" t="s">
        <v>3300</v>
      </c>
      <c r="C599" s="3000" t="s">
        <v>3283</v>
      </c>
      <c r="D599" s="3002" t="s">
        <v>3257</v>
      </c>
      <c r="E599" s="3000" t="s">
        <v>70</v>
      </c>
      <c r="F599" s="3002">
        <v>102</v>
      </c>
      <c r="G599" s="3000">
        <v>70.400000000000006</v>
      </c>
      <c r="H599" s="3001" t="s">
        <v>3055</v>
      </c>
    </row>
    <row r="600" spans="1:8" ht="14.25" thickBot="1">
      <c r="A600" s="2999">
        <v>599</v>
      </c>
      <c r="B600" s="3005" t="s">
        <v>3300</v>
      </c>
      <c r="C600" s="3000" t="s">
        <v>3283</v>
      </c>
      <c r="D600" s="3002" t="s">
        <v>3257</v>
      </c>
      <c r="E600" s="3000" t="s">
        <v>70</v>
      </c>
      <c r="F600" s="3002">
        <v>103</v>
      </c>
      <c r="G600" s="3000">
        <v>70.44</v>
      </c>
      <c r="H600" s="3001" t="s">
        <v>3055</v>
      </c>
    </row>
    <row r="601" spans="1:8" ht="14.25" thickBot="1">
      <c r="A601" s="2999">
        <v>600</v>
      </c>
      <c r="B601" s="3005" t="s">
        <v>3300</v>
      </c>
      <c r="C601" s="3000" t="s">
        <v>3283</v>
      </c>
      <c r="D601" s="3002" t="s">
        <v>3257</v>
      </c>
      <c r="E601" s="3000" t="s">
        <v>70</v>
      </c>
      <c r="F601" s="3002">
        <v>105</v>
      </c>
      <c r="G601" s="3000">
        <v>70.400000000000006</v>
      </c>
      <c r="H601" s="3001" t="s">
        <v>3055</v>
      </c>
    </row>
    <row r="602" spans="1:8" ht="14.25" thickBot="1">
      <c r="A602" s="2999">
        <v>601</v>
      </c>
      <c r="B602" s="3005" t="s">
        <v>3300</v>
      </c>
      <c r="C602" s="3000" t="s">
        <v>3283</v>
      </c>
      <c r="D602" s="3002" t="s">
        <v>3260</v>
      </c>
      <c r="E602" s="3000" t="s">
        <v>70</v>
      </c>
      <c r="F602" s="3002">
        <v>201</v>
      </c>
      <c r="G602" s="3000">
        <v>67</v>
      </c>
      <c r="H602" s="3001" t="s">
        <v>3055</v>
      </c>
    </row>
    <row r="603" spans="1:8" ht="14.25" thickBot="1">
      <c r="A603" s="2999">
        <v>602</v>
      </c>
      <c r="B603" s="3005" t="s">
        <v>3300</v>
      </c>
      <c r="C603" s="3000" t="s">
        <v>3283</v>
      </c>
      <c r="D603" s="3002" t="s">
        <v>3260</v>
      </c>
      <c r="E603" s="3000" t="s">
        <v>70</v>
      </c>
      <c r="F603" s="3002">
        <v>202</v>
      </c>
      <c r="G603" s="3000">
        <v>70.400000000000006</v>
      </c>
      <c r="H603" s="3001" t="s">
        <v>3055</v>
      </c>
    </row>
    <row r="604" spans="1:8" ht="14.25" thickBot="1">
      <c r="A604" s="2999">
        <v>603</v>
      </c>
      <c r="B604" s="3005" t="s">
        <v>3300</v>
      </c>
      <c r="C604" s="3000" t="s">
        <v>3283</v>
      </c>
      <c r="D604" s="3002" t="s">
        <v>3260</v>
      </c>
      <c r="E604" s="3000" t="s">
        <v>70</v>
      </c>
      <c r="F604" s="3002">
        <v>203</v>
      </c>
      <c r="G604" s="3000">
        <v>70.44</v>
      </c>
      <c r="H604" s="3001" t="s">
        <v>3055</v>
      </c>
    </row>
    <row r="605" spans="1:8" ht="14.25" thickBot="1">
      <c r="A605" s="2999">
        <v>604</v>
      </c>
      <c r="B605" s="3005" t="s">
        <v>3300</v>
      </c>
      <c r="C605" s="3000" t="s">
        <v>3283</v>
      </c>
      <c r="D605" s="3002" t="s">
        <v>3260</v>
      </c>
      <c r="E605" s="3000" t="s">
        <v>70</v>
      </c>
      <c r="F605" s="3002">
        <v>205</v>
      </c>
      <c r="G605" s="3000">
        <v>70.44</v>
      </c>
      <c r="H605" s="3001" t="s">
        <v>3055</v>
      </c>
    </row>
    <row r="606" spans="1:8" ht="14.25" thickBot="1">
      <c r="A606" s="2999">
        <v>605</v>
      </c>
      <c r="B606" s="3005" t="s">
        <v>3300</v>
      </c>
      <c r="C606" s="3000" t="s">
        <v>3283</v>
      </c>
      <c r="D606" s="3002" t="s">
        <v>3260</v>
      </c>
      <c r="E606" s="3000" t="s">
        <v>70</v>
      </c>
      <c r="F606" s="3002">
        <v>206</v>
      </c>
      <c r="G606" s="3000">
        <v>70.400000000000006</v>
      </c>
      <c r="H606" s="3001" t="s">
        <v>3055</v>
      </c>
    </row>
    <row r="607" spans="1:8" ht="14.25" thickBot="1">
      <c r="A607" s="2999">
        <v>606</v>
      </c>
      <c r="B607" s="3005" t="s">
        <v>3300</v>
      </c>
      <c r="C607" s="3000" t="s">
        <v>3283</v>
      </c>
      <c r="D607" s="3002" t="s">
        <v>3261</v>
      </c>
      <c r="E607" s="3000" t="s">
        <v>70</v>
      </c>
      <c r="F607" s="3002">
        <v>301</v>
      </c>
      <c r="G607" s="3000">
        <v>67</v>
      </c>
      <c r="H607" s="3001" t="s">
        <v>3055</v>
      </c>
    </row>
    <row r="608" spans="1:8" ht="14.25" thickBot="1">
      <c r="A608" s="2999">
        <v>607</v>
      </c>
      <c r="B608" s="3005" t="s">
        <v>3300</v>
      </c>
      <c r="C608" s="3000" t="s">
        <v>3283</v>
      </c>
      <c r="D608" s="3002" t="s">
        <v>3261</v>
      </c>
      <c r="E608" s="3000" t="s">
        <v>70</v>
      </c>
      <c r="F608" s="3002">
        <v>302</v>
      </c>
      <c r="G608" s="3000">
        <v>70.400000000000006</v>
      </c>
      <c r="H608" s="3001" t="s">
        <v>3055</v>
      </c>
    </row>
    <row r="609" spans="1:8" ht="14.25" thickBot="1">
      <c r="A609" s="2999">
        <v>608</v>
      </c>
      <c r="B609" s="3005" t="s">
        <v>3300</v>
      </c>
      <c r="C609" s="3000" t="s">
        <v>3283</v>
      </c>
      <c r="D609" s="3002" t="s">
        <v>3261</v>
      </c>
      <c r="E609" s="3000" t="s">
        <v>70</v>
      </c>
      <c r="F609" s="3002">
        <v>303</v>
      </c>
      <c r="G609" s="3000">
        <v>70.44</v>
      </c>
      <c r="H609" s="3001" t="s">
        <v>3055</v>
      </c>
    </row>
    <row r="610" spans="1:8" ht="14.25" thickBot="1">
      <c r="A610" s="2999">
        <v>609</v>
      </c>
      <c r="B610" s="3005" t="s">
        <v>3300</v>
      </c>
      <c r="C610" s="3000" t="s">
        <v>3283</v>
      </c>
      <c r="D610" s="3002" t="s">
        <v>3261</v>
      </c>
      <c r="E610" s="3000" t="s">
        <v>70</v>
      </c>
      <c r="F610" s="3002">
        <v>305</v>
      </c>
      <c r="G610" s="3000">
        <v>70.44</v>
      </c>
      <c r="H610" s="3001" t="s">
        <v>3055</v>
      </c>
    </row>
    <row r="611" spans="1:8" ht="14.25" thickBot="1">
      <c r="A611" s="2999">
        <v>610</v>
      </c>
      <c r="B611" s="3005" t="s">
        <v>3300</v>
      </c>
      <c r="C611" s="3000" t="s">
        <v>3283</v>
      </c>
      <c r="D611" s="3002" t="s">
        <v>3261</v>
      </c>
      <c r="E611" s="3000" t="s">
        <v>70</v>
      </c>
      <c r="F611" s="3002">
        <v>306</v>
      </c>
      <c r="G611" s="3000">
        <v>70.400000000000006</v>
      </c>
      <c r="H611" s="3001" t="s">
        <v>3055</v>
      </c>
    </row>
    <row r="612" spans="1:8" ht="14.25" thickBot="1">
      <c r="A612" s="2999">
        <v>611</v>
      </c>
      <c r="B612" s="3005" t="s">
        <v>3300</v>
      </c>
      <c r="C612" s="3000" t="s">
        <v>3283</v>
      </c>
      <c r="D612" s="3002" t="s">
        <v>3261</v>
      </c>
      <c r="E612" s="3000" t="s">
        <v>70</v>
      </c>
      <c r="F612" s="3002">
        <v>307</v>
      </c>
      <c r="G612" s="3000">
        <v>67</v>
      </c>
      <c r="H612" s="3001" t="s">
        <v>3055</v>
      </c>
    </row>
    <row r="613" spans="1:8" ht="14.25" thickBot="1">
      <c r="A613" s="2999">
        <v>612</v>
      </c>
      <c r="B613" s="3005" t="s">
        <v>3300</v>
      </c>
      <c r="C613" s="3000" t="s">
        <v>3283</v>
      </c>
      <c r="D613" s="3002" t="s">
        <v>3262</v>
      </c>
      <c r="E613" s="3000" t="s">
        <v>70</v>
      </c>
      <c r="F613" s="3002" t="s">
        <v>3145</v>
      </c>
      <c r="G613" s="3000">
        <v>67</v>
      </c>
      <c r="H613" s="3001" t="s">
        <v>3055</v>
      </c>
    </row>
    <row r="614" spans="1:8" ht="14.25" thickBot="1">
      <c r="A614" s="2999">
        <v>613</v>
      </c>
      <c r="B614" s="3005" t="s">
        <v>3300</v>
      </c>
      <c r="C614" s="3000" t="s">
        <v>3283</v>
      </c>
      <c r="D614" s="3002" t="s">
        <v>3262</v>
      </c>
      <c r="E614" s="3000" t="s">
        <v>70</v>
      </c>
      <c r="F614" s="3002" t="s">
        <v>3146</v>
      </c>
      <c r="G614" s="3000">
        <v>70.400000000000006</v>
      </c>
      <c r="H614" s="3001" t="s">
        <v>3055</v>
      </c>
    </row>
    <row r="615" spans="1:8" ht="14.25" thickBot="1">
      <c r="A615" s="2999">
        <v>614</v>
      </c>
      <c r="B615" s="3005" t="s">
        <v>3300</v>
      </c>
      <c r="C615" s="3000" t="s">
        <v>3283</v>
      </c>
      <c r="D615" s="3002" t="s">
        <v>3262</v>
      </c>
      <c r="E615" s="3000" t="s">
        <v>70</v>
      </c>
      <c r="F615" s="3002" t="s">
        <v>3147</v>
      </c>
      <c r="G615" s="3000">
        <v>70.44</v>
      </c>
      <c r="H615" s="3001" t="s">
        <v>3055</v>
      </c>
    </row>
    <row r="616" spans="1:8" ht="14.25" thickBot="1">
      <c r="A616" s="2999">
        <v>615</v>
      </c>
      <c r="B616" s="3005" t="s">
        <v>3300</v>
      </c>
      <c r="C616" s="3000" t="s">
        <v>3283</v>
      </c>
      <c r="D616" s="3002" t="s">
        <v>3262</v>
      </c>
      <c r="E616" s="3000" t="s">
        <v>70</v>
      </c>
      <c r="F616" s="3002" t="s">
        <v>3148</v>
      </c>
      <c r="G616" s="3000">
        <v>70.44</v>
      </c>
      <c r="H616" s="3001" t="s">
        <v>3055</v>
      </c>
    </row>
    <row r="617" spans="1:8" ht="14.25" thickBot="1">
      <c r="A617" s="2999">
        <v>616</v>
      </c>
      <c r="B617" s="3005" t="s">
        <v>3300</v>
      </c>
      <c r="C617" s="3000" t="s">
        <v>3283</v>
      </c>
      <c r="D617" s="3002" t="s">
        <v>3262</v>
      </c>
      <c r="E617" s="3000" t="s">
        <v>70</v>
      </c>
      <c r="F617" s="3002" t="s">
        <v>3149</v>
      </c>
      <c r="G617" s="3000">
        <v>70.400000000000006</v>
      </c>
      <c r="H617" s="3001" t="s">
        <v>3055</v>
      </c>
    </row>
    <row r="618" spans="1:8" ht="14.25" thickBot="1">
      <c r="A618" s="2999">
        <v>617</v>
      </c>
      <c r="B618" s="3005" t="s">
        <v>3300</v>
      </c>
      <c r="C618" s="3000" t="s">
        <v>3283</v>
      </c>
      <c r="D618" s="3002" t="s">
        <v>3262</v>
      </c>
      <c r="E618" s="3000" t="s">
        <v>70</v>
      </c>
      <c r="F618" s="3002" t="s">
        <v>3150</v>
      </c>
      <c r="G618" s="3000">
        <v>67</v>
      </c>
      <c r="H618" s="3001" t="s">
        <v>3055</v>
      </c>
    </row>
    <row r="619" spans="1:8" ht="14.25" thickBot="1">
      <c r="A619" s="2999">
        <v>618</v>
      </c>
      <c r="B619" s="3005" t="s">
        <v>3300</v>
      </c>
      <c r="C619" s="3000" t="s">
        <v>3283</v>
      </c>
      <c r="D619" s="3002" t="s">
        <v>3263</v>
      </c>
      <c r="E619" s="3000" t="s">
        <v>70</v>
      </c>
      <c r="F619" s="3002">
        <v>501</v>
      </c>
      <c r="G619" s="3000">
        <v>67</v>
      </c>
      <c r="H619" s="3001" t="s">
        <v>3055</v>
      </c>
    </row>
    <row r="620" spans="1:8" ht="14.25" thickBot="1">
      <c r="A620" s="2999">
        <v>619</v>
      </c>
      <c r="B620" s="3005" t="s">
        <v>3300</v>
      </c>
      <c r="C620" s="3000" t="s">
        <v>3283</v>
      </c>
      <c r="D620" s="3002" t="s">
        <v>3263</v>
      </c>
      <c r="E620" s="3000" t="s">
        <v>70</v>
      </c>
      <c r="F620" s="3002">
        <v>502</v>
      </c>
      <c r="G620" s="3000">
        <v>70.400000000000006</v>
      </c>
      <c r="H620" s="3001" t="s">
        <v>3055</v>
      </c>
    </row>
    <row r="621" spans="1:8" ht="14.25" thickBot="1">
      <c r="A621" s="2999">
        <v>620</v>
      </c>
      <c r="B621" s="3005" t="s">
        <v>3300</v>
      </c>
      <c r="C621" s="3000" t="s">
        <v>3283</v>
      </c>
      <c r="D621" s="3002" t="s">
        <v>3263</v>
      </c>
      <c r="E621" s="3000" t="s">
        <v>70</v>
      </c>
      <c r="F621" s="3002">
        <v>503</v>
      </c>
      <c r="G621" s="3000">
        <v>70.44</v>
      </c>
      <c r="H621" s="3001" t="s">
        <v>3055</v>
      </c>
    </row>
    <row r="622" spans="1:8" ht="14.25" thickBot="1">
      <c r="A622" s="2999">
        <v>621</v>
      </c>
      <c r="B622" s="3005" t="s">
        <v>3300</v>
      </c>
      <c r="C622" s="3000" t="s">
        <v>3283</v>
      </c>
      <c r="D622" s="3002" t="s">
        <v>3263</v>
      </c>
      <c r="E622" s="3000" t="s">
        <v>70</v>
      </c>
      <c r="F622" s="3002">
        <v>505</v>
      </c>
      <c r="G622" s="3000">
        <v>70.44</v>
      </c>
      <c r="H622" s="3001" t="s">
        <v>3055</v>
      </c>
    </row>
    <row r="623" spans="1:8" ht="14.25" thickBot="1">
      <c r="A623" s="2999">
        <v>622</v>
      </c>
      <c r="B623" s="3005" t="s">
        <v>3300</v>
      </c>
      <c r="C623" s="3000" t="s">
        <v>3283</v>
      </c>
      <c r="D623" s="3002" t="s">
        <v>3263</v>
      </c>
      <c r="E623" s="3000" t="s">
        <v>70</v>
      </c>
      <c r="F623" s="3002">
        <v>506</v>
      </c>
      <c r="G623" s="3000">
        <v>70.400000000000006</v>
      </c>
      <c r="H623" s="3001" t="s">
        <v>3055</v>
      </c>
    </row>
    <row r="624" spans="1:8" ht="14.25" thickBot="1">
      <c r="A624" s="2999">
        <v>623</v>
      </c>
      <c r="B624" s="3005" t="s">
        <v>3300</v>
      </c>
      <c r="C624" s="3000" t="s">
        <v>3283</v>
      </c>
      <c r="D624" s="3002" t="s">
        <v>3263</v>
      </c>
      <c r="E624" s="3000" t="s">
        <v>70</v>
      </c>
      <c r="F624" s="3002">
        <v>507</v>
      </c>
      <c r="G624" s="3000">
        <v>67</v>
      </c>
      <c r="H624" s="3001" t="s">
        <v>3055</v>
      </c>
    </row>
    <row r="625" spans="1:8" ht="14.25" thickBot="1">
      <c r="A625" s="2999">
        <v>624</v>
      </c>
      <c r="B625" s="3005" t="s">
        <v>3300</v>
      </c>
      <c r="C625" s="3000" t="s">
        <v>3284</v>
      </c>
      <c r="D625" s="3000" t="s">
        <v>3260</v>
      </c>
      <c r="E625" s="3000" t="s">
        <v>70</v>
      </c>
      <c r="F625" s="3002">
        <v>201</v>
      </c>
      <c r="G625" s="3000">
        <v>69.23</v>
      </c>
      <c r="H625" s="3001" t="s">
        <v>3055</v>
      </c>
    </row>
    <row r="626" spans="1:8" ht="14.25" thickBot="1">
      <c r="A626" s="2999">
        <v>625</v>
      </c>
      <c r="B626" s="3005" t="s">
        <v>3300</v>
      </c>
      <c r="C626" s="3000" t="s">
        <v>3284</v>
      </c>
      <c r="D626" s="3000" t="s">
        <v>3260</v>
      </c>
      <c r="E626" s="3000" t="s">
        <v>70</v>
      </c>
      <c r="F626" s="3002">
        <v>202</v>
      </c>
      <c r="G626" s="3000">
        <v>70.77</v>
      </c>
      <c r="H626" s="3001" t="s">
        <v>3055</v>
      </c>
    </row>
    <row r="627" spans="1:8" ht="14.25" thickBot="1">
      <c r="A627" s="2999">
        <v>626</v>
      </c>
      <c r="B627" s="3005" t="s">
        <v>3300</v>
      </c>
      <c r="C627" s="3000" t="s">
        <v>3284</v>
      </c>
      <c r="D627" s="3000" t="s">
        <v>3260</v>
      </c>
      <c r="E627" s="3000" t="s">
        <v>70</v>
      </c>
      <c r="F627" s="3002">
        <v>203</v>
      </c>
      <c r="G627" s="3000">
        <v>70.81</v>
      </c>
      <c r="H627" s="3001" t="s">
        <v>3055</v>
      </c>
    </row>
    <row r="628" spans="1:8" ht="14.25" thickBot="1">
      <c r="A628" s="2999">
        <v>627</v>
      </c>
      <c r="B628" s="3005" t="s">
        <v>3300</v>
      </c>
      <c r="C628" s="3000" t="s">
        <v>3284</v>
      </c>
      <c r="D628" s="3000" t="s">
        <v>3260</v>
      </c>
      <c r="E628" s="3000" t="s">
        <v>70</v>
      </c>
      <c r="F628" s="3002">
        <v>205</v>
      </c>
      <c r="G628" s="3000">
        <v>70.81</v>
      </c>
      <c r="H628" s="3001" t="s">
        <v>3055</v>
      </c>
    </row>
    <row r="629" spans="1:8" ht="14.25" thickBot="1">
      <c r="A629" s="2999">
        <v>628</v>
      </c>
      <c r="B629" s="3005" t="s">
        <v>3300</v>
      </c>
      <c r="C629" s="3000" t="s">
        <v>3284</v>
      </c>
      <c r="D629" s="3000" t="s">
        <v>3260</v>
      </c>
      <c r="E629" s="3000" t="s">
        <v>70</v>
      </c>
      <c r="F629" s="3002">
        <v>206</v>
      </c>
      <c r="G629" s="3000">
        <v>70.81</v>
      </c>
      <c r="H629" s="3001" t="s">
        <v>3055</v>
      </c>
    </row>
    <row r="630" spans="1:8" ht="14.25" thickBot="1">
      <c r="A630" s="2999">
        <v>629</v>
      </c>
      <c r="B630" s="3005" t="s">
        <v>3300</v>
      </c>
      <c r="C630" s="3000" t="s">
        <v>3284</v>
      </c>
      <c r="D630" s="3000" t="s">
        <v>3261</v>
      </c>
      <c r="E630" s="3000" t="s">
        <v>70</v>
      </c>
      <c r="F630" s="3002">
        <v>301</v>
      </c>
      <c r="G630" s="3000">
        <v>69.23</v>
      </c>
      <c r="H630" s="3001" t="s">
        <v>3055</v>
      </c>
    </row>
    <row r="631" spans="1:8" ht="14.25" thickBot="1">
      <c r="A631" s="2999">
        <v>630</v>
      </c>
      <c r="B631" s="3005" t="s">
        <v>3300</v>
      </c>
      <c r="C631" s="3000" t="s">
        <v>3284</v>
      </c>
      <c r="D631" s="3000" t="s">
        <v>3261</v>
      </c>
      <c r="E631" s="3000" t="s">
        <v>70</v>
      </c>
      <c r="F631" s="3002">
        <v>302</v>
      </c>
      <c r="G631" s="3000">
        <v>70.77</v>
      </c>
      <c r="H631" s="3001" t="s">
        <v>3055</v>
      </c>
    </row>
    <row r="632" spans="1:8" ht="14.25" thickBot="1">
      <c r="A632" s="2999">
        <v>631</v>
      </c>
      <c r="B632" s="3005" t="s">
        <v>3300</v>
      </c>
      <c r="C632" s="3000" t="s">
        <v>3284</v>
      </c>
      <c r="D632" s="3000" t="s">
        <v>3261</v>
      </c>
      <c r="E632" s="3000" t="s">
        <v>70</v>
      </c>
      <c r="F632" s="3002">
        <v>303</v>
      </c>
      <c r="G632" s="3000">
        <v>70.81</v>
      </c>
      <c r="H632" s="3001" t="s">
        <v>3055</v>
      </c>
    </row>
    <row r="633" spans="1:8" ht="14.25" thickBot="1">
      <c r="A633" s="2999">
        <v>632</v>
      </c>
      <c r="B633" s="3005" t="s">
        <v>3300</v>
      </c>
      <c r="C633" s="3000" t="s">
        <v>3284</v>
      </c>
      <c r="D633" s="3000" t="s">
        <v>3261</v>
      </c>
      <c r="E633" s="3000" t="s">
        <v>70</v>
      </c>
      <c r="F633" s="3002">
        <v>305</v>
      </c>
      <c r="G633" s="3000">
        <v>70.81</v>
      </c>
      <c r="H633" s="3001" t="s">
        <v>3055</v>
      </c>
    </row>
    <row r="634" spans="1:8" ht="14.25" thickBot="1">
      <c r="A634" s="2999">
        <v>633</v>
      </c>
      <c r="B634" s="3005" t="s">
        <v>3300</v>
      </c>
      <c r="C634" s="3000" t="s">
        <v>3284</v>
      </c>
      <c r="D634" s="3000" t="s">
        <v>3261</v>
      </c>
      <c r="E634" s="3000" t="s">
        <v>70</v>
      </c>
      <c r="F634" s="3002">
        <v>306</v>
      </c>
      <c r="G634" s="3000">
        <v>70.81</v>
      </c>
      <c r="H634" s="3001" t="s">
        <v>3055</v>
      </c>
    </row>
    <row r="635" spans="1:8" ht="14.25" thickBot="1">
      <c r="A635" s="2999">
        <v>634</v>
      </c>
      <c r="B635" s="3005" t="s">
        <v>3300</v>
      </c>
      <c r="C635" s="3000" t="s">
        <v>3284</v>
      </c>
      <c r="D635" s="3000" t="s">
        <v>3261</v>
      </c>
      <c r="E635" s="3000" t="s">
        <v>70</v>
      </c>
      <c r="F635" s="3002">
        <v>307</v>
      </c>
      <c r="G635" s="3000">
        <v>69.41</v>
      </c>
      <c r="H635" s="3001" t="s">
        <v>3055</v>
      </c>
    </row>
    <row r="636" spans="1:8" ht="14.25" thickBot="1">
      <c r="A636" s="2999">
        <v>635</v>
      </c>
      <c r="B636" s="3005" t="s">
        <v>3300</v>
      </c>
      <c r="C636" s="3000" t="s">
        <v>3284</v>
      </c>
      <c r="D636" s="3000" t="s">
        <v>3261</v>
      </c>
      <c r="E636" s="3000" t="s">
        <v>70</v>
      </c>
      <c r="F636" s="3002">
        <v>308</v>
      </c>
      <c r="G636" s="3000">
        <v>65.7</v>
      </c>
      <c r="H636" s="3001" t="s">
        <v>3055</v>
      </c>
    </row>
    <row r="637" spans="1:8" ht="14.25" hidden="1" thickBot="1">
      <c r="A637" s="2999">
        <v>636</v>
      </c>
      <c r="B637" s="3005" t="s">
        <v>3299</v>
      </c>
      <c r="C637" s="3000" t="s">
        <v>3285</v>
      </c>
      <c r="D637" s="3000" t="s">
        <v>3257</v>
      </c>
      <c r="E637" s="3000" t="s">
        <v>3258</v>
      </c>
      <c r="F637" s="3000">
        <v>101</v>
      </c>
      <c r="G637" s="3000">
        <v>66.28</v>
      </c>
      <c r="H637" s="3001" t="s">
        <v>3055</v>
      </c>
    </row>
    <row r="638" spans="1:8" ht="14.25" hidden="1" thickBot="1">
      <c r="A638" s="2999">
        <v>637</v>
      </c>
      <c r="B638" s="3005" t="s">
        <v>3299</v>
      </c>
      <c r="C638" s="3000" t="s">
        <v>3285</v>
      </c>
      <c r="D638" s="3000" t="s">
        <v>3257</v>
      </c>
      <c r="E638" s="3000" t="s">
        <v>3258</v>
      </c>
      <c r="F638" s="3000">
        <v>102</v>
      </c>
      <c r="G638" s="3000">
        <v>69.77</v>
      </c>
      <c r="H638" s="3001" t="s">
        <v>3055</v>
      </c>
    </row>
    <row r="639" spans="1:8" ht="14.25" hidden="1" thickBot="1">
      <c r="A639" s="2999">
        <v>638</v>
      </c>
      <c r="B639" s="3005" t="s">
        <v>3299</v>
      </c>
      <c r="C639" s="3000" t="s">
        <v>3285</v>
      </c>
      <c r="D639" s="3000" t="s">
        <v>3257</v>
      </c>
      <c r="E639" s="3000" t="s">
        <v>3258</v>
      </c>
      <c r="F639" s="3000">
        <v>103</v>
      </c>
      <c r="G639" s="3000">
        <v>69.94</v>
      </c>
      <c r="H639" s="3001" t="s">
        <v>3055</v>
      </c>
    </row>
    <row r="640" spans="1:8" ht="14.25" hidden="1" thickBot="1">
      <c r="A640" s="2999">
        <v>639</v>
      </c>
      <c r="B640" s="3005" t="s">
        <v>3299</v>
      </c>
      <c r="C640" s="3000" t="s">
        <v>3285</v>
      </c>
      <c r="D640" s="3000" t="s">
        <v>3257</v>
      </c>
      <c r="E640" s="3000" t="s">
        <v>3258</v>
      </c>
      <c r="F640" s="3000">
        <v>105</v>
      </c>
      <c r="G640" s="3000">
        <v>69.94</v>
      </c>
      <c r="H640" s="3001" t="s">
        <v>3055</v>
      </c>
    </row>
    <row r="641" spans="1:8" ht="14.25" hidden="1" thickBot="1">
      <c r="A641" s="2999">
        <v>640</v>
      </c>
      <c r="B641" s="3005" t="s">
        <v>3299</v>
      </c>
      <c r="C641" s="3000" t="s">
        <v>3285</v>
      </c>
      <c r="D641" s="3000" t="s">
        <v>3257</v>
      </c>
      <c r="E641" s="3000" t="s">
        <v>3258</v>
      </c>
      <c r="F641" s="3000">
        <v>106</v>
      </c>
      <c r="G641" s="3000">
        <v>69.77</v>
      </c>
      <c r="H641" s="3001" t="s">
        <v>3055</v>
      </c>
    </row>
    <row r="642" spans="1:8" ht="14.25" hidden="1" thickBot="1">
      <c r="A642" s="2999">
        <v>641</v>
      </c>
      <c r="B642" s="3005" t="s">
        <v>3299</v>
      </c>
      <c r="C642" s="3000" t="s">
        <v>3285</v>
      </c>
      <c r="D642" s="3000" t="s">
        <v>3257</v>
      </c>
      <c r="E642" s="3000" t="s">
        <v>3258</v>
      </c>
      <c r="F642" s="3000">
        <v>107</v>
      </c>
      <c r="G642" s="3000">
        <v>66.28</v>
      </c>
      <c r="H642" s="3001" t="s">
        <v>3055</v>
      </c>
    </row>
    <row r="643" spans="1:8" ht="14.25" hidden="1" thickBot="1">
      <c r="A643" s="2999">
        <v>642</v>
      </c>
      <c r="B643" s="3005" t="s">
        <v>3299</v>
      </c>
      <c r="C643" s="3000" t="s">
        <v>3285</v>
      </c>
      <c r="D643" s="3000" t="s">
        <v>3257</v>
      </c>
      <c r="E643" s="3000" t="s">
        <v>3259</v>
      </c>
      <c r="F643" s="3000">
        <v>101</v>
      </c>
      <c r="G643" s="3000">
        <v>66.28</v>
      </c>
      <c r="H643" s="3001" t="s">
        <v>3055</v>
      </c>
    </row>
    <row r="644" spans="1:8" ht="14.25" hidden="1" thickBot="1">
      <c r="A644" s="2999">
        <v>643</v>
      </c>
      <c r="B644" s="3005" t="s">
        <v>3299</v>
      </c>
      <c r="C644" s="3000" t="s">
        <v>3285</v>
      </c>
      <c r="D644" s="3000" t="s">
        <v>3257</v>
      </c>
      <c r="E644" s="3000" t="s">
        <v>3259</v>
      </c>
      <c r="F644" s="3000">
        <v>102</v>
      </c>
      <c r="G644" s="3000">
        <v>69.77</v>
      </c>
      <c r="H644" s="3001" t="s">
        <v>3055</v>
      </c>
    </row>
    <row r="645" spans="1:8" ht="14.25" hidden="1" thickBot="1">
      <c r="A645" s="2999">
        <v>644</v>
      </c>
      <c r="B645" s="3005" t="s">
        <v>3299</v>
      </c>
      <c r="C645" s="3000" t="s">
        <v>3285</v>
      </c>
      <c r="D645" s="3000" t="s">
        <v>3257</v>
      </c>
      <c r="E645" s="3000" t="s">
        <v>3259</v>
      </c>
      <c r="F645" s="3000">
        <v>103</v>
      </c>
      <c r="G645" s="3000">
        <v>69.94</v>
      </c>
      <c r="H645" s="3001" t="s">
        <v>3055</v>
      </c>
    </row>
    <row r="646" spans="1:8" ht="14.25" hidden="1" thickBot="1">
      <c r="A646" s="2999">
        <v>645</v>
      </c>
      <c r="B646" s="3005" t="s">
        <v>3299</v>
      </c>
      <c r="C646" s="3000" t="s">
        <v>3285</v>
      </c>
      <c r="D646" s="3000" t="s">
        <v>3257</v>
      </c>
      <c r="E646" s="3000" t="s">
        <v>3259</v>
      </c>
      <c r="F646" s="3000">
        <v>105</v>
      </c>
      <c r="G646" s="3000">
        <v>69.94</v>
      </c>
      <c r="H646" s="3001" t="s">
        <v>3055</v>
      </c>
    </row>
    <row r="647" spans="1:8" ht="14.25" hidden="1" thickBot="1">
      <c r="A647" s="2999">
        <v>646</v>
      </c>
      <c r="B647" s="3005" t="s">
        <v>3299</v>
      </c>
      <c r="C647" s="3000" t="s">
        <v>3285</v>
      </c>
      <c r="D647" s="3000" t="s">
        <v>3257</v>
      </c>
      <c r="E647" s="3000" t="s">
        <v>3259</v>
      </c>
      <c r="F647" s="3000">
        <v>106</v>
      </c>
      <c r="G647" s="3000">
        <v>69.77</v>
      </c>
      <c r="H647" s="3001" t="s">
        <v>3055</v>
      </c>
    </row>
    <row r="648" spans="1:8" ht="14.25" hidden="1" thickBot="1">
      <c r="A648" s="2999">
        <v>647</v>
      </c>
      <c r="B648" s="3005" t="s">
        <v>3299</v>
      </c>
      <c r="C648" s="3000" t="s">
        <v>3285</v>
      </c>
      <c r="D648" s="3000" t="s">
        <v>3257</v>
      </c>
      <c r="E648" s="3000" t="s">
        <v>3259</v>
      </c>
      <c r="F648" s="3000">
        <v>107</v>
      </c>
      <c r="G648" s="3000">
        <v>66.28</v>
      </c>
      <c r="H648" s="3001" t="s">
        <v>3055</v>
      </c>
    </row>
    <row r="649" spans="1:8" ht="14.25" hidden="1" thickBot="1">
      <c r="A649" s="2999">
        <v>648</v>
      </c>
      <c r="B649" s="3005" t="s">
        <v>3299</v>
      </c>
      <c r="C649" s="3000" t="s">
        <v>3285</v>
      </c>
      <c r="D649" s="3000" t="s">
        <v>3260</v>
      </c>
      <c r="E649" s="3000" t="s">
        <v>3258</v>
      </c>
      <c r="F649" s="3000">
        <v>206</v>
      </c>
      <c r="G649" s="3000">
        <v>69.77</v>
      </c>
      <c r="H649" s="3001" t="s">
        <v>3055</v>
      </c>
    </row>
    <row r="650" spans="1:8" ht="14.25" hidden="1" thickBot="1">
      <c r="A650" s="2999">
        <v>649</v>
      </c>
      <c r="B650" s="3005" t="s">
        <v>3299</v>
      </c>
      <c r="C650" s="3000" t="s">
        <v>3285</v>
      </c>
      <c r="D650" s="3000" t="s">
        <v>3260</v>
      </c>
      <c r="E650" s="3000" t="s">
        <v>3258</v>
      </c>
      <c r="F650" s="3000">
        <v>207</v>
      </c>
      <c r="G650" s="3000">
        <v>66.28</v>
      </c>
      <c r="H650" s="3001" t="s">
        <v>3055</v>
      </c>
    </row>
    <row r="651" spans="1:8" ht="14.25" hidden="1" thickBot="1">
      <c r="A651" s="2999">
        <v>650</v>
      </c>
      <c r="B651" s="3005" t="s">
        <v>3299</v>
      </c>
      <c r="C651" s="3000" t="s">
        <v>3285</v>
      </c>
      <c r="D651" s="3000" t="s">
        <v>3262</v>
      </c>
      <c r="E651" s="3000" t="s">
        <v>3258</v>
      </c>
      <c r="F651" s="3000" t="s">
        <v>3145</v>
      </c>
      <c r="G651" s="3000">
        <v>66.28</v>
      </c>
      <c r="H651" s="3001" t="s">
        <v>3055</v>
      </c>
    </row>
    <row r="652" spans="1:8" ht="14.25" hidden="1" thickBot="1">
      <c r="A652" s="2999">
        <v>651</v>
      </c>
      <c r="B652" s="3005" t="s">
        <v>3299</v>
      </c>
      <c r="C652" s="3000" t="s">
        <v>3285</v>
      </c>
      <c r="D652" s="3000" t="s">
        <v>3262</v>
      </c>
      <c r="E652" s="3000" t="s">
        <v>3258</v>
      </c>
      <c r="F652" s="3000" t="s">
        <v>3150</v>
      </c>
      <c r="G652" s="3000">
        <v>66.28</v>
      </c>
      <c r="H652" s="3001" t="s">
        <v>3055</v>
      </c>
    </row>
    <row r="653" spans="1:8" ht="14.25" hidden="1" thickBot="1">
      <c r="A653" s="2999">
        <v>652</v>
      </c>
      <c r="B653" s="3005" t="s">
        <v>3299</v>
      </c>
      <c r="C653" s="3000" t="s">
        <v>3285</v>
      </c>
      <c r="D653" s="3000" t="s">
        <v>3263</v>
      </c>
      <c r="E653" s="3000" t="s">
        <v>3258</v>
      </c>
      <c r="F653" s="3000">
        <v>506</v>
      </c>
      <c r="G653" s="3000">
        <v>69.77</v>
      </c>
      <c r="H653" s="3001" t="s">
        <v>3055</v>
      </c>
    </row>
    <row r="654" spans="1:8" ht="14.25" hidden="1" thickBot="1">
      <c r="A654" s="2999">
        <v>653</v>
      </c>
      <c r="B654" s="3005" t="s">
        <v>3299</v>
      </c>
      <c r="C654" s="3000" t="s">
        <v>3285</v>
      </c>
      <c r="D654" s="3000" t="s">
        <v>3263</v>
      </c>
      <c r="E654" s="3000" t="s">
        <v>3258</v>
      </c>
      <c r="F654" s="3000">
        <v>507</v>
      </c>
      <c r="G654" s="3000">
        <v>66.28</v>
      </c>
      <c r="H654" s="3001" t="s">
        <v>3055</v>
      </c>
    </row>
    <row r="655" spans="1:8" ht="14.25" hidden="1" thickBot="1">
      <c r="A655" s="2999">
        <v>654</v>
      </c>
      <c r="B655" s="3005" t="s">
        <v>3299</v>
      </c>
      <c r="C655" s="3000" t="s">
        <v>3285</v>
      </c>
      <c r="D655" s="3000" t="s">
        <v>3263</v>
      </c>
      <c r="E655" s="3000" t="s">
        <v>3259</v>
      </c>
      <c r="F655" s="3000">
        <v>507</v>
      </c>
      <c r="G655" s="3000">
        <v>66.28</v>
      </c>
      <c r="H655" s="3001" t="s">
        <v>3055</v>
      </c>
    </row>
    <row r="656" spans="1:8" ht="14.25" hidden="1" thickBot="1">
      <c r="A656" s="2999">
        <v>655</v>
      </c>
      <c r="B656" s="3005" t="s">
        <v>3299</v>
      </c>
      <c r="C656" s="3000" t="s">
        <v>3285</v>
      </c>
      <c r="D656" s="3000" t="s">
        <v>3264</v>
      </c>
      <c r="E656" s="3000" t="s">
        <v>3258</v>
      </c>
      <c r="F656" s="3000">
        <v>602</v>
      </c>
      <c r="G656" s="3000">
        <v>69.77</v>
      </c>
      <c r="H656" s="3001" t="s">
        <v>3055</v>
      </c>
    </row>
    <row r="657" spans="1:8" ht="14.25" hidden="1" thickBot="1">
      <c r="A657" s="2999">
        <v>656</v>
      </c>
      <c r="B657" s="3005" t="s">
        <v>3299</v>
      </c>
      <c r="C657" s="3000" t="s">
        <v>3285</v>
      </c>
      <c r="D657" s="3000" t="s">
        <v>3264</v>
      </c>
      <c r="E657" s="3000" t="s">
        <v>3258</v>
      </c>
      <c r="F657" s="3000">
        <v>603</v>
      </c>
      <c r="G657" s="3000">
        <v>69.94</v>
      </c>
      <c r="H657" s="3001" t="s">
        <v>3055</v>
      </c>
    </row>
    <row r="658" spans="1:8" ht="14.25" hidden="1" thickBot="1">
      <c r="A658" s="2999">
        <v>657</v>
      </c>
      <c r="B658" s="3005" t="s">
        <v>3299</v>
      </c>
      <c r="C658" s="3000" t="s">
        <v>3285</v>
      </c>
      <c r="D658" s="3000" t="s">
        <v>3264</v>
      </c>
      <c r="E658" s="3000" t="s">
        <v>3258</v>
      </c>
      <c r="F658" s="3000">
        <v>605</v>
      </c>
      <c r="G658" s="3000">
        <v>69.94</v>
      </c>
      <c r="H658" s="3001" t="s">
        <v>3055</v>
      </c>
    </row>
    <row r="659" spans="1:8" ht="14.25" hidden="1" thickBot="1">
      <c r="A659" s="2999">
        <v>658</v>
      </c>
      <c r="B659" s="3005" t="s">
        <v>3299</v>
      </c>
      <c r="C659" s="3000" t="s">
        <v>3285</v>
      </c>
      <c r="D659" s="3000" t="s">
        <v>3264</v>
      </c>
      <c r="E659" s="3000" t="s">
        <v>3258</v>
      </c>
      <c r="F659" s="3000">
        <v>606</v>
      </c>
      <c r="G659" s="3000">
        <v>69.77</v>
      </c>
      <c r="H659" s="3001" t="s">
        <v>3055</v>
      </c>
    </row>
    <row r="660" spans="1:8" ht="14.25" hidden="1" thickBot="1">
      <c r="A660" s="2999">
        <v>659</v>
      </c>
      <c r="B660" s="3005" t="s">
        <v>3299</v>
      </c>
      <c r="C660" s="3000" t="s">
        <v>3285</v>
      </c>
      <c r="D660" s="3000" t="s">
        <v>3264</v>
      </c>
      <c r="E660" s="3000" t="s">
        <v>3259</v>
      </c>
      <c r="F660" s="3000">
        <v>603</v>
      </c>
      <c r="G660" s="3000">
        <v>69.94</v>
      </c>
      <c r="H660" s="3001" t="s">
        <v>3055</v>
      </c>
    </row>
    <row r="661" spans="1:8" ht="14.25" hidden="1" thickBot="1">
      <c r="A661" s="2999">
        <v>660</v>
      </c>
      <c r="B661" s="3005" t="s">
        <v>3299</v>
      </c>
      <c r="C661" s="3000" t="s">
        <v>3285</v>
      </c>
      <c r="D661" s="3000" t="s">
        <v>3264</v>
      </c>
      <c r="E661" s="3000" t="s">
        <v>3259</v>
      </c>
      <c r="F661" s="3000">
        <v>605</v>
      </c>
      <c r="G661" s="3000">
        <v>69.94</v>
      </c>
      <c r="H661" s="3001" t="s">
        <v>3055</v>
      </c>
    </row>
    <row r="662" spans="1:8" ht="14.25" hidden="1" thickBot="1">
      <c r="A662" s="2999">
        <v>661</v>
      </c>
      <c r="B662" s="3005" t="s">
        <v>3299</v>
      </c>
      <c r="C662" s="3000" t="s">
        <v>3285</v>
      </c>
      <c r="D662" s="3000" t="s">
        <v>3264</v>
      </c>
      <c r="E662" s="3000" t="s">
        <v>3259</v>
      </c>
      <c r="F662" s="3000">
        <v>606</v>
      </c>
      <c r="G662" s="3000">
        <v>69.77</v>
      </c>
      <c r="H662" s="3001" t="s">
        <v>3055</v>
      </c>
    </row>
    <row r="663" spans="1:8" ht="14.25" thickBot="1">
      <c r="A663" s="2999">
        <v>662</v>
      </c>
      <c r="B663" s="3005" t="s">
        <v>3300</v>
      </c>
      <c r="C663" s="3000" t="s">
        <v>3286</v>
      </c>
      <c r="D663" s="3002" t="s">
        <v>3212</v>
      </c>
      <c r="E663" s="3000" t="s">
        <v>70</v>
      </c>
      <c r="F663" s="3002">
        <v>601</v>
      </c>
      <c r="G663" s="3000">
        <v>69.679999999999993</v>
      </c>
      <c r="H663" s="3000" t="s">
        <v>3248</v>
      </c>
    </row>
    <row r="664" spans="1:8" ht="14.25" thickBot="1">
      <c r="A664" s="2999">
        <v>663</v>
      </c>
      <c r="B664" s="3005" t="s">
        <v>3300</v>
      </c>
      <c r="C664" s="3000" t="s">
        <v>3286</v>
      </c>
      <c r="D664" s="3002" t="s">
        <v>3212</v>
      </c>
      <c r="E664" s="3000" t="s">
        <v>70</v>
      </c>
      <c r="F664" s="3002">
        <v>602</v>
      </c>
      <c r="G664" s="3000">
        <v>71.23</v>
      </c>
      <c r="H664" s="3000" t="s">
        <v>3248</v>
      </c>
    </row>
    <row r="665" spans="1:8" ht="14.25" thickBot="1">
      <c r="A665" s="2999">
        <v>664</v>
      </c>
      <c r="B665" s="3005" t="s">
        <v>3300</v>
      </c>
      <c r="C665" s="3000" t="s">
        <v>3286</v>
      </c>
      <c r="D665" s="3002" t="s">
        <v>3212</v>
      </c>
      <c r="E665" s="3000" t="s">
        <v>70</v>
      </c>
      <c r="F665" s="3002">
        <v>603</v>
      </c>
      <c r="G665" s="3000">
        <v>71.27</v>
      </c>
      <c r="H665" s="3000" t="s">
        <v>3248</v>
      </c>
    </row>
    <row r="666" spans="1:8" ht="14.25" thickBot="1">
      <c r="A666" s="2999">
        <v>665</v>
      </c>
      <c r="B666" s="3005" t="s">
        <v>3300</v>
      </c>
      <c r="C666" s="3000" t="s">
        <v>3286</v>
      </c>
      <c r="D666" s="3000" t="s">
        <v>3212</v>
      </c>
      <c r="E666" s="3000" t="s">
        <v>70</v>
      </c>
      <c r="F666" s="3002">
        <v>605</v>
      </c>
      <c r="G666" s="3000">
        <v>71.27</v>
      </c>
      <c r="H666" s="3000" t="s">
        <v>3248</v>
      </c>
    </row>
    <row r="667" spans="1:8" ht="14.25" thickBot="1">
      <c r="A667" s="2999">
        <v>666</v>
      </c>
      <c r="B667" s="3005" t="s">
        <v>3300</v>
      </c>
      <c r="C667" s="3000" t="s">
        <v>3286</v>
      </c>
      <c r="D667" s="3002" t="s">
        <v>3212</v>
      </c>
      <c r="E667" s="3000" t="s">
        <v>70</v>
      </c>
      <c r="F667" s="3002">
        <v>606</v>
      </c>
      <c r="G667" s="3000">
        <v>71.27</v>
      </c>
      <c r="H667" s="3000" t="s">
        <v>3248</v>
      </c>
    </row>
    <row r="668" spans="1:8" ht="14.25" thickBot="1">
      <c r="A668" s="2999">
        <v>667</v>
      </c>
      <c r="B668" s="3005" t="s">
        <v>3300</v>
      </c>
      <c r="C668" s="3000" t="s">
        <v>3286</v>
      </c>
      <c r="D668" s="3002" t="s">
        <v>3212</v>
      </c>
      <c r="E668" s="3000" t="s">
        <v>70</v>
      </c>
      <c r="F668" s="3002">
        <v>607</v>
      </c>
      <c r="G668" s="3000">
        <v>69.87</v>
      </c>
      <c r="H668" s="3000" t="s">
        <v>3248</v>
      </c>
    </row>
    <row r="669" spans="1:8" ht="14.25" thickBot="1">
      <c r="A669" s="2999">
        <v>668</v>
      </c>
      <c r="B669" s="3005" t="s">
        <v>3300</v>
      </c>
      <c r="C669" s="3000" t="s">
        <v>3286</v>
      </c>
      <c r="D669" s="3002" t="s">
        <v>3212</v>
      </c>
      <c r="E669" s="3000" t="s">
        <v>70</v>
      </c>
      <c r="F669" s="3002">
        <v>608</v>
      </c>
      <c r="G669" s="3000">
        <v>66.13</v>
      </c>
      <c r="H669" s="3000" t="s">
        <v>3248</v>
      </c>
    </row>
    <row r="670" spans="1:8" ht="14.25" thickBot="1">
      <c r="A670" s="2999">
        <v>669</v>
      </c>
      <c r="B670" s="3005" t="s">
        <v>3300</v>
      </c>
      <c r="C670" s="3000" t="s">
        <v>3289</v>
      </c>
      <c r="D670" s="3000" t="s">
        <v>3212</v>
      </c>
      <c r="E670" s="3000" t="s">
        <v>70</v>
      </c>
      <c r="F670" s="3002">
        <v>601</v>
      </c>
      <c r="G670" s="3000">
        <v>67</v>
      </c>
      <c r="H670" s="3000" t="s">
        <v>3248</v>
      </c>
    </row>
    <row r="671" spans="1:8" ht="14.25" thickBot="1">
      <c r="A671" s="2999">
        <v>670</v>
      </c>
      <c r="B671" s="3005" t="s">
        <v>3300</v>
      </c>
      <c r="C671" s="3000" t="s">
        <v>3289</v>
      </c>
      <c r="D671" s="3002" t="s">
        <v>3212</v>
      </c>
      <c r="E671" s="3000" t="s">
        <v>70</v>
      </c>
      <c r="F671" s="3002">
        <v>602</v>
      </c>
      <c r="G671" s="3000">
        <v>70.400000000000006</v>
      </c>
      <c r="H671" s="3000" t="s">
        <v>3248</v>
      </c>
    </row>
    <row r="672" spans="1:8" ht="14.25" thickBot="1">
      <c r="A672" s="2999">
        <v>671</v>
      </c>
      <c r="B672" s="3005" t="s">
        <v>3300</v>
      </c>
      <c r="C672" s="3000" t="s">
        <v>3289</v>
      </c>
      <c r="D672" s="3002" t="s">
        <v>3212</v>
      </c>
      <c r="E672" s="3000" t="s">
        <v>70</v>
      </c>
      <c r="F672" s="3002">
        <v>603</v>
      </c>
      <c r="G672" s="3000">
        <v>70.44</v>
      </c>
      <c r="H672" s="3000" t="s">
        <v>3248</v>
      </c>
    </row>
    <row r="673" spans="1:8" ht="14.25" thickBot="1">
      <c r="A673" s="2999">
        <v>672</v>
      </c>
      <c r="B673" s="3005" t="s">
        <v>3300</v>
      </c>
      <c r="C673" s="3000" t="s">
        <v>3289</v>
      </c>
      <c r="D673" s="3002" t="s">
        <v>3212</v>
      </c>
      <c r="E673" s="3000" t="s">
        <v>70</v>
      </c>
      <c r="F673" s="3002">
        <v>605</v>
      </c>
      <c r="G673" s="3000">
        <v>70.44</v>
      </c>
      <c r="H673" s="3000" t="s">
        <v>3248</v>
      </c>
    </row>
    <row r="674" spans="1:8" ht="14.25" thickBot="1">
      <c r="A674" s="2999">
        <v>673</v>
      </c>
      <c r="B674" s="3005" t="s">
        <v>3300</v>
      </c>
      <c r="C674" s="3000" t="s">
        <v>3289</v>
      </c>
      <c r="D674" s="3000" t="s">
        <v>3212</v>
      </c>
      <c r="E674" s="3000" t="s">
        <v>70</v>
      </c>
      <c r="F674" s="3002">
        <v>606</v>
      </c>
      <c r="G674" s="3000">
        <v>70.400000000000006</v>
      </c>
      <c r="H674" s="3000" t="s">
        <v>3248</v>
      </c>
    </row>
    <row r="675" spans="1:8" ht="14.25" thickBot="1">
      <c r="A675" s="2999">
        <v>674</v>
      </c>
      <c r="B675" s="3005" t="s">
        <v>3300</v>
      </c>
      <c r="C675" s="3000" t="s">
        <v>3289</v>
      </c>
      <c r="D675" s="3002" t="s">
        <v>3212</v>
      </c>
      <c r="E675" s="3000" t="s">
        <v>70</v>
      </c>
      <c r="F675" s="3002">
        <v>607</v>
      </c>
      <c r="G675" s="3000">
        <v>67</v>
      </c>
      <c r="H675" s="3000" t="s">
        <v>3248</v>
      </c>
    </row>
    <row r="676" spans="1:8" ht="14.25" hidden="1" thickBot="1">
      <c r="A676" s="2999">
        <v>675</v>
      </c>
      <c r="B676" s="3005" t="s">
        <v>3299</v>
      </c>
      <c r="C676" s="3000" t="s">
        <v>3290</v>
      </c>
      <c r="D676" s="3000" t="s">
        <v>3291</v>
      </c>
      <c r="E676" s="3000" t="s">
        <v>70</v>
      </c>
      <c r="F676" s="3000" t="s">
        <v>3130</v>
      </c>
      <c r="G676" s="3000">
        <v>1326.16</v>
      </c>
      <c r="H676" s="3001" t="s">
        <v>3292</v>
      </c>
    </row>
    <row r="677" spans="1:8" ht="14.25" hidden="1" thickBot="1">
      <c r="A677" s="2999">
        <v>676</v>
      </c>
      <c r="B677" s="3005" t="s">
        <v>3299</v>
      </c>
      <c r="C677" s="3000" t="s">
        <v>3293</v>
      </c>
      <c r="D677" s="3000" t="s">
        <v>3291</v>
      </c>
      <c r="E677" s="3000" t="s">
        <v>70</v>
      </c>
      <c r="F677" s="3000" t="s">
        <v>3130</v>
      </c>
      <c r="G677" s="3000">
        <v>884.71</v>
      </c>
      <c r="H677" s="3001" t="s">
        <v>3292</v>
      </c>
    </row>
    <row r="678" spans="1:8" ht="14.25" thickBot="1">
      <c r="A678" s="2999">
        <v>677</v>
      </c>
      <c r="B678" s="3005" t="s">
        <v>3300</v>
      </c>
      <c r="C678" s="3000" t="s">
        <v>3267</v>
      </c>
      <c r="D678" s="3002" t="s">
        <v>3257</v>
      </c>
      <c r="E678" s="3000" t="s">
        <v>70</v>
      </c>
      <c r="F678" s="3002" t="s">
        <v>3132</v>
      </c>
      <c r="G678" s="3000">
        <v>98.4</v>
      </c>
      <c r="H678" s="3001" t="s">
        <v>1373</v>
      </c>
    </row>
    <row r="679" spans="1:8" ht="14.25" thickBot="1">
      <c r="A679" s="2999">
        <v>678</v>
      </c>
      <c r="B679" s="3005" t="s">
        <v>3300</v>
      </c>
      <c r="C679" s="3000" t="s">
        <v>3267</v>
      </c>
      <c r="D679" s="3002" t="s">
        <v>3257</v>
      </c>
      <c r="E679" s="3000" t="s">
        <v>70</v>
      </c>
      <c r="F679" s="3002" t="s">
        <v>3134</v>
      </c>
      <c r="G679" s="3000">
        <v>104.81</v>
      </c>
      <c r="H679" s="3001" t="s">
        <v>1373</v>
      </c>
    </row>
    <row r="680" spans="1:8" ht="14.25" thickBot="1">
      <c r="A680" s="2999">
        <v>679</v>
      </c>
      <c r="B680" s="3005" t="s">
        <v>3300</v>
      </c>
      <c r="C680" s="3000" t="s">
        <v>3267</v>
      </c>
      <c r="D680" s="3002" t="s">
        <v>3257</v>
      </c>
      <c r="E680" s="3000" t="s">
        <v>70</v>
      </c>
      <c r="F680" s="3002" t="s">
        <v>3135</v>
      </c>
      <c r="G680" s="3000">
        <v>103.82</v>
      </c>
      <c r="H680" s="3001" t="s">
        <v>1373</v>
      </c>
    </row>
    <row r="681" spans="1:8" ht="14.25" thickBot="1">
      <c r="A681" s="2999">
        <v>680</v>
      </c>
      <c r="B681" s="3005" t="s">
        <v>3300</v>
      </c>
      <c r="C681" s="3000" t="s">
        <v>3267</v>
      </c>
      <c r="D681" s="3002" t="s">
        <v>3257</v>
      </c>
      <c r="E681" s="3000" t="s">
        <v>70</v>
      </c>
      <c r="F681" s="3002" t="s">
        <v>3136</v>
      </c>
      <c r="G681" s="3000">
        <v>53.71</v>
      </c>
      <c r="H681" s="3001" t="s">
        <v>1373</v>
      </c>
    </row>
    <row r="682" spans="1:8" ht="14.25" thickBot="1">
      <c r="A682" s="2999">
        <v>681</v>
      </c>
      <c r="B682" s="3005" t="s">
        <v>3300</v>
      </c>
      <c r="C682" s="3000" t="s">
        <v>3267</v>
      </c>
      <c r="D682" s="3002" t="s">
        <v>3257</v>
      </c>
      <c r="E682" s="3000" t="s">
        <v>70</v>
      </c>
      <c r="F682" s="3002" t="s">
        <v>3137</v>
      </c>
      <c r="G682" s="3000">
        <v>104.82</v>
      </c>
      <c r="H682" s="3001" t="s">
        <v>1373</v>
      </c>
    </row>
    <row r="683" spans="1:8" ht="14.25" thickBot="1">
      <c r="A683" s="2999">
        <v>682</v>
      </c>
      <c r="B683" s="3005" t="s">
        <v>3300</v>
      </c>
      <c r="C683" s="3000" t="s">
        <v>3267</v>
      </c>
      <c r="D683" s="3002" t="s">
        <v>3257</v>
      </c>
      <c r="E683" s="3000" t="s">
        <v>70</v>
      </c>
      <c r="F683" s="3002" t="s">
        <v>3138</v>
      </c>
      <c r="G683" s="3000">
        <v>89.47</v>
      </c>
      <c r="H683" s="3001" t="s">
        <v>1373</v>
      </c>
    </row>
    <row r="684" spans="1:8" ht="14.25" thickBot="1">
      <c r="A684" s="2999">
        <v>683</v>
      </c>
      <c r="B684" s="3005" t="s">
        <v>3300</v>
      </c>
      <c r="C684" s="3000" t="s">
        <v>3267</v>
      </c>
      <c r="D684" s="3002" t="s">
        <v>3257</v>
      </c>
      <c r="E684" s="3000" t="s">
        <v>70</v>
      </c>
      <c r="F684" s="3002" t="s">
        <v>3139</v>
      </c>
      <c r="G684" s="3000">
        <v>89.47</v>
      </c>
      <c r="H684" s="3001" t="s">
        <v>1373</v>
      </c>
    </row>
    <row r="685" spans="1:8" ht="14.25" thickBot="1">
      <c r="A685" s="2999">
        <v>684</v>
      </c>
      <c r="B685" s="3005" t="s">
        <v>3300</v>
      </c>
      <c r="C685" s="3000" t="s">
        <v>3267</v>
      </c>
      <c r="D685" s="3002" t="s">
        <v>3257</v>
      </c>
      <c r="E685" s="3000" t="s">
        <v>70</v>
      </c>
      <c r="F685" s="3002" t="s">
        <v>3140</v>
      </c>
      <c r="G685" s="3000">
        <v>104.82</v>
      </c>
      <c r="H685" s="3001" t="s">
        <v>1373</v>
      </c>
    </row>
    <row r="686" spans="1:8" ht="14.25" thickBot="1">
      <c r="A686" s="2999">
        <v>685</v>
      </c>
      <c r="B686" s="3005" t="s">
        <v>3300</v>
      </c>
      <c r="C686" s="3000" t="s">
        <v>3267</v>
      </c>
      <c r="D686" s="3002" t="s">
        <v>3257</v>
      </c>
      <c r="E686" s="3000" t="s">
        <v>70</v>
      </c>
      <c r="F686" s="3002" t="s">
        <v>3141</v>
      </c>
      <c r="G686" s="3000">
        <v>53.71</v>
      </c>
      <c r="H686" s="3001" t="s">
        <v>1373</v>
      </c>
    </row>
    <row r="687" spans="1:8" ht="14.25" thickBot="1">
      <c r="A687" s="2999">
        <v>686</v>
      </c>
      <c r="B687" s="3005" t="s">
        <v>3300</v>
      </c>
      <c r="C687" s="3000" t="s">
        <v>3267</v>
      </c>
      <c r="D687" s="3002" t="s">
        <v>3257</v>
      </c>
      <c r="E687" s="3000" t="s">
        <v>70</v>
      </c>
      <c r="F687" s="3002" t="s">
        <v>3142</v>
      </c>
      <c r="G687" s="3000">
        <v>103.82</v>
      </c>
      <c r="H687" s="3001" t="s">
        <v>1373</v>
      </c>
    </row>
    <row r="688" spans="1:8" ht="14.25" thickBot="1">
      <c r="A688" s="2999">
        <v>687</v>
      </c>
      <c r="B688" s="3005" t="s">
        <v>3300</v>
      </c>
      <c r="C688" s="3000" t="s">
        <v>3267</v>
      </c>
      <c r="D688" s="3002" t="s">
        <v>3257</v>
      </c>
      <c r="E688" s="3000" t="s">
        <v>70</v>
      </c>
      <c r="F688" s="3002" t="s">
        <v>3164</v>
      </c>
      <c r="G688" s="3000">
        <v>104.81</v>
      </c>
      <c r="H688" s="3001" t="s">
        <v>1373</v>
      </c>
    </row>
    <row r="689" spans="1:8" ht="14.25" thickBot="1">
      <c r="A689" s="2999">
        <v>688</v>
      </c>
      <c r="B689" s="3005" t="s">
        <v>3300</v>
      </c>
      <c r="C689" s="3000" t="s">
        <v>3267</v>
      </c>
      <c r="D689" s="3002" t="s">
        <v>3257</v>
      </c>
      <c r="E689" s="3000" t="s">
        <v>70</v>
      </c>
      <c r="F689" s="3002" t="s">
        <v>3165</v>
      </c>
      <c r="G689" s="3000">
        <v>89.47</v>
      </c>
      <c r="H689" s="3001" t="s">
        <v>1373</v>
      </c>
    </row>
    <row r="690" spans="1:8" ht="14.25" thickBot="1">
      <c r="A690" s="2999">
        <v>689</v>
      </c>
      <c r="B690" s="3005" t="s">
        <v>3300</v>
      </c>
      <c r="C690" s="3000" t="s">
        <v>3268</v>
      </c>
      <c r="D690" s="3002" t="s">
        <v>3257</v>
      </c>
      <c r="E690" s="3000" t="s">
        <v>3258</v>
      </c>
      <c r="F690" s="3002" t="s">
        <v>3132</v>
      </c>
      <c r="G690" s="3000">
        <v>117.68</v>
      </c>
      <c r="H690" s="3001" t="s">
        <v>1373</v>
      </c>
    </row>
    <row r="691" spans="1:8" ht="14.25" thickBot="1">
      <c r="A691" s="2999">
        <v>690</v>
      </c>
      <c r="B691" s="3005" t="s">
        <v>3300</v>
      </c>
      <c r="C691" s="3000" t="s">
        <v>3268</v>
      </c>
      <c r="D691" s="3002" t="s">
        <v>3257</v>
      </c>
      <c r="E691" s="3000" t="s">
        <v>3258</v>
      </c>
      <c r="F691" s="3002" t="s">
        <v>3134</v>
      </c>
      <c r="G691" s="3000">
        <v>87.15</v>
      </c>
      <c r="H691" s="3001" t="s">
        <v>1373</v>
      </c>
    </row>
    <row r="692" spans="1:8" ht="14.25" thickBot="1">
      <c r="A692" s="2999">
        <v>691</v>
      </c>
      <c r="B692" s="3005" t="s">
        <v>3300</v>
      </c>
      <c r="C692" s="3000" t="s">
        <v>3268</v>
      </c>
      <c r="D692" s="3002" t="s">
        <v>3257</v>
      </c>
      <c r="E692" s="3000" t="s">
        <v>3258</v>
      </c>
      <c r="F692" s="3002" t="s">
        <v>3135</v>
      </c>
      <c r="G692" s="3000">
        <v>85.07</v>
      </c>
      <c r="H692" s="3001" t="s">
        <v>1373</v>
      </c>
    </row>
    <row r="693" spans="1:8" ht="14.25" thickBot="1">
      <c r="A693" s="2999">
        <v>692</v>
      </c>
      <c r="B693" s="3005" t="s">
        <v>3300</v>
      </c>
      <c r="C693" s="3000" t="s">
        <v>3268</v>
      </c>
      <c r="D693" s="3002" t="s">
        <v>3257</v>
      </c>
      <c r="E693" s="3000" t="s">
        <v>3258</v>
      </c>
      <c r="F693" s="3002" t="s">
        <v>3136</v>
      </c>
      <c r="G693" s="3000">
        <v>86.32</v>
      </c>
      <c r="H693" s="3001" t="s">
        <v>1373</v>
      </c>
    </row>
    <row r="694" spans="1:8" ht="14.25" thickBot="1">
      <c r="A694" s="2999">
        <v>693</v>
      </c>
      <c r="B694" s="3005" t="s">
        <v>3300</v>
      </c>
      <c r="C694" s="3000" t="s">
        <v>3268</v>
      </c>
      <c r="D694" s="3002" t="s">
        <v>3257</v>
      </c>
      <c r="E694" s="3000" t="s">
        <v>3258</v>
      </c>
      <c r="F694" s="3002" t="s">
        <v>3137</v>
      </c>
      <c r="G694" s="3000">
        <v>113.33</v>
      </c>
      <c r="H694" s="3001" t="s">
        <v>1373</v>
      </c>
    </row>
    <row r="695" spans="1:8" ht="14.25" thickBot="1">
      <c r="A695" s="2999">
        <v>694</v>
      </c>
      <c r="B695" s="3005" t="s">
        <v>3300</v>
      </c>
      <c r="C695" s="3000" t="s">
        <v>3268</v>
      </c>
      <c r="D695" s="3002" t="s">
        <v>3257</v>
      </c>
      <c r="E695" s="3000" t="s">
        <v>3258</v>
      </c>
      <c r="F695" s="3002" t="s">
        <v>3138</v>
      </c>
      <c r="G695" s="3000">
        <v>113.33</v>
      </c>
      <c r="H695" s="3001" t="s">
        <v>1373</v>
      </c>
    </row>
    <row r="696" spans="1:8" ht="14.25" thickBot="1">
      <c r="A696" s="2999">
        <v>695</v>
      </c>
      <c r="B696" s="3005" t="s">
        <v>3300</v>
      </c>
      <c r="C696" s="3000" t="s">
        <v>3268</v>
      </c>
      <c r="D696" s="3002" t="s">
        <v>3257</v>
      </c>
      <c r="E696" s="3000" t="s">
        <v>3258</v>
      </c>
      <c r="F696" s="3002" t="s">
        <v>3139</v>
      </c>
      <c r="G696" s="3000">
        <v>86.32</v>
      </c>
      <c r="H696" s="3001" t="s">
        <v>1373</v>
      </c>
    </row>
    <row r="697" spans="1:8" ht="14.25" thickBot="1">
      <c r="A697" s="2999">
        <v>696</v>
      </c>
      <c r="B697" s="3005" t="s">
        <v>3300</v>
      </c>
      <c r="C697" s="3000" t="s">
        <v>3268</v>
      </c>
      <c r="D697" s="3002" t="s">
        <v>3257</v>
      </c>
      <c r="E697" s="3000" t="s">
        <v>3258</v>
      </c>
      <c r="F697" s="3002" t="s">
        <v>3140</v>
      </c>
      <c r="G697" s="3000">
        <v>85.07</v>
      </c>
      <c r="H697" s="3001" t="s">
        <v>1373</v>
      </c>
    </row>
    <row r="698" spans="1:8" ht="14.25" thickBot="1">
      <c r="A698" s="2999">
        <v>697</v>
      </c>
      <c r="B698" s="3005" t="s">
        <v>3300</v>
      </c>
      <c r="C698" s="3000" t="s">
        <v>3268</v>
      </c>
      <c r="D698" s="3002" t="s">
        <v>3257</v>
      </c>
      <c r="E698" s="3000" t="s">
        <v>3258</v>
      </c>
      <c r="F698" s="3002" t="s">
        <v>3141</v>
      </c>
      <c r="G698" s="3000">
        <v>87.15</v>
      </c>
      <c r="H698" s="3001" t="s">
        <v>1373</v>
      </c>
    </row>
    <row r="699" spans="1:8" ht="14.25" thickBot="1">
      <c r="A699" s="2999">
        <v>698</v>
      </c>
      <c r="B699" s="3005" t="s">
        <v>3300</v>
      </c>
      <c r="C699" s="3000" t="s">
        <v>3268</v>
      </c>
      <c r="D699" s="3002" t="s">
        <v>3257</v>
      </c>
      <c r="E699" s="3000" t="s">
        <v>3258</v>
      </c>
      <c r="F699" s="3002" t="s">
        <v>3142</v>
      </c>
      <c r="G699" s="3000">
        <v>117.68</v>
      </c>
      <c r="H699" s="3001" t="s">
        <v>1373</v>
      </c>
    </row>
    <row r="700" spans="1:8" ht="14.25" hidden="1" thickBot="1">
      <c r="A700" s="2999">
        <v>699</v>
      </c>
      <c r="B700" s="3005" t="s">
        <v>3299</v>
      </c>
      <c r="C700" s="3000" t="s">
        <v>3280</v>
      </c>
      <c r="D700" s="3000" t="s">
        <v>3257</v>
      </c>
      <c r="E700" s="3000" t="s">
        <v>70</v>
      </c>
      <c r="F700" s="3000" t="s">
        <v>3132</v>
      </c>
      <c r="G700" s="3000">
        <v>72.75</v>
      </c>
      <c r="H700" s="3001" t="s">
        <v>1373</v>
      </c>
    </row>
    <row r="701" spans="1:8" ht="14.25" hidden="1" thickBot="1">
      <c r="A701" s="2999">
        <v>700</v>
      </c>
      <c r="B701" s="3005" t="s">
        <v>3299</v>
      </c>
      <c r="C701" s="3000" t="s">
        <v>3280</v>
      </c>
      <c r="D701" s="3000" t="s">
        <v>3257</v>
      </c>
      <c r="E701" s="3000" t="s">
        <v>70</v>
      </c>
      <c r="F701" s="3000" t="s">
        <v>3134</v>
      </c>
      <c r="G701" s="3000">
        <v>54.97</v>
      </c>
      <c r="H701" s="3001" t="s">
        <v>1373</v>
      </c>
    </row>
    <row r="702" spans="1:8" ht="14.25" hidden="1" thickBot="1">
      <c r="A702" s="2999">
        <v>701</v>
      </c>
      <c r="B702" s="3005" t="s">
        <v>3299</v>
      </c>
      <c r="C702" s="3000" t="s">
        <v>3280</v>
      </c>
      <c r="D702" s="3000" t="s">
        <v>3257</v>
      </c>
      <c r="E702" s="3000" t="s">
        <v>70</v>
      </c>
      <c r="F702" s="3000" t="s">
        <v>3135</v>
      </c>
      <c r="G702" s="3000">
        <v>55.91</v>
      </c>
      <c r="H702" s="3001" t="s">
        <v>1373</v>
      </c>
    </row>
    <row r="703" spans="1:8" ht="14.25" hidden="1" thickBot="1">
      <c r="A703" s="2999">
        <v>702</v>
      </c>
      <c r="B703" s="3005" t="s">
        <v>3299</v>
      </c>
      <c r="C703" s="3000" t="s">
        <v>3280</v>
      </c>
      <c r="D703" s="3000" t="s">
        <v>3257</v>
      </c>
      <c r="E703" s="3000" t="s">
        <v>70</v>
      </c>
      <c r="F703" s="3000" t="s">
        <v>3136</v>
      </c>
      <c r="G703" s="3000">
        <v>70.09</v>
      </c>
      <c r="H703" s="3001" t="s">
        <v>1373</v>
      </c>
    </row>
    <row r="704" spans="1:8" ht="14.25" hidden="1" thickBot="1">
      <c r="A704" s="2999">
        <v>703</v>
      </c>
      <c r="B704" s="3005" t="s">
        <v>3299</v>
      </c>
      <c r="C704" s="3000" t="s">
        <v>3280</v>
      </c>
      <c r="D704" s="3000" t="s">
        <v>3257</v>
      </c>
      <c r="E704" s="3000" t="s">
        <v>70</v>
      </c>
      <c r="F704" s="3000" t="s">
        <v>3137</v>
      </c>
      <c r="G704" s="3000">
        <v>57.86</v>
      </c>
      <c r="H704" s="3001" t="s">
        <v>1373</v>
      </c>
    </row>
    <row r="705" spans="1:8" ht="14.25" hidden="1" thickBot="1">
      <c r="A705" s="2999">
        <v>704</v>
      </c>
      <c r="B705" s="3005" t="s">
        <v>3299</v>
      </c>
      <c r="C705" s="3000" t="s">
        <v>3280</v>
      </c>
      <c r="D705" s="3000" t="s">
        <v>3257</v>
      </c>
      <c r="E705" s="3000" t="s">
        <v>70</v>
      </c>
      <c r="F705" s="3000" t="s">
        <v>3138</v>
      </c>
      <c r="G705" s="3000">
        <v>55.93</v>
      </c>
      <c r="H705" s="3001" t="s">
        <v>1373</v>
      </c>
    </row>
    <row r="706" spans="1:8" ht="14.25" hidden="1" thickBot="1">
      <c r="A706" s="2999">
        <v>705</v>
      </c>
      <c r="B706" s="3005" t="s">
        <v>3299</v>
      </c>
      <c r="C706" s="3000" t="s">
        <v>3280</v>
      </c>
      <c r="D706" s="3000" t="s">
        <v>3257</v>
      </c>
      <c r="E706" s="3000" t="s">
        <v>70</v>
      </c>
      <c r="F706" s="3000" t="s">
        <v>3139</v>
      </c>
      <c r="G706" s="3000">
        <v>55.93</v>
      </c>
      <c r="H706" s="3001" t="s">
        <v>1373</v>
      </c>
    </row>
    <row r="707" spans="1:8" ht="14.25" hidden="1" thickBot="1">
      <c r="A707" s="2999">
        <v>706</v>
      </c>
      <c r="B707" s="3005" t="s">
        <v>3299</v>
      </c>
      <c r="C707" s="3000" t="s">
        <v>3280</v>
      </c>
      <c r="D707" s="3000" t="s">
        <v>3257</v>
      </c>
      <c r="E707" s="3000" t="s">
        <v>70</v>
      </c>
      <c r="F707" s="3000" t="s">
        <v>3140</v>
      </c>
      <c r="G707" s="3000">
        <v>57.86</v>
      </c>
      <c r="H707" s="3001" t="s">
        <v>1373</v>
      </c>
    </row>
    <row r="708" spans="1:8" ht="14.25" hidden="1" thickBot="1">
      <c r="A708" s="2999">
        <v>707</v>
      </c>
      <c r="B708" s="3005" t="s">
        <v>3299</v>
      </c>
      <c r="C708" s="3000" t="s">
        <v>3280</v>
      </c>
      <c r="D708" s="3000" t="s">
        <v>3257</v>
      </c>
      <c r="E708" s="3000" t="s">
        <v>70</v>
      </c>
      <c r="F708" s="3000" t="s">
        <v>3141</v>
      </c>
      <c r="G708" s="3000">
        <v>57.86</v>
      </c>
      <c r="H708" s="3001" t="s">
        <v>1373</v>
      </c>
    </row>
    <row r="709" spans="1:8" ht="14.25" hidden="1" thickBot="1">
      <c r="A709" s="2999">
        <v>708</v>
      </c>
      <c r="B709" s="3005" t="s">
        <v>3299</v>
      </c>
      <c r="C709" s="3000" t="s">
        <v>3280</v>
      </c>
      <c r="D709" s="3000" t="s">
        <v>3257</v>
      </c>
      <c r="E709" s="3000" t="s">
        <v>70</v>
      </c>
      <c r="F709" s="3000" t="s">
        <v>3142</v>
      </c>
      <c r="G709" s="3000">
        <v>62.36</v>
      </c>
      <c r="H709" s="3001" t="s">
        <v>1373</v>
      </c>
    </row>
    <row r="710" spans="1:8" ht="14.25" thickBot="1">
      <c r="A710" s="2999">
        <v>709</v>
      </c>
      <c r="B710" s="3005" t="s">
        <v>3300</v>
      </c>
      <c r="C710" s="3000" t="s">
        <v>3281</v>
      </c>
      <c r="D710" s="3002" t="s">
        <v>3257</v>
      </c>
      <c r="E710" s="3000" t="s">
        <v>70</v>
      </c>
      <c r="F710" s="3000" t="s">
        <v>3132</v>
      </c>
      <c r="G710" s="3000">
        <v>102.22</v>
      </c>
      <c r="H710" s="3001" t="s">
        <v>1373</v>
      </c>
    </row>
    <row r="711" spans="1:8" ht="14.25" thickBot="1">
      <c r="A711" s="2999">
        <v>710</v>
      </c>
      <c r="B711" s="3005" t="s">
        <v>3300</v>
      </c>
      <c r="C711" s="3000" t="s">
        <v>3281</v>
      </c>
      <c r="D711" s="3002" t="s">
        <v>3257</v>
      </c>
      <c r="E711" s="3000" t="s">
        <v>70</v>
      </c>
      <c r="F711" s="3000" t="s">
        <v>3134</v>
      </c>
      <c r="G711" s="3000">
        <v>111.55</v>
      </c>
      <c r="H711" s="3001" t="s">
        <v>1373</v>
      </c>
    </row>
    <row r="712" spans="1:8" ht="14.25" thickBot="1">
      <c r="A712" s="2999">
        <v>711</v>
      </c>
      <c r="B712" s="3005" t="s">
        <v>3300</v>
      </c>
      <c r="C712" s="3000" t="s">
        <v>3281</v>
      </c>
      <c r="D712" s="3002" t="s">
        <v>3257</v>
      </c>
      <c r="E712" s="3000" t="s">
        <v>70</v>
      </c>
      <c r="F712" s="3000" t="s">
        <v>3135</v>
      </c>
      <c r="G712" s="3000">
        <v>122.56</v>
      </c>
      <c r="H712" s="3001" t="s">
        <v>1373</v>
      </c>
    </row>
    <row r="713" spans="1:8" ht="14.25" thickBot="1">
      <c r="A713" s="2999">
        <v>712</v>
      </c>
      <c r="B713" s="3005" t="s">
        <v>3300</v>
      </c>
      <c r="C713" s="3000" t="s">
        <v>3281</v>
      </c>
      <c r="D713" s="3002" t="s">
        <v>3257</v>
      </c>
      <c r="E713" s="3000" t="s">
        <v>70</v>
      </c>
      <c r="F713" s="3000" t="s">
        <v>3136</v>
      </c>
      <c r="G713" s="3000">
        <v>68</v>
      </c>
      <c r="H713" s="3001" t="s">
        <v>1373</v>
      </c>
    </row>
    <row r="714" spans="1:8" ht="14.25" thickBot="1">
      <c r="A714" s="2999">
        <v>713</v>
      </c>
      <c r="B714" s="3005" t="s">
        <v>3300</v>
      </c>
      <c r="C714" s="3000" t="s">
        <v>3281</v>
      </c>
      <c r="D714" s="3002" t="s">
        <v>3257</v>
      </c>
      <c r="E714" s="3000" t="s">
        <v>70</v>
      </c>
      <c r="F714" s="3000" t="s">
        <v>3137</v>
      </c>
      <c r="G714" s="3000">
        <v>116.07</v>
      </c>
      <c r="H714" s="3001" t="s">
        <v>1373</v>
      </c>
    </row>
    <row r="715" spans="1:8" ht="14.25" thickBot="1">
      <c r="A715" s="2999">
        <v>714</v>
      </c>
      <c r="B715" s="3005" t="s">
        <v>3300</v>
      </c>
      <c r="C715" s="3000" t="s">
        <v>3281</v>
      </c>
      <c r="D715" s="3002" t="s">
        <v>3257</v>
      </c>
      <c r="E715" s="3000" t="s">
        <v>70</v>
      </c>
      <c r="F715" s="3000" t="s">
        <v>3138</v>
      </c>
      <c r="G715" s="3000">
        <v>40.1</v>
      </c>
      <c r="H715" s="3001" t="s">
        <v>1373</v>
      </c>
    </row>
    <row r="716" spans="1:8" ht="14.25" thickBot="1">
      <c r="A716" s="2999">
        <v>715</v>
      </c>
      <c r="B716" s="3005" t="s">
        <v>3300</v>
      </c>
      <c r="C716" s="3000" t="s">
        <v>3281</v>
      </c>
      <c r="D716" s="3002" t="s">
        <v>3257</v>
      </c>
      <c r="E716" s="3000" t="s">
        <v>70</v>
      </c>
      <c r="F716" s="3000" t="s">
        <v>3139</v>
      </c>
      <c r="G716" s="3000">
        <v>39.909999999999997</v>
      </c>
      <c r="H716" s="3001" t="s">
        <v>1373</v>
      </c>
    </row>
    <row r="717" spans="1:8" ht="14.25" thickBot="1">
      <c r="A717" s="2999">
        <v>716</v>
      </c>
      <c r="B717" s="3005" t="s">
        <v>3300</v>
      </c>
      <c r="C717" s="3000" t="s">
        <v>3281</v>
      </c>
      <c r="D717" s="3002" t="s">
        <v>3257</v>
      </c>
      <c r="E717" s="3000" t="s">
        <v>70</v>
      </c>
      <c r="F717" s="3000" t="s">
        <v>3140</v>
      </c>
      <c r="G717" s="3000">
        <v>62.27</v>
      </c>
      <c r="H717" s="3001" t="s">
        <v>1373</v>
      </c>
    </row>
    <row r="718" spans="1:8" ht="14.25" thickBot="1">
      <c r="A718" s="2999">
        <v>717</v>
      </c>
      <c r="B718" s="3005" t="s">
        <v>3300</v>
      </c>
      <c r="C718" s="3000" t="s">
        <v>3281</v>
      </c>
      <c r="D718" s="3002" t="s">
        <v>3257</v>
      </c>
      <c r="E718" s="3000" t="s">
        <v>70</v>
      </c>
      <c r="F718" s="3000" t="s">
        <v>3141</v>
      </c>
      <c r="G718" s="3000">
        <v>75.3</v>
      </c>
      <c r="H718" s="3001" t="s">
        <v>1373</v>
      </c>
    </row>
    <row r="719" spans="1:8" ht="14.25" thickBot="1">
      <c r="A719" s="2999">
        <v>718</v>
      </c>
      <c r="B719" s="3005" t="s">
        <v>3300</v>
      </c>
      <c r="C719" s="3000" t="s">
        <v>3282</v>
      </c>
      <c r="D719" s="3002" t="s">
        <v>3257</v>
      </c>
      <c r="E719" s="3000" t="s">
        <v>70</v>
      </c>
      <c r="F719" s="3002" t="s">
        <v>3132</v>
      </c>
      <c r="G719" s="3000">
        <v>117.54</v>
      </c>
      <c r="H719" s="3001" t="s">
        <v>1373</v>
      </c>
    </row>
    <row r="720" spans="1:8" ht="14.25" thickBot="1">
      <c r="A720" s="2999">
        <v>719</v>
      </c>
      <c r="B720" s="3005" t="s">
        <v>3300</v>
      </c>
      <c r="C720" s="3000" t="s">
        <v>3282</v>
      </c>
      <c r="D720" s="3002" t="s">
        <v>3257</v>
      </c>
      <c r="E720" s="3000" t="s">
        <v>70</v>
      </c>
      <c r="F720" s="3002" t="s">
        <v>3134</v>
      </c>
      <c r="G720" s="3000">
        <v>55.4</v>
      </c>
      <c r="H720" s="3001" t="s">
        <v>1373</v>
      </c>
    </row>
    <row r="721" spans="1:8" ht="14.25" thickBot="1">
      <c r="A721" s="2999">
        <v>720</v>
      </c>
      <c r="B721" s="3005" t="s">
        <v>3300</v>
      </c>
      <c r="C721" s="3000" t="s">
        <v>3282</v>
      </c>
      <c r="D721" s="3002" t="s">
        <v>3257</v>
      </c>
      <c r="E721" s="3000" t="s">
        <v>70</v>
      </c>
      <c r="F721" s="3002" t="s">
        <v>3135</v>
      </c>
      <c r="G721" s="3000">
        <v>100.47</v>
      </c>
      <c r="H721" s="3001" t="s">
        <v>1373</v>
      </c>
    </row>
    <row r="722" spans="1:8" ht="14.25" thickBot="1">
      <c r="A722" s="2999">
        <v>721</v>
      </c>
      <c r="B722" s="3005" t="s">
        <v>3300</v>
      </c>
      <c r="C722" s="3000" t="s">
        <v>3282</v>
      </c>
      <c r="D722" s="3002" t="s">
        <v>3257</v>
      </c>
      <c r="E722" s="3000" t="s">
        <v>70</v>
      </c>
      <c r="F722" s="3002" t="s">
        <v>3136</v>
      </c>
      <c r="G722" s="3000">
        <v>109.43</v>
      </c>
      <c r="H722" s="3001" t="s">
        <v>1373</v>
      </c>
    </row>
    <row r="723" spans="1:8" ht="14.25" thickBot="1">
      <c r="A723" s="2999">
        <v>722</v>
      </c>
      <c r="B723" s="3005" t="s">
        <v>3300</v>
      </c>
      <c r="C723" s="3000" t="s">
        <v>3282</v>
      </c>
      <c r="D723" s="3002" t="s">
        <v>3257</v>
      </c>
      <c r="E723" s="3000" t="s">
        <v>70</v>
      </c>
      <c r="F723" s="3002" t="s">
        <v>3137</v>
      </c>
      <c r="G723" s="3000">
        <v>100.96</v>
      </c>
      <c r="H723" s="3001" t="s">
        <v>1373</v>
      </c>
    </row>
    <row r="724" spans="1:8" ht="14.25" thickBot="1">
      <c r="A724" s="2999">
        <v>723</v>
      </c>
      <c r="B724" s="3005" t="s">
        <v>3300</v>
      </c>
      <c r="C724" s="3000" t="s">
        <v>3282</v>
      </c>
      <c r="D724" s="3002" t="s">
        <v>3257</v>
      </c>
      <c r="E724" s="3000" t="s">
        <v>70</v>
      </c>
      <c r="F724" s="3002" t="s">
        <v>3138</v>
      </c>
      <c r="G724" s="3000">
        <v>88.16</v>
      </c>
      <c r="H724" s="3001" t="s">
        <v>1373</v>
      </c>
    </row>
    <row r="725" spans="1:8" ht="14.25" thickBot="1">
      <c r="A725" s="2999">
        <v>724</v>
      </c>
      <c r="B725" s="3005" t="s">
        <v>3300</v>
      </c>
      <c r="C725" s="3000" t="s">
        <v>3282</v>
      </c>
      <c r="D725" s="3002" t="s">
        <v>3257</v>
      </c>
      <c r="E725" s="3000" t="s">
        <v>70</v>
      </c>
      <c r="F725" s="3002" t="s">
        <v>3139</v>
      </c>
      <c r="G725" s="3000">
        <v>69.19</v>
      </c>
      <c r="H725" s="3001" t="s">
        <v>1373</v>
      </c>
    </row>
    <row r="726" spans="1:8" ht="14.25" thickBot="1">
      <c r="A726" s="2999">
        <v>725</v>
      </c>
      <c r="B726" s="3005" t="s">
        <v>3300</v>
      </c>
      <c r="C726" s="3000" t="s">
        <v>3282</v>
      </c>
      <c r="D726" s="3002" t="s">
        <v>3257</v>
      </c>
      <c r="E726" s="3000" t="s">
        <v>70</v>
      </c>
      <c r="F726" s="3002" t="s">
        <v>3140</v>
      </c>
      <c r="G726" s="3000">
        <v>95.57</v>
      </c>
      <c r="H726" s="3003" t="s">
        <v>1373</v>
      </c>
    </row>
    <row r="727" spans="1:8" ht="14.25" thickBot="1">
      <c r="A727" s="2999">
        <v>726</v>
      </c>
      <c r="B727" s="3005" t="s">
        <v>3300</v>
      </c>
      <c r="C727" s="3000" t="s">
        <v>3282</v>
      </c>
      <c r="D727" s="3002" t="s">
        <v>3257</v>
      </c>
      <c r="E727" s="3000" t="s">
        <v>70</v>
      </c>
      <c r="F727" s="3002" t="s">
        <v>3141</v>
      </c>
      <c r="G727" s="3000">
        <v>85.4</v>
      </c>
      <c r="H727" s="3003" t="s">
        <v>1373</v>
      </c>
    </row>
    <row r="728" spans="1:8" ht="14.25" thickBot="1">
      <c r="A728" s="2999">
        <v>727</v>
      </c>
      <c r="B728" s="3005" t="s">
        <v>3300</v>
      </c>
      <c r="C728" s="3000" t="s">
        <v>3283</v>
      </c>
      <c r="D728" s="3002" t="s">
        <v>3257</v>
      </c>
      <c r="E728" s="3000" t="s">
        <v>70</v>
      </c>
      <c r="F728" s="3002" t="s">
        <v>3132</v>
      </c>
      <c r="G728" s="3000">
        <v>145.37</v>
      </c>
      <c r="H728" s="3003" t="s">
        <v>1373</v>
      </c>
    </row>
    <row r="729" spans="1:8" ht="14.25" thickBot="1">
      <c r="A729" s="2999">
        <v>728</v>
      </c>
      <c r="B729" s="3005" t="s">
        <v>3300</v>
      </c>
      <c r="C729" s="3000" t="s">
        <v>3283</v>
      </c>
      <c r="D729" s="3002" t="s">
        <v>3257</v>
      </c>
      <c r="E729" s="3000" t="s">
        <v>70</v>
      </c>
      <c r="F729" s="3002" t="s">
        <v>3134</v>
      </c>
      <c r="G729" s="3000">
        <v>98.42</v>
      </c>
      <c r="H729" s="3003" t="s">
        <v>1373</v>
      </c>
    </row>
    <row r="730" spans="1:8" ht="14.25" thickBot="1">
      <c r="A730" s="2999">
        <v>729</v>
      </c>
      <c r="B730" s="3005" t="s">
        <v>3300</v>
      </c>
      <c r="C730" s="3000" t="s">
        <v>3283</v>
      </c>
      <c r="D730" s="3002" t="s">
        <v>3257</v>
      </c>
      <c r="E730" s="3000" t="s">
        <v>70</v>
      </c>
      <c r="F730" s="3002" t="s">
        <v>3135</v>
      </c>
      <c r="G730" s="3000">
        <v>60.94</v>
      </c>
      <c r="H730" s="3003" t="s">
        <v>1373</v>
      </c>
    </row>
    <row r="731" spans="1:8" ht="14.25" thickBot="1">
      <c r="A731" s="2999">
        <v>730</v>
      </c>
      <c r="B731" s="3005" t="s">
        <v>3300</v>
      </c>
      <c r="C731" s="3000" t="s">
        <v>3283</v>
      </c>
      <c r="D731" s="3002" t="s">
        <v>3257</v>
      </c>
      <c r="E731" s="3000" t="s">
        <v>70</v>
      </c>
      <c r="F731" s="3002" t="s">
        <v>3136</v>
      </c>
      <c r="G731" s="3000">
        <v>73.989999999999995</v>
      </c>
      <c r="H731" s="3003" t="s">
        <v>1373</v>
      </c>
    </row>
    <row r="732" spans="1:8" ht="14.25" thickBot="1">
      <c r="A732" s="2999">
        <v>731</v>
      </c>
      <c r="B732" s="3005" t="s">
        <v>3300</v>
      </c>
      <c r="C732" s="3000" t="s">
        <v>3283</v>
      </c>
      <c r="D732" s="3002" t="s">
        <v>3260</v>
      </c>
      <c r="E732" s="3000" t="s">
        <v>70</v>
      </c>
      <c r="F732" s="3002" t="s">
        <v>3160</v>
      </c>
      <c r="G732" s="3000">
        <v>120.22</v>
      </c>
      <c r="H732" s="3003" t="s">
        <v>1373</v>
      </c>
    </row>
    <row r="733" spans="1:8" ht="14.25" thickBot="1">
      <c r="A733" s="2999">
        <v>732</v>
      </c>
      <c r="B733" s="3005" t="s">
        <v>3300</v>
      </c>
      <c r="C733" s="3000" t="s">
        <v>3283</v>
      </c>
      <c r="D733" s="3002" t="s">
        <v>3260</v>
      </c>
      <c r="E733" s="3000" t="s">
        <v>70</v>
      </c>
      <c r="F733" s="3002" t="s">
        <v>3161</v>
      </c>
      <c r="G733" s="3000">
        <v>114.76</v>
      </c>
      <c r="H733" s="3003" t="s">
        <v>1373</v>
      </c>
    </row>
    <row r="734" spans="1:8" ht="14.25" thickBot="1">
      <c r="A734" s="2999">
        <v>733</v>
      </c>
      <c r="B734" s="3005" t="s">
        <v>3300</v>
      </c>
      <c r="C734" s="3000" t="s">
        <v>3283</v>
      </c>
      <c r="D734" s="3002" t="s">
        <v>3260</v>
      </c>
      <c r="E734" s="3000" t="s">
        <v>70</v>
      </c>
      <c r="F734" s="3002" t="s">
        <v>3203</v>
      </c>
      <c r="G734" s="3000">
        <v>126.76</v>
      </c>
      <c r="H734" s="3003" t="s">
        <v>1373</v>
      </c>
    </row>
    <row r="735" spans="1:8" ht="14.25" thickBot="1">
      <c r="A735" s="2999">
        <v>734</v>
      </c>
      <c r="B735" s="3005" t="s">
        <v>3300</v>
      </c>
      <c r="C735" s="3000" t="s">
        <v>3284</v>
      </c>
      <c r="D735" s="3002" t="s">
        <v>3257</v>
      </c>
      <c r="E735" s="3000" t="s">
        <v>70</v>
      </c>
      <c r="F735" s="3002" t="s">
        <v>3132</v>
      </c>
      <c r="G735" s="3000">
        <v>109.17</v>
      </c>
      <c r="H735" s="3003" t="s">
        <v>1373</v>
      </c>
    </row>
    <row r="736" spans="1:8" ht="14.25" thickBot="1">
      <c r="A736" s="2999">
        <v>735</v>
      </c>
      <c r="B736" s="3005" t="s">
        <v>3300</v>
      </c>
      <c r="C736" s="3000" t="s">
        <v>3284</v>
      </c>
      <c r="D736" s="3002" t="s">
        <v>3257</v>
      </c>
      <c r="E736" s="3000" t="s">
        <v>70</v>
      </c>
      <c r="F736" s="3002" t="s">
        <v>3134</v>
      </c>
      <c r="G736" s="3000">
        <v>59.01</v>
      </c>
      <c r="H736" s="3003" t="s">
        <v>1373</v>
      </c>
    </row>
    <row r="737" spans="1:8" ht="14.25" thickBot="1">
      <c r="A737" s="2999">
        <v>736</v>
      </c>
      <c r="B737" s="3005" t="s">
        <v>3300</v>
      </c>
      <c r="C737" s="3000" t="s">
        <v>3284</v>
      </c>
      <c r="D737" s="3002" t="s">
        <v>3257</v>
      </c>
      <c r="E737" s="3000" t="s">
        <v>70</v>
      </c>
      <c r="F737" s="3002" t="s">
        <v>3135</v>
      </c>
      <c r="G737" s="3000">
        <v>86.3</v>
      </c>
      <c r="H737" s="3003" t="s">
        <v>1373</v>
      </c>
    </row>
    <row r="738" spans="1:8" ht="14.25" thickBot="1">
      <c r="A738" s="2999">
        <v>737</v>
      </c>
      <c r="B738" s="3005" t="s">
        <v>3300</v>
      </c>
      <c r="C738" s="3000" t="s">
        <v>3284</v>
      </c>
      <c r="D738" s="3000" t="s">
        <v>3260</v>
      </c>
      <c r="E738" s="3000" t="s">
        <v>70</v>
      </c>
      <c r="F738" s="3002" t="s">
        <v>3161</v>
      </c>
      <c r="G738" s="3000">
        <v>124.72</v>
      </c>
      <c r="H738" s="3003" t="s">
        <v>1373</v>
      </c>
    </row>
    <row r="739" spans="1:8" hidden="1">
      <c r="A739" s="1630" t="s">
        <v>3204</v>
      </c>
      <c r="G739" s="1630">
        <f>SUM(G2:G738)</f>
        <v>58074.12999999999</v>
      </c>
    </row>
    <row r="741" spans="1:8">
      <c r="F741" s="3004" t="s">
        <v>3295</v>
      </c>
      <c r="G741" s="1630">
        <f>SUM(G2:G675)</f>
        <v>50501.749999999956</v>
      </c>
    </row>
    <row r="742" spans="1:8">
      <c r="F742" s="3004" t="s">
        <v>3296</v>
      </c>
      <c r="G742" s="1630">
        <f>SUM(G678:G738)</f>
        <v>5361.5099999999993</v>
      </c>
    </row>
    <row r="743" spans="1:8">
      <c r="F743" s="3004" t="s">
        <v>3297</v>
      </c>
      <c r="G743" s="1630">
        <f>G676+G677</f>
        <v>2210.87</v>
      </c>
    </row>
    <row r="744" spans="1:8">
      <c r="G744" s="1630">
        <f>G741+G742+G743</f>
        <v>58074.129999999961</v>
      </c>
    </row>
  </sheetData>
  <autoFilter ref="A1:H739">
    <filterColumn colId="1">
      <filters>
        <filter val="二期"/>
      </filters>
    </filterColumn>
  </autoFilter>
  <phoneticPr fontId="143"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3108</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7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17" t="s">
        <v>861</v>
      </c>
      <c r="C54" s="2014" t="s">
        <v>1277</v>
      </c>
    </row>
    <row r="55" spans="1:4">
      <c r="A55" s="3079"/>
      <c r="B55" s="2017" t="s">
        <v>862</v>
      </c>
      <c r="C55" s="2014" t="s">
        <v>1278</v>
      </c>
    </row>
    <row r="56" spans="1:4">
      <c r="A56" s="3079"/>
      <c r="B56" s="2017" t="s">
        <v>863</v>
      </c>
      <c r="C56" s="2014" t="s">
        <v>1282</v>
      </c>
    </row>
    <row r="57" spans="1:4">
      <c r="A57" s="307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75" style="2027" customWidth="1"/>
    <col min="2" max="2" width="10"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1772</v>
      </c>
      <c r="B1" s="3080" t="str">
        <f>IF(B10="北京市","北京市",C10)&amp;F10&amp;IF(结果表!G1="在建","出让国有建设用地使用权及在建建筑物",IF(结果表!G1="土地","出让国有建设用地使用权",))&amp;B9&amp;"预评估"</f>
        <v>出让国有建设用地使用权及在建建筑物房地产抵押价值预评估</v>
      </c>
      <c r="C1" s="3081"/>
      <c r="D1" s="3081"/>
      <c r="E1" s="3081"/>
      <c r="F1" s="3081"/>
      <c r="G1" s="3081"/>
      <c r="H1" s="3081"/>
      <c r="I1" s="308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1" t="s">
        <v>1773</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0" t="s">
        <v>1774</v>
      </c>
      <c r="B3" s="2031">
        <v>43584</v>
      </c>
      <c r="C3" s="2032" t="s">
        <v>1775</v>
      </c>
      <c r="D3" s="2031">
        <v>43758</v>
      </c>
      <c r="E3" s="2021"/>
      <c r="F3" s="2021"/>
      <c r="G3" s="2021"/>
      <c r="H3" s="2021"/>
      <c r="I3" s="2021"/>
      <c r="J3" s="2021"/>
      <c r="K3" s="2022"/>
      <c r="L3" s="2023"/>
      <c r="M3" s="2023"/>
      <c r="N3" s="2024"/>
      <c r="O3" s="2025"/>
      <c r="P3" s="2024"/>
      <c r="Q3" s="2024"/>
      <c r="R3" s="2024"/>
      <c r="S3" s="2026"/>
    </row>
    <row r="4" spans="1:19" ht="18" customHeight="1" thickBot="1">
      <c r="A4" s="2033" t="s">
        <v>1776</v>
      </c>
      <c r="B4" s="2034" t="s">
        <v>3196</v>
      </c>
      <c r="C4" s="1032">
        <f ca="1">SUMIF(注册房地产估价师,B4,估价师及机构信息!B3:B24)</f>
        <v>1120070131</v>
      </c>
      <c r="D4" s="2034" t="s">
        <v>3197</v>
      </c>
      <c r="E4" s="1033">
        <f ca="1">SUMIF(注册房地产估价师,D4,估价师及机构信息!B3:B24)</f>
        <v>1120050019</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郑燚（注册号：1120070131)、王鹏（注册号：1120050019)</v>
      </c>
      <c r="L4" s="2023"/>
      <c r="M4" s="2023"/>
      <c r="N4" s="2024"/>
      <c r="O4" s="2025"/>
      <c r="P4" s="2024"/>
      <c r="Q4" s="2024"/>
      <c r="R4" s="2024"/>
      <c r="S4" s="2026"/>
    </row>
    <row r="5" spans="1:19" ht="18" customHeight="1" thickTop="1">
      <c r="A5" s="2039" t="s">
        <v>1777</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1778</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1779</v>
      </c>
      <c r="B7" s="2048"/>
      <c r="C7" s="2045"/>
      <c r="D7" s="2046"/>
      <c r="E7" s="2029"/>
      <c r="F7" s="2037"/>
      <c r="G7" s="2037"/>
      <c r="H7" s="2037"/>
      <c r="I7" s="2037"/>
      <c r="J7" s="2037"/>
      <c r="K7" s="2049"/>
      <c r="L7" s="2023"/>
      <c r="M7" s="2023"/>
      <c r="N7" s="2024"/>
      <c r="O7" s="2025"/>
      <c r="P7" s="2024"/>
      <c r="Q7" s="2024"/>
      <c r="R7" s="2024"/>
    </row>
    <row r="8" spans="1:19" ht="18" customHeight="1">
      <c r="A8" s="2043" t="s">
        <v>1780</v>
      </c>
      <c r="B8" s="2050" t="s">
        <v>3050</v>
      </c>
      <c r="C8" s="2051"/>
      <c r="D8" s="3083" t="s">
        <v>1781</v>
      </c>
      <c r="E8" s="2052" t="s">
        <v>3051</v>
      </c>
      <c r="F8" s="2053"/>
      <c r="G8" s="2021"/>
      <c r="H8" s="2021"/>
      <c r="I8" s="2021"/>
      <c r="J8" s="2037"/>
      <c r="K8" s="2038"/>
      <c r="L8" s="2023"/>
      <c r="M8" s="2023"/>
      <c r="N8" s="2024"/>
      <c r="O8" s="2025"/>
      <c r="P8" s="2024"/>
      <c r="Q8" s="2024"/>
      <c r="R8" s="2024"/>
    </row>
    <row r="9" spans="1:19" ht="18" customHeight="1" thickBot="1">
      <c r="A9" s="2035" t="s">
        <v>1782</v>
      </c>
      <c r="B9" s="2054" t="s">
        <v>3051</v>
      </c>
      <c r="C9" s="2055"/>
      <c r="D9" s="3084"/>
      <c r="E9" s="2054" t="s">
        <v>1281</v>
      </c>
      <c r="F9" s="2056"/>
      <c r="G9" s="2057"/>
      <c r="H9" s="2057"/>
      <c r="I9" s="2057"/>
      <c r="J9" s="2037"/>
      <c r="K9" s="2049"/>
      <c r="L9" s="2023"/>
      <c r="M9" s="2023"/>
      <c r="N9" s="2024"/>
      <c r="O9" s="2025"/>
      <c r="P9" s="2024"/>
      <c r="Q9" s="2024"/>
      <c r="R9" s="2024"/>
    </row>
    <row r="10" spans="1:19" ht="18" customHeight="1" thickTop="1">
      <c r="A10" s="2058" t="s">
        <v>1783</v>
      </c>
      <c r="B10" s="2059" t="s">
        <v>3053</v>
      </c>
      <c r="C10" s="2060"/>
      <c r="D10" s="2042"/>
      <c r="E10" s="2061" t="s">
        <v>1784</v>
      </c>
      <c r="F10" s="2062"/>
      <c r="G10" s="2063"/>
      <c r="H10" s="2064"/>
      <c r="I10" s="2042"/>
      <c r="J10" s="2037"/>
      <c r="K10" s="2049"/>
      <c r="L10" s="2023"/>
      <c r="M10" s="2023"/>
      <c r="N10" s="2024"/>
      <c r="O10" s="2025"/>
      <c r="P10" s="2024"/>
      <c r="Q10" s="2024"/>
      <c r="R10" s="2024"/>
    </row>
    <row r="11" spans="1:19" ht="18" customHeight="1">
      <c r="A11" s="2065" t="s">
        <v>1785</v>
      </c>
      <c r="B11" s="2066" t="s">
        <v>3052</v>
      </c>
      <c r="C11" s="2067"/>
      <c r="D11" s="2068"/>
      <c r="E11" s="2037"/>
      <c r="F11" s="2037"/>
      <c r="G11" s="2037"/>
      <c r="H11" s="2037"/>
      <c r="I11" s="2037"/>
      <c r="J11" s="2037"/>
      <c r="K11" s="2049"/>
      <c r="L11" s="2023"/>
      <c r="M11" s="2023"/>
      <c r="N11" s="2024"/>
      <c r="O11" s="2025"/>
      <c r="P11" s="2024"/>
      <c r="Q11" s="2024"/>
      <c r="R11" s="2024"/>
    </row>
    <row r="12" spans="1:19" ht="18" customHeight="1">
      <c r="A12" s="2069" t="s">
        <v>1786</v>
      </c>
      <c r="B12" s="2066" t="s">
        <v>3054</v>
      </c>
      <c r="C12" s="2070" t="s">
        <v>1787</v>
      </c>
      <c r="D12" s="2071" t="s">
        <v>1788</v>
      </c>
      <c r="E12" s="2071" t="s">
        <v>1789</v>
      </c>
      <c r="F12" s="2071" t="s">
        <v>1790</v>
      </c>
      <c r="G12" s="2071" t="s">
        <v>1791</v>
      </c>
      <c r="H12" s="2071" t="s">
        <v>1792</v>
      </c>
      <c r="I12" s="2071" t="s">
        <v>1793</v>
      </c>
      <c r="J12" s="2037"/>
      <c r="K12" s="2049"/>
      <c r="L12" s="2023"/>
      <c r="M12" s="2023"/>
      <c r="N12" s="2024"/>
      <c r="O12" s="2025"/>
      <c r="P12" s="2024"/>
      <c r="Q12" s="2024"/>
      <c r="R12" s="2024"/>
    </row>
    <row r="13" spans="1:19" ht="18" customHeight="1">
      <c r="A13" s="2072"/>
      <c r="B13" s="2073"/>
      <c r="C13" s="2074" t="s">
        <v>1794</v>
      </c>
      <c r="D13" s="2075">
        <v>67671</v>
      </c>
      <c r="E13" s="2075">
        <v>56713</v>
      </c>
      <c r="F13" s="2075"/>
      <c r="G13" s="2075"/>
      <c r="H13" s="2075"/>
      <c r="I13" s="1042"/>
      <c r="J13" s="2037"/>
      <c r="K13" s="2049"/>
      <c r="L13" s="2023"/>
      <c r="M13" s="2023"/>
      <c r="N13" s="2024"/>
      <c r="O13" s="2025"/>
      <c r="P13" s="2024"/>
      <c r="Q13" s="2024"/>
      <c r="R13" s="2024"/>
    </row>
    <row r="14" spans="1:19" ht="18" customHeight="1">
      <c r="A14" s="2072"/>
      <c r="B14" s="2073"/>
      <c r="C14" s="2074" t="s">
        <v>1795</v>
      </c>
      <c r="D14" s="1045">
        <v>70</v>
      </c>
      <c r="E14" s="1045">
        <v>40</v>
      </c>
      <c r="F14" s="1045"/>
      <c r="G14" s="1045"/>
      <c r="H14" s="1045"/>
      <c r="I14" s="1045"/>
      <c r="J14" s="2037"/>
      <c r="K14" s="2076"/>
      <c r="L14" s="2023"/>
      <c r="M14" s="2023"/>
      <c r="N14" s="2024"/>
      <c r="O14" s="2025"/>
      <c r="P14" s="2024"/>
      <c r="Q14" s="2024"/>
      <c r="R14" s="2024"/>
    </row>
    <row r="15" spans="1:19" ht="18" customHeight="1">
      <c r="A15" s="2058"/>
      <c r="B15" s="2077"/>
      <c r="C15" s="2074" t="s">
        <v>1796</v>
      </c>
      <c r="D15" s="1044">
        <f>IF(B12="出让",IF(D13="","",ROUNDDOWN(MIN((D13-$D$3)/365,D14),2)),D14)</f>
        <v>65.510000000000005</v>
      </c>
      <c r="E15" s="1044">
        <f>IF(B12="出让",IF(E13="","",ROUNDDOWN(MIN((E13-$D$3)/365,E14),2)),E14)</f>
        <v>35.49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1797</v>
      </c>
      <c r="B16" s="3090"/>
      <c r="C16" s="3091"/>
      <c r="D16" s="3092"/>
      <c r="E16" s="2081" t="s">
        <v>1798</v>
      </c>
      <c r="F16" s="3093"/>
      <c r="G16" s="3094"/>
      <c r="H16" s="3094"/>
      <c r="I16" s="3095"/>
      <c r="J16" s="2024"/>
      <c r="K16" s="2078"/>
      <c r="L16" s="2079"/>
      <c r="M16" s="2079"/>
      <c r="N16" s="2080"/>
      <c r="O16" s="2079"/>
      <c r="P16" s="2080"/>
      <c r="Q16" s="2024"/>
      <c r="R16" s="2024"/>
    </row>
    <row r="17" spans="1:22" ht="18" customHeight="1">
      <c r="A17" s="2082" t="s">
        <v>1799</v>
      </c>
      <c r="B17" s="2030" t="s">
        <v>1800</v>
      </c>
      <c r="C17" s="1049">
        <f>'数据-汇总表'!E3</f>
        <v>71473.9099999998</v>
      </c>
      <c r="D17" s="2083" t="s">
        <v>1801</v>
      </c>
      <c r="E17" s="3096" t="s">
        <v>1802</v>
      </c>
      <c r="F17" s="3097"/>
      <c r="G17" s="3097"/>
      <c r="H17" s="3097"/>
      <c r="I17" s="3098"/>
      <c r="J17" s="2024"/>
      <c r="K17" s="2084"/>
      <c r="L17" s="2079"/>
      <c r="M17" s="2079"/>
      <c r="N17" s="2080"/>
      <c r="O17" s="2079"/>
      <c r="P17" s="2080"/>
      <c r="Q17" s="2024"/>
      <c r="R17" s="2024"/>
      <c r="S17" s="2024"/>
      <c r="T17" s="2024"/>
      <c r="U17" s="2024"/>
      <c r="V17" s="2024"/>
    </row>
    <row r="18" spans="1:22" ht="36" customHeight="1" thickBot="1">
      <c r="A18" s="2085" t="s">
        <v>1803</v>
      </c>
      <c r="B18" s="2033" t="s">
        <v>1804</v>
      </c>
      <c r="C18" s="1439">
        <f>'数据-汇总表'!D3</f>
        <v>63815.99</v>
      </c>
      <c r="D18" s="2086" t="s">
        <v>1801</v>
      </c>
      <c r="E18" s="3099" t="s">
        <v>1805</v>
      </c>
      <c r="F18" s="3100"/>
      <c r="G18" s="3100"/>
      <c r="H18" s="3100"/>
      <c r="I18" s="3101"/>
      <c r="J18" s="2024"/>
      <c r="K18" s="2084"/>
      <c r="L18" s="2079"/>
      <c r="M18" s="2079"/>
      <c r="N18" s="2080"/>
      <c r="O18" s="2079"/>
      <c r="P18" s="2080"/>
      <c r="Q18" s="2024"/>
      <c r="R18" s="2024"/>
      <c r="S18" s="2024"/>
      <c r="T18" s="2024"/>
      <c r="U18" s="2024"/>
      <c r="V18" s="2024"/>
    </row>
    <row r="19" spans="1:22" ht="37.5" customHeight="1" thickTop="1" thickBot="1">
      <c r="A19" s="372" t="s">
        <v>1806</v>
      </c>
      <c r="B19" s="351" t="s">
        <v>1807</v>
      </c>
      <c r="C19" s="2087"/>
      <c r="D19" s="2088" t="s">
        <v>1808</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1809</v>
      </c>
      <c r="B20" s="3086" t="s">
        <v>1810</v>
      </c>
      <c r="C20" s="3087"/>
      <c r="D20" s="3088" t="s">
        <v>1811</v>
      </c>
      <c r="E20" s="3089"/>
      <c r="F20" s="2093" t="s">
        <v>1812</v>
      </c>
      <c r="G20" s="2037"/>
      <c r="H20" s="2037"/>
      <c r="I20" s="2037"/>
      <c r="J20" s="2037"/>
      <c r="K20" s="308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1814</v>
      </c>
      <c r="C21" s="2095" t="s">
        <v>1815</v>
      </c>
      <c r="D21" s="2096" t="s">
        <v>1816</v>
      </c>
      <c r="E21" s="2097" t="s">
        <v>1815</v>
      </c>
      <c r="F21" s="2098"/>
      <c r="G21" s="2037"/>
      <c r="H21" s="2037"/>
      <c r="I21" s="2037"/>
      <c r="J21" s="2037"/>
      <c r="K21" s="308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1817</v>
      </c>
      <c r="C22" s="2095" t="s">
        <v>1818</v>
      </c>
      <c r="D22" s="2021"/>
      <c r="E22" s="2021"/>
      <c r="F22" s="2100"/>
      <c r="G22" s="2037"/>
      <c r="H22" s="2037"/>
      <c r="I22" s="2037"/>
      <c r="J22" s="2037"/>
      <c r="K22" s="308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1819</v>
      </c>
      <c r="B23" s="182" t="s">
        <v>1820</v>
      </c>
      <c r="C23" s="2102"/>
      <c r="D23" s="2103" t="s">
        <v>1820</v>
      </c>
      <c r="E23" s="2104"/>
      <c r="F23" s="2100"/>
      <c r="G23" s="2037"/>
      <c r="H23" s="2037"/>
      <c r="I23" s="2037"/>
      <c r="J23" s="2037"/>
      <c r="K23" s="2105"/>
      <c r="L23" s="747"/>
      <c r="M23" s="2023"/>
      <c r="N23" s="2080"/>
      <c r="O23" s="2079"/>
      <c r="P23" s="2080"/>
      <c r="Q23" s="2024"/>
      <c r="R23" s="2024"/>
      <c r="S23" s="2024"/>
      <c r="T23" s="2024"/>
      <c r="U23" s="2024"/>
      <c r="V23" s="2024"/>
    </row>
    <row r="24" spans="1:22" ht="18" customHeight="1">
      <c r="A24" s="2106"/>
      <c r="B24" s="182" t="s">
        <v>1821</v>
      </c>
      <c r="C24" s="2107"/>
      <c r="D24" s="2101" t="s">
        <v>1821</v>
      </c>
      <c r="E24" s="2108"/>
      <c r="F24" s="2100"/>
      <c r="G24" s="2037"/>
      <c r="H24" s="2037"/>
      <c r="I24" s="2037"/>
      <c r="J24" s="2037"/>
      <c r="K24" s="2105"/>
      <c r="L24" s="747"/>
      <c r="M24" s="2023"/>
      <c r="N24" s="2080"/>
      <c r="O24" s="2079"/>
      <c r="P24" s="2080"/>
      <c r="Q24" s="2024"/>
      <c r="R24" s="2024"/>
      <c r="S24" s="2024"/>
      <c r="T24" s="2024"/>
      <c r="U24" s="2024"/>
      <c r="V24" s="2024"/>
    </row>
    <row r="25" spans="1:22" ht="18" customHeight="1">
      <c r="A25" s="2106"/>
      <c r="B25" s="182" t="s">
        <v>1822</v>
      </c>
      <c r="C25" s="2107"/>
      <c r="D25" s="2101" t="s">
        <v>1822</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1823</v>
      </c>
      <c r="C26" s="2111"/>
      <c r="D26" s="2112" t="s">
        <v>1824</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103" t="s">
        <v>1825</v>
      </c>
      <c r="B27" s="2058" t="s">
        <v>1826</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103"/>
      <c r="B28" s="2030" t="s">
        <v>1827</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103"/>
      <c r="B29" s="2030" t="s">
        <v>1828</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104"/>
      <c r="B30" s="2030" t="s">
        <v>1829</v>
      </c>
      <c r="C30" s="3105"/>
      <c r="D30" s="3106"/>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107" t="s">
        <v>1830</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108"/>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108"/>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1831</v>
      </c>
      <c r="B34" s="2129"/>
      <c r="C34" s="2129"/>
      <c r="D34" s="2129"/>
      <c r="E34" s="2129"/>
      <c r="F34" s="2129"/>
      <c r="G34" s="2129"/>
      <c r="H34" s="2129"/>
      <c r="I34" s="2037"/>
      <c r="J34" s="2037"/>
      <c r="K34" s="1790">
        <f>COUNTIF(B34:H34,"——")</f>
        <v>0</v>
      </c>
      <c r="L34" s="2070" t="s">
        <v>1832</v>
      </c>
      <c r="M34" s="2070" t="s">
        <v>1833</v>
      </c>
      <c r="N34" s="2070" t="s">
        <v>1834</v>
      </c>
      <c r="O34" s="2070" t="s">
        <v>1835</v>
      </c>
      <c r="P34" s="2070" t="s">
        <v>1836</v>
      </c>
      <c r="Q34" s="2070" t="s">
        <v>1837</v>
      </c>
      <c r="R34" s="2070" t="s">
        <v>1838</v>
      </c>
      <c r="S34" s="3102" t="s">
        <v>1839</v>
      </c>
      <c r="T34" s="2130" t="str">
        <f>NUMBERSTRING(7-K34,1)&amp;"通"</f>
        <v>七通</v>
      </c>
      <c r="U34" s="2024"/>
      <c r="V34" s="2024"/>
    </row>
    <row r="35" spans="1:22" ht="18" customHeight="1">
      <c r="A35" s="2131"/>
      <c r="B35" s="3109" t="s">
        <v>1840</v>
      </c>
      <c r="C35" s="3109"/>
      <c r="D35" s="3109"/>
      <c r="E35" s="3109"/>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24"/>
      <c r="V35" s="2024"/>
    </row>
    <row r="36" spans="1:22" ht="18" customHeight="1">
      <c r="A36" s="2133"/>
      <c r="B36" s="2132" t="s">
        <v>1841</v>
      </c>
      <c r="C36" s="2132" t="s">
        <v>1842</v>
      </c>
      <c r="D36" s="2132" t="s">
        <v>1843</v>
      </c>
      <c r="E36" s="2132" t="s">
        <v>1844</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1845</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1846</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1848</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1849</v>
      </c>
      <c r="B42" s="1790" t="s">
        <v>1850</v>
      </c>
      <c r="C42" s="1790" t="s">
        <v>1851</v>
      </c>
      <c r="D42" s="1790" t="s">
        <v>1852</v>
      </c>
      <c r="E42" s="1790" t="s">
        <v>1853</v>
      </c>
      <c r="F42" s="1790" t="s">
        <v>1854</v>
      </c>
      <c r="G42" s="1790" t="s">
        <v>1855</v>
      </c>
      <c r="H42" s="1790" t="s">
        <v>1856</v>
      </c>
      <c r="I42" s="1790" t="s">
        <v>1857</v>
      </c>
      <c r="J42" s="2148" t="s">
        <v>1858</v>
      </c>
      <c r="K42" s="2071" t="s">
        <v>1859</v>
      </c>
      <c r="L42" s="2071" t="s">
        <v>1860</v>
      </c>
      <c r="M42" s="2071" t="s">
        <v>1861</v>
      </c>
      <c r="N42" s="1790" t="s">
        <v>1862</v>
      </c>
      <c r="O42" s="1790" t="s">
        <v>1863</v>
      </c>
      <c r="P42" s="1790" t="s">
        <v>1864</v>
      </c>
      <c r="Q42" s="2070" t="s">
        <v>1865</v>
      </c>
      <c r="R42" s="2070" t="s">
        <v>1866</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9.37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46" width="9.5" style="2155" hidden="1" customWidth="1"/>
    <col min="47" max="47" width="18.125" style="2155" hidden="1"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1872</v>
      </c>
      <c r="AZ2" s="1265"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B3/1.12</f>
        <v>63815.991071428383</v>
      </c>
      <c r="B3" s="14">
        <f>IF(C3="否",G5-AT5,G5)</f>
        <v>71473.9099999998</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798"/>
      <c r="C5" s="1798"/>
      <c r="D5" s="1801"/>
      <c r="E5" s="16" t="s">
        <v>1</v>
      </c>
      <c r="F5" s="16">
        <f>SUM(F13:F587)</f>
        <v>0</v>
      </c>
      <c r="G5" s="16">
        <f>SUM(G13:G587)</f>
        <v>71473.9099999998</v>
      </c>
      <c r="H5" s="16">
        <f t="shared" ref="H5:AT5" si="0">SUM(H13:H656)</f>
        <v>71473.9099999998</v>
      </c>
      <c r="I5" s="16">
        <f t="shared" si="0"/>
        <v>63909.9099999998</v>
      </c>
      <c r="J5" s="16">
        <f t="shared" si="0"/>
        <v>0</v>
      </c>
      <c r="K5" s="16">
        <f t="shared" si="0"/>
        <v>5353.1299999999992</v>
      </c>
      <c r="L5" s="16">
        <f t="shared" si="0"/>
        <v>0</v>
      </c>
      <c r="M5" s="16">
        <f t="shared" si="0"/>
        <v>2210.87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71473.9099999998</v>
      </c>
      <c r="BA5" s="18">
        <f t="shared" si="1"/>
        <v>71473.9099999998</v>
      </c>
      <c r="BB5" s="18">
        <f t="shared" si="1"/>
        <v>63909.9099999998</v>
      </c>
      <c r="BC5" s="18">
        <f t="shared" si="1"/>
        <v>5353.1299999999992</v>
      </c>
      <c r="BD5" s="18">
        <f t="shared" si="1"/>
        <v>2210.87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63815.99</v>
      </c>
      <c r="F6" s="16" t="s">
        <v>1</v>
      </c>
      <c r="G6" s="16" t="s">
        <v>2</v>
      </c>
      <c r="H6" s="20">
        <f>SUMIF(I$12:AB$12,"总值",I6:AB6)</f>
        <v>63815.99</v>
      </c>
      <c r="I6" s="16">
        <f t="shared" ref="I6:AB6" si="2">ROUND($A$3*I5/$B$3,2)</f>
        <v>57062.42</v>
      </c>
      <c r="J6" s="16">
        <f t="shared" si="2"/>
        <v>0</v>
      </c>
      <c r="K6" s="16">
        <f t="shared" si="2"/>
        <v>4779.58</v>
      </c>
      <c r="L6" s="16">
        <f t="shared" si="2"/>
        <v>0</v>
      </c>
      <c r="M6" s="16">
        <f t="shared" si="2"/>
        <v>1973.99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63815.99</v>
      </c>
      <c r="AZ6" s="16" t="s">
        <v>3</v>
      </c>
      <c r="BA6" s="16">
        <f>ROUND($AY$6*BA5/$AZ$5,2)</f>
        <v>63815.99</v>
      </c>
      <c r="BB6" s="16">
        <f>ROUND($AY$6*BB5/$AZ$5,2)</f>
        <v>57062.42</v>
      </c>
      <c r="BC6" s="16">
        <f t="shared" ref="BC6:BH6" si="4">ROUND($AY$6*BC5/$AZ$5,2)</f>
        <v>4779.58</v>
      </c>
      <c r="BD6" s="16">
        <f t="shared" si="4"/>
        <v>1973.99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1885</v>
      </c>
      <c r="AV7" s="23" t="s">
        <v>1886</v>
      </c>
      <c r="AW7" s="2162" t="s">
        <v>1887</v>
      </c>
      <c r="AX7" s="23" t="s">
        <v>1880</v>
      </c>
      <c r="AY7" s="1798"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3"/>
      <c r="K8" s="1813"/>
      <c r="L8" s="1813"/>
      <c r="M8" s="1813"/>
      <c r="N8" s="1813"/>
      <c r="O8" s="1813"/>
      <c r="P8" s="1813"/>
      <c r="Q8" s="1813"/>
      <c r="R8" s="1813"/>
      <c r="S8" s="1813"/>
      <c r="T8" s="1813"/>
      <c r="U8" s="1813"/>
      <c r="V8" s="2182"/>
      <c r="W8" s="1813"/>
      <c r="X8" s="1813"/>
      <c r="Y8" s="1813"/>
      <c r="Z8" s="1813"/>
      <c r="AA8" s="2182"/>
      <c r="AB8" s="2183"/>
      <c r="AC8" s="976" t="s">
        <v>1891</v>
      </c>
      <c r="AD8" s="2184"/>
      <c r="AE8" s="2176"/>
      <c r="AF8" s="1813"/>
      <c r="AG8" s="1813"/>
      <c r="AH8" s="1813"/>
      <c r="AI8" s="1813"/>
      <c r="AJ8" s="1813"/>
      <c r="AK8" s="1813"/>
      <c r="AL8" s="1813"/>
      <c r="AM8" s="1813"/>
      <c r="AN8" s="1813"/>
      <c r="AO8" s="1813"/>
      <c r="AP8" s="1813"/>
      <c r="AQ8" s="1813"/>
      <c r="AR8" s="1813"/>
      <c r="AS8" s="1813"/>
      <c r="AT8" s="1287" t="s">
        <v>1892</v>
      </c>
      <c r="AU8" s="2178" t="s">
        <v>1893</v>
      </c>
      <c r="AV8" s="1287"/>
      <c r="AW8" s="2161"/>
      <c r="AX8" s="1287"/>
      <c r="AY8" s="2162"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1896</v>
      </c>
      <c r="I9" s="2187" t="s">
        <v>3089</v>
      </c>
      <c r="J9" s="976"/>
      <c r="K9" s="2187" t="s">
        <v>3089</v>
      </c>
      <c r="L9" s="976"/>
      <c r="M9" s="2187" t="s">
        <v>3089</v>
      </c>
      <c r="N9" s="976"/>
      <c r="O9" s="2187"/>
      <c r="P9" s="976"/>
      <c r="Q9" s="2187"/>
      <c r="R9" s="976"/>
      <c r="S9" s="2187"/>
      <c r="T9" s="976"/>
      <c r="U9" s="2187"/>
      <c r="V9" s="976"/>
      <c r="W9" s="2187"/>
      <c r="X9" s="2188"/>
      <c r="Y9" s="2187"/>
      <c r="Z9" s="976"/>
      <c r="AA9" s="2187"/>
      <c r="AB9" s="976"/>
      <c r="AC9" s="2179" t="s">
        <v>1896</v>
      </c>
      <c r="AD9" s="15" t="s">
        <v>1897</v>
      </c>
      <c r="AE9" s="1293"/>
      <c r="AF9" s="15" t="s">
        <v>1898</v>
      </c>
      <c r="AG9" s="1293"/>
      <c r="AH9" s="15" t="s">
        <v>1897</v>
      </c>
      <c r="AI9" s="1293"/>
      <c r="AJ9" s="15" t="s">
        <v>1898</v>
      </c>
      <c r="AK9" s="1293"/>
      <c r="AL9" s="15" t="s">
        <v>1897</v>
      </c>
      <c r="AM9" s="1293"/>
      <c r="AN9" s="15" t="s">
        <v>1898</v>
      </c>
      <c r="AO9" s="1293"/>
      <c r="AP9" s="15" t="s">
        <v>1897</v>
      </c>
      <c r="AQ9" s="1293"/>
      <c r="AR9" s="15" t="s">
        <v>1898</v>
      </c>
      <c r="AS9" s="2189"/>
      <c r="AT9" s="2178"/>
      <c r="AU9" s="2178" t="s">
        <v>1899</v>
      </c>
      <c r="AV9" s="1287"/>
      <c r="AW9" s="2161"/>
      <c r="AX9" s="1287"/>
      <c r="AY9" s="28"/>
      <c r="AZ9" s="28" t="s">
        <v>1889</v>
      </c>
      <c r="BA9" s="2190" t="s">
        <v>1900</v>
      </c>
      <c r="BB9" s="2191"/>
      <c r="BC9" s="1333"/>
      <c r="BD9" s="1333"/>
      <c r="BE9" s="1333"/>
      <c r="BF9" s="1333"/>
      <c r="BG9" s="1333"/>
      <c r="BH9" s="1333"/>
      <c r="BI9" s="1333"/>
      <c r="BJ9" s="1333"/>
      <c r="BK9" s="2192"/>
      <c r="BL9" s="15" t="s">
        <v>1901</v>
      </c>
      <c r="BM9" s="1813"/>
      <c r="BN9" s="2181"/>
      <c r="BO9" s="1813"/>
      <c r="BP9" s="1813"/>
      <c r="BQ9" s="1813"/>
      <c r="BR9" s="1813"/>
      <c r="BS9" s="1813"/>
      <c r="BT9" s="26"/>
    </row>
    <row r="10" spans="1:72" s="2185" customFormat="1" ht="12.75">
      <c r="A10" s="2178"/>
      <c r="B10" s="2178"/>
      <c r="C10" s="2178"/>
      <c r="D10" s="2178"/>
      <c r="E10" s="2178"/>
      <c r="F10" s="2178"/>
      <c r="G10" s="1287"/>
      <c r="H10" s="28"/>
      <c r="I10" s="2187" t="s">
        <v>3055</v>
      </c>
      <c r="J10" s="976"/>
      <c r="K10" s="2193" t="s">
        <v>1373</v>
      </c>
      <c r="L10" s="976"/>
      <c r="M10" s="2193" t="s">
        <v>1373</v>
      </c>
      <c r="N10" s="976"/>
      <c r="O10" s="2193"/>
      <c r="P10" s="976"/>
      <c r="Q10" s="2193"/>
      <c r="R10" s="976"/>
      <c r="S10" s="2193"/>
      <c r="T10" s="976"/>
      <c r="U10" s="2193"/>
      <c r="V10" s="976"/>
      <c r="W10" s="2193"/>
      <c r="X10" s="976"/>
      <c r="Y10" s="2193"/>
      <c r="Z10" s="976"/>
      <c r="AA10" s="2193"/>
      <c r="AB10" s="976"/>
      <c r="AC10" s="1287"/>
      <c r="AD10" s="15" t="s">
        <v>1902</v>
      </c>
      <c r="AE10" s="2194"/>
      <c r="AF10" s="15" t="s">
        <v>1902</v>
      </c>
      <c r="AG10" s="2194"/>
      <c r="AH10" s="15" t="s">
        <v>1903</v>
      </c>
      <c r="AI10" s="2194"/>
      <c r="AJ10" s="15" t="s">
        <v>1903</v>
      </c>
      <c r="AK10" s="2194"/>
      <c r="AL10" s="15" t="s">
        <v>1904</v>
      </c>
      <c r="AM10" s="1293"/>
      <c r="AN10" s="15" t="s">
        <v>1904</v>
      </c>
      <c r="AO10" s="1293"/>
      <c r="AP10" s="15" t="s">
        <v>1905</v>
      </c>
      <c r="AQ10" s="1293"/>
      <c r="AR10" s="15" t="s">
        <v>1905</v>
      </c>
      <c r="AS10" s="1293"/>
      <c r="AT10" s="2178"/>
      <c r="AU10" s="2178"/>
      <c r="AV10" s="1287"/>
      <c r="AW10" s="2161"/>
      <c r="AX10" s="1287"/>
      <c r="AY10" s="28"/>
      <c r="AZ10" s="28"/>
      <c r="BA10" s="2195" t="s">
        <v>1896</v>
      </c>
      <c r="BB10" s="2196"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t="s">
        <v>3061</v>
      </c>
      <c r="J11" s="2199"/>
      <c r="K11" s="2198" t="s">
        <v>3090</v>
      </c>
      <c r="L11" s="2199"/>
      <c r="M11" s="2198" t="s">
        <v>3105</v>
      </c>
      <c r="N11" s="2199"/>
      <c r="O11" s="2198"/>
      <c r="P11" s="2199"/>
      <c r="Q11" s="2198"/>
      <c r="R11" s="2199"/>
      <c r="S11" s="2198"/>
      <c r="T11" s="2199"/>
      <c r="U11" s="2198"/>
      <c r="V11" s="2199"/>
      <c r="W11" s="2198"/>
      <c r="X11" s="2199"/>
      <c r="Y11" s="2198"/>
      <c r="Z11" s="2199"/>
      <c r="AA11" s="2198"/>
      <c r="AB11" s="2199"/>
      <c r="AC11" s="1287"/>
      <c r="AD11" s="2200" t="s">
        <v>1906</v>
      </c>
      <c r="AE11" s="1814"/>
      <c r="AF11" s="2200" t="s">
        <v>1906</v>
      </c>
      <c r="AG11" s="1814"/>
      <c r="AH11" s="2200" t="s">
        <v>1907</v>
      </c>
      <c r="AI11" s="2201"/>
      <c r="AJ11" s="2200" t="s">
        <v>1907</v>
      </c>
      <c r="AK11" s="1814"/>
      <c r="AL11" s="1812"/>
      <c r="AM11" s="1814"/>
      <c r="AN11" s="1812"/>
      <c r="AO11" s="1814"/>
      <c r="AP11" s="1812"/>
      <c r="AQ11" s="1814"/>
      <c r="AR11" s="1812"/>
      <c r="AS11" s="1814"/>
      <c r="AT11" s="2161"/>
      <c r="AU11" s="2178"/>
      <c r="AV11" s="1287"/>
      <c r="AW11" s="2161"/>
      <c r="AX11" s="1287"/>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5"/>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洋房</v>
      </c>
      <c r="BC12" s="2208" t="str">
        <f>K11</f>
        <v>底商</v>
      </c>
      <c r="BD12" s="2208" t="str">
        <f>M11</f>
        <v>独立商业</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2.75">
      <c r="A13" s="1267"/>
      <c r="B13" s="1267"/>
      <c r="C13" s="1267"/>
      <c r="D13" s="2209" t="s">
        <v>3091</v>
      </c>
      <c r="E13" s="16">
        <f>IF($C$3="是",ROUND($A$3*G13/$B$3,2),ROUND($A$3*(G13-AT13)/$B$3,2))</f>
        <v>63815.99</v>
      </c>
      <c r="F13" s="32"/>
      <c r="G13" s="33">
        <f>H13+AC13+AT13</f>
        <v>71473.9099999998</v>
      </c>
      <c r="H13" s="20">
        <f>SUMIF(I$12:AB$12,"总值",I13:AB13)</f>
        <v>71473.9099999998</v>
      </c>
      <c r="I13" s="2210">
        <f>抵押物清单9.26!F755+'10.26新增'!F174</f>
        <v>63909.9099999998</v>
      </c>
      <c r="J13" s="2210"/>
      <c r="K13" s="2210">
        <f>抵押物清单9.26!F756</f>
        <v>5353.1299999999992</v>
      </c>
      <c r="L13" s="2210"/>
      <c r="M13" s="2210">
        <f>抵押物清单9.26!F757</f>
        <v>2210.87</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1">
        <f>ROUND($AY$6*AZ13/$AZ$5,2)</f>
        <v>63815.99</v>
      </c>
      <c r="AZ13" s="16">
        <f>BA13+BL13</f>
        <v>71473.9099999998</v>
      </c>
      <c r="BA13" s="16">
        <f>SUM(BB13:BK13)</f>
        <v>71473.9099999998</v>
      </c>
      <c r="BB13" s="16">
        <f>IF($D13="是",I13-J13,0)</f>
        <v>63909.9099999998</v>
      </c>
      <c r="BC13" s="16">
        <f>IF($D13="是",K13-L13,0)</f>
        <v>5353.1299999999992</v>
      </c>
      <c r="BD13" s="16">
        <f>IF($D13="是",M13-N13,0)</f>
        <v>2210.87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87"/>
      <c r="C1" s="1387"/>
      <c r="D1" s="1387"/>
      <c r="E1" s="1387"/>
      <c r="F1" s="1387"/>
      <c r="G1" s="1387"/>
      <c r="H1" s="1387"/>
      <c r="I1" s="1387"/>
      <c r="J1" s="1387"/>
      <c r="K1" s="1387"/>
      <c r="L1" s="1387"/>
      <c r="M1" s="1387"/>
      <c r="N1" s="1387"/>
      <c r="O1" s="1387"/>
      <c r="P1" s="1387"/>
    </row>
    <row r="2" spans="1:16" ht="15">
      <c r="A2" s="3121" t="s">
        <v>1936</v>
      </c>
      <c r="B2" s="3121"/>
      <c r="C2" s="3121"/>
      <c r="D2" s="962" t="s">
        <v>1912</v>
      </c>
      <c r="E2" s="2223" t="s">
        <v>1913</v>
      </c>
      <c r="F2" s="1387"/>
      <c r="G2" s="2224"/>
      <c r="H2" s="2225"/>
      <c r="I2" s="2226" t="s">
        <v>1937</v>
      </c>
      <c r="J2" s="1387"/>
      <c r="K2" s="1387"/>
      <c r="L2" s="1387"/>
      <c r="M2" s="1387"/>
      <c r="N2" s="1422"/>
      <c r="O2" s="1387"/>
      <c r="P2" s="1387"/>
    </row>
    <row r="3" spans="1:16" ht="15.75" thickBot="1">
      <c r="A3" s="3122" t="s">
        <v>1910</v>
      </c>
      <c r="B3" s="3122"/>
      <c r="C3" s="3122"/>
      <c r="D3" s="46">
        <f>'数据-基础表'!AY6</f>
        <v>63815.99</v>
      </c>
      <c r="E3" s="46">
        <f>'数据-基础表'!AZ5</f>
        <v>71473.9099999998</v>
      </c>
      <c r="F3" s="1387"/>
      <c r="G3" s="1394"/>
      <c r="H3" s="1242" t="s">
        <v>1911</v>
      </c>
      <c r="I3" s="55">
        <f>ROUND('数据-基础表'!B3/'数据-基础表'!A3,2)</f>
        <v>1.1200000000000001</v>
      </c>
      <c r="J3" s="1387"/>
      <c r="K3" s="1387"/>
      <c r="L3" s="1387"/>
      <c r="M3" s="1387"/>
      <c r="N3" s="1422"/>
      <c r="O3" s="1387"/>
      <c r="P3" s="1387"/>
    </row>
    <row r="4" spans="1:16" ht="15">
      <c r="A4" s="3123"/>
      <c r="B4" s="3124"/>
      <c r="C4" s="3125"/>
      <c r="D4" s="2227" t="s">
        <v>1912</v>
      </c>
      <c r="E4" s="2228" t="s">
        <v>1913</v>
      </c>
      <c r="F4" s="1387"/>
      <c r="G4" s="2229" t="s">
        <v>1938</v>
      </c>
      <c r="H4" s="1242" t="s">
        <v>1918</v>
      </c>
      <c r="I4" s="55">
        <f>ROUND(SUMIF('数据-基础表'!I9:AS9,"地上",'数据-基础表'!I5:AS5)/'数据-基础表'!A3,2)</f>
        <v>1.1200000000000001</v>
      </c>
      <c r="J4" s="1387"/>
      <c r="K4" s="1387"/>
      <c r="L4" s="1387"/>
      <c r="M4" s="1387"/>
      <c r="N4" s="1422"/>
      <c r="O4" s="1387"/>
      <c r="P4" s="1387"/>
    </row>
    <row r="5" spans="1:16">
      <c r="A5" s="47" t="s">
        <v>1914</v>
      </c>
      <c r="B5" s="3126" t="s">
        <v>1915</v>
      </c>
      <c r="C5" s="3126"/>
      <c r="D5" s="48">
        <f>ROUND($D$3*E5/$E$3,2)</f>
        <v>57062.42</v>
      </c>
      <c r="E5" s="49">
        <f>SUMIF('数据-基础表'!$11:$11,"住宅",'数据-基础表'!$5:$5)</f>
        <v>63909.9099999998</v>
      </c>
      <c r="F5" s="1387"/>
      <c r="G5" s="1394"/>
      <c r="H5" s="1242" t="s">
        <v>1911</v>
      </c>
      <c r="I5" s="55">
        <f>ROUND(E31/D31,2)</f>
        <v>1.1200000000000001</v>
      </c>
      <c r="J5" s="1387"/>
      <c r="K5" s="1387"/>
      <c r="L5" s="1387"/>
      <c r="M5" s="1387"/>
      <c r="N5" s="1387"/>
      <c r="O5" s="1387"/>
      <c r="P5" s="1387"/>
    </row>
    <row r="6" spans="1:16" ht="15" thickBot="1">
      <c r="A6" s="2230"/>
      <c r="B6" s="3126" t="s">
        <v>1916</v>
      </c>
      <c r="C6" s="3126"/>
      <c r="D6" s="48">
        <f>ROUND($D$3*E6/$E$3,2)</f>
        <v>6753.57</v>
      </c>
      <c r="E6" s="49">
        <f>E3-E5</f>
        <v>7564</v>
      </c>
      <c r="F6" s="1387"/>
      <c r="G6" s="2231" t="s">
        <v>1917</v>
      </c>
      <c r="H6" s="1394" t="s">
        <v>1918</v>
      </c>
      <c r="I6" s="934">
        <f>ROUND(F31/D31,2)</f>
        <v>1.1200000000000001</v>
      </c>
      <c r="J6" s="1387"/>
      <c r="K6" s="1387"/>
      <c r="L6" s="1387"/>
      <c r="M6" s="1387"/>
      <c r="N6" s="1387"/>
      <c r="O6" s="1387"/>
      <c r="P6" s="1387"/>
    </row>
    <row r="7" spans="1:16" ht="15">
      <c r="A7" s="3118"/>
      <c r="B7" s="3119"/>
      <c r="C7" s="3120"/>
      <c r="D7" s="2227" t="s">
        <v>1912</v>
      </c>
      <c r="E7" s="2232" t="s">
        <v>1919</v>
      </c>
      <c r="F7" s="1387"/>
      <c r="G7" s="2224" t="s">
        <v>1920</v>
      </c>
      <c r="H7" s="64"/>
      <c r="I7" s="419"/>
      <c r="J7" s="1387"/>
      <c r="K7" s="1387"/>
      <c r="L7" s="1387"/>
      <c r="M7" s="1387"/>
      <c r="N7" s="1387"/>
      <c r="O7" s="1387"/>
      <c r="P7" s="1387"/>
    </row>
    <row r="8" spans="1:16">
      <c r="A8" s="47" t="s">
        <v>1921</v>
      </c>
      <c r="B8" s="50" t="s">
        <v>1922</v>
      </c>
      <c r="C8" s="48" t="s">
        <v>1923</v>
      </c>
      <c r="D8" s="48">
        <f t="shared" ref="D8:D15" si="0">ROUND($D$3*E8/$E$3,2)</f>
        <v>63815.99</v>
      </c>
      <c r="E8" s="51">
        <f>SUMIF('数据-基础表'!BB10:BK10,"地上",'数据-基础表'!BB5:BK5)</f>
        <v>71473.9099999998</v>
      </c>
      <c r="F8" s="1387"/>
      <c r="G8" s="2233"/>
      <c r="H8" s="2233"/>
      <c r="I8" s="1387"/>
      <c r="J8" s="1387"/>
      <c r="K8" s="1387"/>
      <c r="L8" s="1387"/>
      <c r="M8" s="1387"/>
      <c r="N8" s="1387"/>
      <c r="O8" s="1387"/>
      <c r="P8" s="1387"/>
    </row>
    <row r="9" spans="1:16">
      <c r="A9" s="2234"/>
      <c r="B9" s="2235"/>
      <c r="C9" s="48" t="s">
        <v>1924</v>
      </c>
      <c r="D9" s="48">
        <f t="shared" si="0"/>
        <v>0</v>
      </c>
      <c r="E9" s="52">
        <v>0</v>
      </c>
      <c r="F9" s="1387"/>
      <c r="G9" s="2233"/>
      <c r="H9" s="2233"/>
      <c r="I9" s="1387"/>
      <c r="J9" s="1387"/>
      <c r="K9" s="1387"/>
      <c r="L9" s="1387"/>
      <c r="M9" s="1387"/>
      <c r="N9" s="1387"/>
      <c r="O9" s="1387"/>
      <c r="P9" s="1387"/>
    </row>
    <row r="10" spans="1:16">
      <c r="A10" s="2234"/>
      <c r="B10" s="2235"/>
      <c r="C10" s="48" t="s">
        <v>1933</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1925</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1926</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1927</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1939</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1934</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1928</v>
      </c>
      <c r="D16" s="50">
        <f>SUM(D8:D15)</f>
        <v>63815.99</v>
      </c>
      <c r="E16" s="53">
        <f>SUM(E8:E15)</f>
        <v>71473.9099999998</v>
      </c>
      <c r="F16" s="1387"/>
      <c r="G16" s="2233"/>
      <c r="H16" s="2236" t="s">
        <v>1940</v>
      </c>
      <c r="I16" s="2237"/>
      <c r="J16" s="1387"/>
      <c r="K16" s="3115" t="s">
        <v>1940</v>
      </c>
      <c r="L16" s="3116"/>
      <c r="M16" s="3116"/>
      <c r="N16" s="3116"/>
      <c r="O16" s="3116"/>
      <c r="P16" s="3117"/>
    </row>
    <row r="17" spans="1:19" ht="15">
      <c r="A17" s="2238" t="s">
        <v>1941</v>
      </c>
      <c r="B17" s="2239" t="s">
        <v>1942</v>
      </c>
      <c r="C17" s="2240" t="s">
        <v>1943</v>
      </c>
      <c r="D17" s="2241" t="s">
        <v>1931</v>
      </c>
      <c r="E17" s="2242" t="s">
        <v>1932</v>
      </c>
      <c r="F17" s="2243"/>
      <c r="G17" s="2244"/>
      <c r="H17" s="2245" t="s">
        <v>1944</v>
      </c>
      <c r="I17" s="2246" t="s">
        <v>1929</v>
      </c>
      <c r="J17" s="1387"/>
      <c r="K17" s="3112" t="s">
        <v>1945</v>
      </c>
      <c r="L17" s="3113"/>
      <c r="M17" s="3114"/>
      <c r="N17" s="3112" t="s">
        <v>1946</v>
      </c>
      <c r="O17" s="3113"/>
      <c r="P17" s="3114"/>
      <c r="R17" s="2224" t="s">
        <v>1947</v>
      </c>
      <c r="S17" s="64"/>
    </row>
    <row r="18" spans="1:19" ht="15">
      <c r="A18" s="2234"/>
      <c r="B18" s="2247"/>
      <c r="C18" s="2248"/>
      <c r="D18" s="2249"/>
      <c r="E18" s="2250" t="s">
        <v>1948</v>
      </c>
      <c r="F18" s="2251" t="s">
        <v>1949</v>
      </c>
      <c r="G18" s="2252" t="s">
        <v>1950</v>
      </c>
      <c r="H18" s="1257" t="s">
        <v>1951</v>
      </c>
      <c r="I18" s="2253" t="s">
        <v>1952</v>
      </c>
      <c r="J18" s="1387"/>
      <c r="K18" s="1257" t="s">
        <v>1953</v>
      </c>
      <c r="L18" s="2254" t="s">
        <v>1954</v>
      </c>
      <c r="M18" s="1041" t="s">
        <v>1955</v>
      </c>
      <c r="N18" s="1257" t="s">
        <v>1953</v>
      </c>
      <c r="O18" s="2254" t="s">
        <v>1954</v>
      </c>
      <c r="P18" s="1041" t="s">
        <v>1955</v>
      </c>
      <c r="R18" s="1242" t="s">
        <v>1956</v>
      </c>
      <c r="S18" s="1242" t="s">
        <v>1957</v>
      </c>
    </row>
    <row r="19" spans="1:19">
      <c r="A19" s="2255"/>
      <c r="B19" s="50" t="s">
        <v>1930</v>
      </c>
      <c r="C19" s="2256" t="str">
        <f>'数据-基础表'!I11</f>
        <v>洋房</v>
      </c>
      <c r="D19" s="48">
        <f>ROUND($D$3*E19/$E$3,2)</f>
        <v>57062.42</v>
      </c>
      <c r="E19" s="56">
        <f t="shared" ref="E19:E26" si="1">SUM(F19:G19)</f>
        <v>63909.9099999998</v>
      </c>
      <c r="F19" s="57">
        <f>'数据-基础表'!I13</f>
        <v>63909.9099999998</v>
      </c>
      <c r="G19" s="58"/>
      <c r="H19" s="722">
        <f>ROUND($D$3*I19/$E$3,2)</f>
        <v>0</v>
      </c>
      <c r="I19" s="51">
        <f t="shared" ref="I19:I26" si="2">IF($I$17="自定义",P19,M19)</f>
        <v>0</v>
      </c>
      <c r="J19" s="1387"/>
      <c r="K19" s="1386">
        <f t="shared" ref="K19:K26" si="3">ROUND(E$28*E19/E$27,2)</f>
        <v>0</v>
      </c>
      <c r="L19" s="1242">
        <f t="shared" ref="L19:L26" si="4">ROUND(IF(COUNTIF(C19,"*住宅*")&gt;0,E$29*E19/E$32,0),2)</f>
        <v>0</v>
      </c>
      <c r="M19" s="1398">
        <f>K19+L19</f>
        <v>0</v>
      </c>
      <c r="N19" s="2257"/>
      <c r="O19" s="2258"/>
      <c r="P19" s="1398">
        <f>N19+O19</f>
        <v>0</v>
      </c>
      <c r="R19" s="1242">
        <f t="shared" ref="R19:S26" si="5">D19+H19</f>
        <v>57062.42</v>
      </c>
      <c r="S19" s="1243">
        <f t="shared" si="5"/>
        <v>63909.9099999998</v>
      </c>
    </row>
    <row r="20" spans="1:19">
      <c r="A20" s="2259"/>
      <c r="B20" s="50" t="s">
        <v>1958</v>
      </c>
      <c r="C20" s="2256" t="str">
        <f>'数据-基础表'!K11</f>
        <v>底商</v>
      </c>
      <c r="D20" s="48">
        <f t="shared" ref="D20:D26" si="6">ROUND($D$3*E20/$E$3,2)</f>
        <v>4779.58</v>
      </c>
      <c r="E20" s="56">
        <f t="shared" si="1"/>
        <v>5353.1299999999992</v>
      </c>
      <c r="F20" s="57">
        <f>'数据-基础表'!K13</f>
        <v>5353.1299999999992</v>
      </c>
      <c r="G20" s="58"/>
      <c r="H20" s="722">
        <f t="shared" ref="H20:H26" si="7">ROUND($D$3*I20/$E$3,2)</f>
        <v>0</v>
      </c>
      <c r="I20" s="51">
        <f t="shared" si="2"/>
        <v>0</v>
      </c>
      <c r="J20" s="1387"/>
      <c r="K20" s="1386">
        <f t="shared" si="3"/>
        <v>0</v>
      </c>
      <c r="L20" s="1242">
        <f t="shared" si="4"/>
        <v>0</v>
      </c>
      <c r="M20" s="1398">
        <f t="shared" ref="M20:M26" si="8">K20+L20</f>
        <v>0</v>
      </c>
      <c r="N20" s="2257"/>
      <c r="O20" s="2258"/>
      <c r="P20" s="1398">
        <f t="shared" ref="P20:P26" si="9">N20+O20</f>
        <v>0</v>
      </c>
      <c r="R20" s="1242">
        <f t="shared" si="5"/>
        <v>4779.58</v>
      </c>
      <c r="S20" s="1243">
        <f t="shared" si="5"/>
        <v>5353.1299999999992</v>
      </c>
    </row>
    <row r="21" spans="1:19">
      <c r="A21" s="2259"/>
      <c r="B21" s="50" t="s">
        <v>1958</v>
      </c>
      <c r="C21" s="2256" t="str">
        <f>'数据-基础表'!M11</f>
        <v>独立商业</v>
      </c>
      <c r="D21" s="48">
        <f t="shared" si="6"/>
        <v>1973.99</v>
      </c>
      <c r="E21" s="56">
        <f t="shared" si="1"/>
        <v>2210.87</v>
      </c>
      <c r="F21" s="57">
        <f>'数据-基础表'!M13</f>
        <v>2210.87</v>
      </c>
      <c r="G21" s="58"/>
      <c r="H21" s="722">
        <f t="shared" si="7"/>
        <v>0</v>
      </c>
      <c r="I21" s="51">
        <f t="shared" si="2"/>
        <v>0</v>
      </c>
      <c r="J21" s="1387"/>
      <c r="K21" s="1386">
        <f t="shared" si="3"/>
        <v>0</v>
      </c>
      <c r="L21" s="1242">
        <f t="shared" si="4"/>
        <v>0</v>
      </c>
      <c r="M21" s="1398">
        <f t="shared" si="8"/>
        <v>0</v>
      </c>
      <c r="N21" s="2257"/>
      <c r="O21" s="2258"/>
      <c r="P21" s="1398">
        <f t="shared" si="9"/>
        <v>0</v>
      </c>
      <c r="R21" s="1242">
        <f t="shared" si="5"/>
        <v>1973.99</v>
      </c>
      <c r="S21" s="1243">
        <f t="shared" si="5"/>
        <v>2210.87</v>
      </c>
    </row>
    <row r="22" spans="1:19">
      <c r="A22" s="2259"/>
      <c r="B22" s="50" t="s">
        <v>1958</v>
      </c>
      <c r="C22" s="60"/>
      <c r="D22" s="48">
        <f t="shared" si="6"/>
        <v>0</v>
      </c>
      <c r="E22" s="56">
        <f t="shared" si="1"/>
        <v>0</v>
      </c>
      <c r="F22" s="61"/>
      <c r="G22" s="62"/>
      <c r="H22" s="722">
        <f t="shared" si="7"/>
        <v>0</v>
      </c>
      <c r="I22" s="51">
        <f t="shared" si="2"/>
        <v>0</v>
      </c>
      <c r="J22" s="1387"/>
      <c r="K22" s="1386">
        <f t="shared" si="3"/>
        <v>0</v>
      </c>
      <c r="L22" s="1242">
        <f t="shared" si="4"/>
        <v>0</v>
      </c>
      <c r="M22" s="1398">
        <f t="shared" si="8"/>
        <v>0</v>
      </c>
      <c r="N22" s="2257"/>
      <c r="O22" s="2258"/>
      <c r="P22" s="1398">
        <f t="shared" si="9"/>
        <v>0</v>
      </c>
      <c r="R22" s="1242">
        <f t="shared" si="5"/>
        <v>0</v>
      </c>
      <c r="S22" s="1243">
        <f t="shared" si="5"/>
        <v>0</v>
      </c>
    </row>
    <row r="23" spans="1:19">
      <c r="A23" s="2259"/>
      <c r="B23" s="50" t="s">
        <v>1958</v>
      </c>
      <c r="C23" s="60"/>
      <c r="D23" s="48">
        <f>ROUND($D$3*E23/$E$3,2)</f>
        <v>0</v>
      </c>
      <c r="E23" s="56">
        <f>SUM(F23:G23)</f>
        <v>0</v>
      </c>
      <c r="F23" s="61"/>
      <c r="G23" s="62"/>
      <c r="H23" s="722">
        <f>ROUND($D$3*I23/$E$3,2)</f>
        <v>0</v>
      </c>
      <c r="I23" s="51">
        <f t="shared" si="2"/>
        <v>0</v>
      </c>
      <c r="J23" s="1387"/>
      <c r="K23" s="1386">
        <f t="shared" si="3"/>
        <v>0</v>
      </c>
      <c r="L23" s="1242">
        <f t="shared" si="4"/>
        <v>0</v>
      </c>
      <c r="M23" s="1398">
        <f t="shared" si="8"/>
        <v>0</v>
      </c>
      <c r="N23" s="2257"/>
      <c r="O23" s="2258"/>
      <c r="P23" s="1398">
        <f t="shared" si="9"/>
        <v>0</v>
      </c>
      <c r="R23" s="1242">
        <f t="shared" si="5"/>
        <v>0</v>
      </c>
      <c r="S23" s="1243">
        <f t="shared" si="5"/>
        <v>0</v>
      </c>
    </row>
    <row r="24" spans="1:19">
      <c r="A24" s="2259"/>
      <c r="B24" s="50" t="s">
        <v>1958</v>
      </c>
      <c r="C24" s="60"/>
      <c r="D24" s="48">
        <f>ROUND($D$3*E24/$E$3,2)</f>
        <v>0</v>
      </c>
      <c r="E24" s="56">
        <f>SUM(F24:G24)</f>
        <v>0</v>
      </c>
      <c r="F24" s="61"/>
      <c r="G24" s="62"/>
      <c r="H24" s="722">
        <f>ROUND($D$3*I24/$E$3,2)</f>
        <v>0</v>
      </c>
      <c r="I24" s="51">
        <f t="shared" si="2"/>
        <v>0</v>
      </c>
      <c r="J24" s="1387"/>
      <c r="K24" s="1386">
        <f t="shared" si="3"/>
        <v>0</v>
      </c>
      <c r="L24" s="1242">
        <f t="shared" si="4"/>
        <v>0</v>
      </c>
      <c r="M24" s="1398">
        <f t="shared" si="8"/>
        <v>0</v>
      </c>
      <c r="N24" s="2257"/>
      <c r="O24" s="2258"/>
      <c r="P24" s="1398">
        <f t="shared" si="9"/>
        <v>0</v>
      </c>
      <c r="R24" s="1242">
        <f t="shared" si="5"/>
        <v>0</v>
      </c>
      <c r="S24" s="1243">
        <f t="shared" si="5"/>
        <v>0</v>
      </c>
    </row>
    <row r="25" spans="1:19">
      <c r="A25" s="2259"/>
      <c r="B25" s="50" t="s">
        <v>1958</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7"/>
      <c r="O25" s="2258"/>
      <c r="P25" s="1398">
        <f t="shared" si="9"/>
        <v>0</v>
      </c>
      <c r="R25" s="1242">
        <f t="shared" si="5"/>
        <v>0</v>
      </c>
      <c r="S25" s="1243">
        <f t="shared" si="5"/>
        <v>0</v>
      </c>
    </row>
    <row r="26" spans="1:19">
      <c r="A26" s="2259"/>
      <c r="B26" s="50" t="s">
        <v>1958</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2">
        <f t="shared" si="5"/>
        <v>0</v>
      </c>
      <c r="S26" s="1243">
        <f t="shared" si="5"/>
        <v>0</v>
      </c>
    </row>
    <row r="27" spans="1:19" ht="15.75" thickBot="1">
      <c r="A27" s="2259"/>
      <c r="B27" s="48"/>
      <c r="C27" s="2262" t="s">
        <v>1959</v>
      </c>
      <c r="D27" s="1388">
        <f>SUM(D19:D26)</f>
        <v>63815.99</v>
      </c>
      <c r="E27" s="1389">
        <f>IF(SUM(E19:E26)='数据-基础表'!BA5,SUM(E19:E26),IF(F27="地上面积有误","面积有误","地下面积有误"))</f>
        <v>71473.9099999998</v>
      </c>
      <c r="F27" s="1388">
        <f>IF(SUM(F19:F26)=E8,SUM(F19:F26),"地上面积有误")</f>
        <v>71473.9099999998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63815.99</v>
      </c>
      <c r="S27" s="1242">
        <f>IF(SUM(S19:S26)=$E$3,SUM(S19:S26),SUM(S19:S26)&amp;"误差"&amp;ROUND(SUM(S19:S26)-E3,2))</f>
        <v>71473.9099999998</v>
      </c>
    </row>
    <row r="28" spans="1:19">
      <c r="A28" s="2259"/>
      <c r="B28" s="50" t="s">
        <v>1960</v>
      </c>
      <c r="C28" s="1254" t="s">
        <v>1961</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1960</v>
      </c>
      <c r="C29" s="2263" t="s">
        <v>1962</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1959</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2" t="s">
        <v>1963</v>
      </c>
      <c r="D31" s="728">
        <f>D27+D30</f>
        <v>63815.99</v>
      </c>
      <c r="E31" s="728">
        <f>E27+E30</f>
        <v>71473.9099999998</v>
      </c>
      <c r="F31" s="729">
        <f>F27+F30</f>
        <v>71473.9099999998</v>
      </c>
      <c r="G31" s="730">
        <f>G27+G30</f>
        <v>0</v>
      </c>
      <c r="H31" s="1387"/>
      <c r="I31" s="1387"/>
      <c r="J31" s="1387"/>
      <c r="K31" s="1387"/>
      <c r="L31" s="1387"/>
      <c r="M31" s="1387"/>
      <c r="N31" s="1387"/>
      <c r="O31" s="1387"/>
      <c r="P31" s="1387"/>
    </row>
    <row r="32" spans="1:19">
      <c r="A32" s="2229"/>
      <c r="B32" s="2229" t="s">
        <v>1964</v>
      </c>
      <c r="C32" s="2229"/>
      <c r="D32" s="2229"/>
      <c r="E32" s="1269">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hidden="1" customWidth="1"/>
    <col min="32" max="33" width="7.25" style="2271" hidden="1" customWidth="1"/>
    <col min="34"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6"/>
      <c r="D1" s="2269"/>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1966</v>
      </c>
      <c r="B2" s="1261">
        <f>项目基本情况!D3</f>
        <v>43758</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1973</v>
      </c>
      <c r="B5" s="2286" t="s">
        <v>1974</v>
      </c>
      <c r="C5" s="2287" t="s">
        <v>1975</v>
      </c>
      <c r="D5" s="2288" t="s">
        <v>1976</v>
      </c>
      <c r="E5" s="1263" t="s">
        <v>1977</v>
      </c>
      <c r="F5" s="2289" t="s">
        <v>1978</v>
      </c>
      <c r="G5" s="1263" t="s">
        <v>1979</v>
      </c>
      <c r="H5" s="1263" t="s">
        <v>1980</v>
      </c>
      <c r="I5" s="1263" t="s">
        <v>1981</v>
      </c>
      <c r="J5" s="2290" t="s">
        <v>1982</v>
      </c>
      <c r="K5" s="2291" t="s">
        <v>1983</v>
      </c>
      <c r="L5" s="2292" t="s">
        <v>1984</v>
      </c>
      <c r="M5" s="2293" t="s">
        <v>1985</v>
      </c>
      <c r="N5" s="2294" t="s">
        <v>1986</v>
      </c>
      <c r="O5" s="2292" t="s">
        <v>1987</v>
      </c>
      <c r="P5" s="2295" t="s">
        <v>1988</v>
      </c>
      <c r="Q5" s="69" t="s">
        <v>1989</v>
      </c>
      <c r="R5" s="2296" t="s">
        <v>1990</v>
      </c>
      <c r="S5" s="2297" t="s">
        <v>1991</v>
      </c>
      <c r="T5" s="2298" t="s">
        <v>1992</v>
      </c>
      <c r="U5" s="1262" t="s">
        <v>1993</v>
      </c>
      <c r="V5" s="1263" t="s">
        <v>1994</v>
      </c>
      <c r="W5" s="1263" t="s">
        <v>1995</v>
      </c>
      <c r="X5" s="71"/>
      <c r="Y5" s="70" t="s">
        <v>1996</v>
      </c>
      <c r="Z5" s="2299" t="s">
        <v>1993</v>
      </c>
      <c r="AA5" s="1263" t="s">
        <v>1994</v>
      </c>
      <c r="AB5" s="1263" t="s">
        <v>1995</v>
      </c>
      <c r="AC5" s="71"/>
      <c r="AD5" s="71" t="s">
        <v>1996</v>
      </c>
      <c r="AE5" s="1262" t="s">
        <v>1997</v>
      </c>
      <c r="AF5" s="1263" t="s">
        <v>1998</v>
      </c>
      <c r="AG5" s="70" t="s">
        <v>1999</v>
      </c>
      <c r="AH5" s="1262" t="s">
        <v>2000</v>
      </c>
      <c r="AI5" s="2299" t="s">
        <v>2001</v>
      </c>
      <c r="AJ5" s="2299" t="s">
        <v>2002</v>
      </c>
      <c r="AK5" s="1263" t="s">
        <v>2003</v>
      </c>
      <c r="AL5" s="1263" t="s">
        <v>2004</v>
      </c>
      <c r="AM5" s="70" t="s">
        <v>2005</v>
      </c>
      <c r="AN5" s="2300" t="s">
        <v>2006</v>
      </c>
      <c r="AO5" s="2070" t="s">
        <v>2007</v>
      </c>
      <c r="AP5" s="1244" t="s">
        <v>2008</v>
      </c>
      <c r="AQ5" s="2301" t="s">
        <v>2009</v>
      </c>
      <c r="AR5" s="2301" t="s">
        <v>2010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洋房</v>
      </c>
      <c r="B6" s="2303" t="str">
        <f>IF(A6=0,"","经营性")</f>
        <v>经营性</v>
      </c>
      <c r="C6" s="2304" t="s">
        <v>3055</v>
      </c>
      <c r="D6" s="1046">
        <f>SUMIF(项目基本情况!D$12:I$12,C6,项目基本情况!D$14:I$14)</f>
        <v>70</v>
      </c>
      <c r="E6" s="1043">
        <f>IF(B6="","",SUMIF(项目基本情况!D$12:I$12,C6,项目基本情况!D$13:I$13))</f>
        <v>67671</v>
      </c>
      <c r="F6" s="72">
        <f>SUMIF(项目基本情况!D$12:I$12,C6,项目基本情况!D$15:I$15)</f>
        <v>65.510000000000005</v>
      </c>
      <c r="G6" s="73">
        <f>IF(ISERROR(ROUND(POWER(1+H6,D6-F6)*(POWER(1+H6,F6)-1)/(POWER(1+H6,D6)-1),3)),0,ROUND(POWER(1+H6,D6-F6)*(POWER(1+H6,F6)-1)/(POWER(1+H6,D6)-1),3))</f>
        <v>0.98899999999999999</v>
      </c>
      <c r="H6" s="801">
        <v>4.4999999999999998E-2</v>
      </c>
      <c r="I6" s="801">
        <v>0.05</v>
      </c>
      <c r="J6" s="74">
        <v>8.5000000000000006E-2</v>
      </c>
      <c r="K6" s="1246">
        <f>SUMIF('数据-汇总表'!C$19:C$33,A6,'数据-汇总表'!E$19:E$33)</f>
        <v>63909.9099999998</v>
      </c>
      <c r="L6" s="3012">
        <v>3200</v>
      </c>
      <c r="M6" s="75">
        <f t="shared" ref="M6:M14" si="0">ROUND(K6*L6/10000,0)</f>
        <v>20451</v>
      </c>
      <c r="N6" s="2995">
        <v>0.65</v>
      </c>
      <c r="O6" s="75">
        <f>IF($N$5="成新度","——",ROUND(M6*N6,0))</f>
        <v>13293</v>
      </c>
      <c r="P6" s="76">
        <f>IF($N$5="成新度","——",M6-O6)</f>
        <v>7158</v>
      </c>
      <c r="Q6" s="3011">
        <v>0.25</v>
      </c>
      <c r="R6" s="77">
        <f ca="1">SUMIF('数据-汇总表'!C$19:C$33,A6,'数据-汇总表'!R$19:R$27)</f>
        <v>57062.42</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9"/>
      <c r="AG6" s="146">
        <f>IF(AF6="",0,AE6-AF6)</f>
        <v>0</v>
      </c>
      <c r="AH6" s="83"/>
      <c r="AI6" s="85"/>
      <c r="AJ6" s="86"/>
      <c r="AK6" s="87"/>
      <c r="AL6" s="88"/>
      <c r="AM6" s="89"/>
      <c r="AN6" s="2305"/>
      <c r="AO6" s="55" t="e">
        <f ca="1">SUMIF(INDIRECT("'"&amp;AN6&amp;"'"&amp;"!A:A"),"总价",INDIRECT("'"&amp;AN6&amp;"'"&amp;"!B:B"))</f>
        <v>#REF!</v>
      </c>
      <c r="AP6" s="2306">
        <f>IF(C6="住宅",K6*L6,0)</f>
        <v>204511711.99999934</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底商</v>
      </c>
      <c r="B7" s="2303" t="str">
        <f t="shared" ref="B7:B13" si="1">IF(A7=0,"","经营性")</f>
        <v>经营性</v>
      </c>
      <c r="C7" s="2304" t="s">
        <v>1373</v>
      </c>
      <c r="D7" s="1046">
        <f>SUMIF(项目基本情况!D$12:I$12,C7,项目基本情况!D$14:I$14)</f>
        <v>40</v>
      </c>
      <c r="E7" s="1043">
        <f>IF(B7="","",SUMIF(项目基本情况!D$12:I$12,C7,项目基本情况!D$13:I$13))</f>
        <v>56713</v>
      </c>
      <c r="F7" s="72">
        <f>SUMIF(项目基本情况!D$12:I$12,C7,项目基本情况!D$15:I$15)</f>
        <v>35.49</v>
      </c>
      <c r="G7" s="73">
        <f t="shared" ref="G7:G11" si="2">IF(ISERROR(ROUND(POWER(1+H7,D7-F7)*(POWER(1+H7,F7)-1)/(POWER(1+H7,D7)-1),3)),0,ROUND(POWER(1+H7,D7-F7)*(POWER(1+H7,F7)-1)/(POWER(1+H7,D7)-1),3))</f>
        <v>0.95899999999999996</v>
      </c>
      <c r="H7" s="801">
        <v>0.05</v>
      </c>
      <c r="I7" s="801">
        <v>5.5E-2</v>
      </c>
      <c r="J7" s="74">
        <v>8.5000000000000006E-2</v>
      </c>
      <c r="K7" s="1246">
        <f>SUMIF('数据-汇总表'!C$19:C$33,A7,'数据-汇总表'!E$19:E$33)</f>
        <v>5353.1299999999992</v>
      </c>
      <c r="L7" s="3012">
        <v>2500</v>
      </c>
      <c r="M7" s="75">
        <f t="shared" si="0"/>
        <v>1338</v>
      </c>
      <c r="N7" s="800">
        <v>0.6</v>
      </c>
      <c r="O7" s="75">
        <f t="shared" ref="O7:O14" si="3">IF($N$5="成新度","——",ROUND(M7*N7,0))</f>
        <v>803</v>
      </c>
      <c r="P7" s="76">
        <f t="shared" ref="P7:P14" si="4">IF($N$5="成新度","——",M7-O7)</f>
        <v>535</v>
      </c>
      <c r="Q7" s="3011">
        <v>0.2</v>
      </c>
      <c r="R7" s="77">
        <f ca="1">SUMIF('数据-汇总表'!C$19:C$33,A7,'数据-汇总表'!R$19:R$27)</f>
        <v>4779.58</v>
      </c>
      <c r="S7" s="54">
        <f>IF('数据-汇总表'!$I$17="按面积比例",SUMIF('数据-汇总表'!C$19:C$33,A7,'数据-汇总表'!K$19:K$33),SUMIF('数据-汇总表'!C$19:C$33,A7,'数据-汇总表'!N$19:N$33))</f>
        <v>0</v>
      </c>
      <c r="T7" s="1438">
        <f t="shared" ref="T7:T13" si="5">ROUND($L$14*S7/10000,0)</f>
        <v>0</v>
      </c>
      <c r="U7" s="78">
        <v>2.4</v>
      </c>
      <c r="V7" s="79">
        <v>0.03</v>
      </c>
      <c r="W7" s="79">
        <v>0.15</v>
      </c>
      <c r="X7" s="1256"/>
      <c r="Y7" s="80">
        <v>1</v>
      </c>
      <c r="Z7" s="81"/>
      <c r="AA7" s="74"/>
      <c r="AB7" s="74"/>
      <c r="AC7" s="1256"/>
      <c r="AD7" s="82"/>
      <c r="AE7" s="1257">
        <f t="shared" ref="AE7:AE13" ca="1" si="6">IF(AN7="",0,SUMIF(INDIRECT("'"&amp;AN7&amp;"'"&amp;"!E:E"),$AE$5,INDIRECT("'"&amp;AN7&amp;"'"&amp;"!F:F")))</f>
        <v>34.590000000000003</v>
      </c>
      <c r="AF7" s="1799"/>
      <c r="AG7" s="146">
        <f t="shared" ref="AG7:AG13" si="7">IF(AF7="",0,AE7-AF7)</f>
        <v>0</v>
      </c>
      <c r="AH7" s="83"/>
      <c r="AI7" s="85">
        <v>365</v>
      </c>
      <c r="AJ7" s="86"/>
      <c r="AK7" s="87">
        <v>1.4999999999999999E-2</v>
      </c>
      <c r="AL7" s="88">
        <v>1.5E-3</v>
      </c>
      <c r="AM7" s="89">
        <v>0.01</v>
      </c>
      <c r="AN7" s="2305" t="s">
        <v>3106</v>
      </c>
      <c r="AO7" s="55">
        <f t="shared" ref="AO7:AO13" ca="1" si="8">SUMIF(INDIRECT("'"&amp;AN7&amp;"'"&amp;"!A:A"),"总价",INDIRECT("'"&amp;AN7&amp;"'"&amp;"!B:B"))</f>
        <v>6539</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t="str">
        <f>'数据-汇总表'!C21</f>
        <v>独立商业</v>
      </c>
      <c r="B8" s="2303" t="str">
        <f t="shared" si="1"/>
        <v>经营性</v>
      </c>
      <c r="C8" s="2304" t="s">
        <v>1373</v>
      </c>
      <c r="D8" s="1046">
        <f>SUMIF(项目基本情况!D$12:I$12,C8,项目基本情况!D$14:I$14)</f>
        <v>40</v>
      </c>
      <c r="E8" s="1043">
        <f>IF(B8="","",SUMIF(项目基本情况!D$12:I$12,C8,项目基本情况!D$13:I$13))</f>
        <v>56713</v>
      </c>
      <c r="F8" s="72">
        <f>SUMIF(项目基本情况!D$12:I$12,C8,项目基本情况!D$15:I$15)</f>
        <v>35.49</v>
      </c>
      <c r="G8" s="73">
        <f t="shared" si="2"/>
        <v>0.95899999999999996</v>
      </c>
      <c r="H8" s="801">
        <v>0.05</v>
      </c>
      <c r="I8" s="801">
        <v>5.5E-2</v>
      </c>
      <c r="J8" s="74">
        <v>8.5000000000000006E-2</v>
      </c>
      <c r="K8" s="1246">
        <f>SUMIF('数据-汇总表'!C$19:C$33,A8,'数据-汇总表'!E$19:E$33)</f>
        <v>2210.87</v>
      </c>
      <c r="L8" s="802">
        <v>4000</v>
      </c>
      <c r="M8" s="75">
        <f>ROUND(K8*L8/10000,0)</f>
        <v>884</v>
      </c>
      <c r="N8" s="800">
        <v>0.95</v>
      </c>
      <c r="O8" s="75">
        <f t="shared" si="3"/>
        <v>840</v>
      </c>
      <c r="P8" s="76">
        <f t="shared" si="4"/>
        <v>44</v>
      </c>
      <c r="Q8" s="3011">
        <v>0.15</v>
      </c>
      <c r="R8" s="77">
        <f ca="1">SUMIF('数据-汇总表'!C$19:C$33,A8,'数据-汇总表'!R$19:R$27)</f>
        <v>1973.99</v>
      </c>
      <c r="S8" s="54">
        <f>IF('数据-汇总表'!$I$17="按面积比例",SUMIF('数据-汇总表'!C$19:C$33,A8,'数据-汇总表'!K$19:K$33),SUMIF('数据-汇总表'!C$19:C$33,A8,'数据-汇总表'!N$19:N$33))</f>
        <v>0</v>
      </c>
      <c r="T8" s="1438">
        <f t="shared" si="5"/>
        <v>0</v>
      </c>
      <c r="U8" s="803">
        <v>2</v>
      </c>
      <c r="V8" s="804">
        <v>0.03</v>
      </c>
      <c r="W8" s="804">
        <v>0.15</v>
      </c>
      <c r="X8" s="1256"/>
      <c r="Y8" s="805">
        <v>1</v>
      </c>
      <c r="Z8" s="81"/>
      <c r="AA8" s="74"/>
      <c r="AB8" s="74"/>
      <c r="AC8" s="1256"/>
      <c r="AD8" s="82"/>
      <c r="AE8" s="1257">
        <f t="shared" ca="1" si="6"/>
        <v>34.590000000000003</v>
      </c>
      <c r="AF8" s="1799"/>
      <c r="AG8" s="146">
        <f t="shared" si="7"/>
        <v>0</v>
      </c>
      <c r="AH8" s="806"/>
      <c r="AI8" s="85">
        <v>365</v>
      </c>
      <c r="AJ8" s="86"/>
      <c r="AK8" s="87">
        <v>1.4999999999999999E-2</v>
      </c>
      <c r="AL8" s="88">
        <v>1.5E-3</v>
      </c>
      <c r="AM8" s="89">
        <v>0.01</v>
      </c>
      <c r="AN8" s="2305" t="s">
        <v>3107</v>
      </c>
      <c r="AO8" s="55">
        <f t="shared" ca="1" si="8"/>
        <v>2029</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2011</v>
      </c>
      <c r="B14" s="2303" t="s">
        <v>2012</v>
      </c>
      <c r="C14" s="2308" t="s">
        <v>2011</v>
      </c>
      <c r="D14" s="1046"/>
      <c r="E14" s="1043"/>
      <c r="F14" s="72"/>
      <c r="G14" s="73"/>
      <c r="H14" s="1245"/>
      <c r="I14" s="1245"/>
      <c r="J14" s="1245"/>
      <c r="K14" s="1246">
        <f>SUMIF('数据-汇总表'!C$19:C$33,A14,'数据-汇总表'!E$19:E$33)</f>
        <v>0</v>
      </c>
      <c r="L14" s="91"/>
      <c r="M14" s="75">
        <f t="shared" si="0"/>
        <v>0</v>
      </c>
      <c r="N14" s="92"/>
      <c r="O14" s="75">
        <f t="shared" si="3"/>
        <v>0</v>
      </c>
      <c r="P14" s="76">
        <f t="shared" si="4"/>
        <v>0</v>
      </c>
      <c r="Q14" s="1249"/>
      <c r="R14" s="77"/>
      <c r="S14" s="54"/>
      <c r="T14" s="1438"/>
      <c r="U14" s="722"/>
      <c r="V14" s="1251"/>
      <c r="W14" s="1251"/>
      <c r="X14" s="1252"/>
      <c r="Y14" s="1253"/>
      <c r="Z14" s="1254"/>
      <c r="AA14" s="1255"/>
      <c r="AB14" s="1255"/>
      <c r="AC14" s="1256"/>
      <c r="AD14" s="1252"/>
      <c r="AE14" s="1257"/>
      <c r="AF14" s="55"/>
      <c r="AG14" s="146"/>
      <c r="AH14" s="1257"/>
      <c r="AI14" s="1810"/>
      <c r="AJ14" s="772"/>
      <c r="AK14" s="1258"/>
      <c r="AL14" s="1259"/>
      <c r="AM14" s="1260"/>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2013</v>
      </c>
      <c r="B15" s="2303" t="s">
        <v>2012</v>
      </c>
      <c r="C15" s="2308" t="s">
        <v>2014</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2"/>
      <c r="V15" s="1251"/>
      <c r="W15" s="1251"/>
      <c r="X15" s="1252"/>
      <c r="Y15" s="1253"/>
      <c r="Z15" s="1254"/>
      <c r="AA15" s="1255"/>
      <c r="AB15" s="1255"/>
      <c r="AC15" s="1256"/>
      <c r="AD15" s="1252"/>
      <c r="AE15" s="1257"/>
      <c r="AF15" s="55"/>
      <c r="AG15" s="146"/>
      <c r="AH15" s="1257"/>
      <c r="AI15" s="1810"/>
      <c r="AJ15" s="772"/>
      <c r="AK15" s="1258"/>
      <c r="AL15" s="1259"/>
      <c r="AM15" s="1260"/>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2015</v>
      </c>
      <c r="B16" s="97"/>
      <c r="C16" s="1000"/>
      <c r="D16" s="2310"/>
      <c r="E16" s="97"/>
      <c r="F16" s="97"/>
      <c r="G16" s="98">
        <f>ROUND(SUMPRODUCT(G6:G13,K6:K13)/SUMPRODUCT((G6:G13&gt;0)*(K6:K13)),3)</f>
        <v>0.98599999999999999</v>
      </c>
      <c r="H16" s="99">
        <f>ROUND(SUMPRODUCT(H6:H13,K6:K13)/SUMPRODUCT((H6:H13&gt;0)*(K6:K13)),3)</f>
        <v>4.5999999999999999E-2</v>
      </c>
      <c r="I16" s="100"/>
      <c r="J16" s="100"/>
      <c r="K16" s="101">
        <f>SUM(K6:K15)</f>
        <v>71473.9099999998</v>
      </c>
      <c r="L16" s="102">
        <f>ROUND(M16*10000/SUM(K6:K14),0)</f>
        <v>3172</v>
      </c>
      <c r="M16" s="102">
        <f>SUM(M6:M14)</f>
        <v>22673</v>
      </c>
      <c r="N16" s="103">
        <f>ROUND(SUMPRODUCT(M6:M14,N6:N14)/M16,3)</f>
        <v>0.65900000000000003</v>
      </c>
      <c r="O16" s="102">
        <f>SUM(O6:O14)</f>
        <v>14936</v>
      </c>
      <c r="P16" s="102">
        <f>SUM(P6:P14)</f>
        <v>7737</v>
      </c>
      <c r="Q16" s="104">
        <f>ROUND(SUMPRODUCT(Q6:Q13,K6:K13)/SUMPRODUCT((Q6:Q13&gt;0)*(K6:K13)),2)</f>
        <v>0.24</v>
      </c>
      <c r="R16" s="1250">
        <f ca="1">SUM(R6:R13)</f>
        <v>63815.99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24.75" thickBot="1">
      <c r="A17" s="2311"/>
      <c r="B17" s="731"/>
      <c r="C17" s="1576"/>
      <c r="D17" s="2269"/>
      <c r="E17" s="2269"/>
      <c r="F17" s="1576"/>
      <c r="G17" s="1576"/>
      <c r="H17" s="1576"/>
      <c r="I17" s="2960" t="s">
        <v>3113</v>
      </c>
      <c r="J17" s="3127" t="s">
        <v>3114</v>
      </c>
      <c r="K17" s="3127"/>
      <c r="L17" s="3127"/>
      <c r="M17" s="3128" t="s">
        <v>3115</v>
      </c>
      <c r="N17" s="3128"/>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2016</v>
      </c>
      <c r="B18" s="2276"/>
      <c r="C18" s="2273"/>
      <c r="D18" s="2274"/>
      <c r="E18" s="2273"/>
      <c r="F18" s="2273"/>
      <c r="G18" s="2273"/>
      <c r="H18" s="2273"/>
      <c r="I18" s="2961"/>
      <c r="J18" s="2962" t="s">
        <v>3116</v>
      </c>
      <c r="K18" s="2962" t="s">
        <v>3117</v>
      </c>
      <c r="L18" s="2962" t="s">
        <v>3063</v>
      </c>
      <c r="M18" s="3129"/>
      <c r="N18" s="3129"/>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42" customHeight="1">
      <c r="A19" s="2312" t="s">
        <v>2017</v>
      </c>
      <c r="B19" s="112">
        <v>0</v>
      </c>
      <c r="C19" s="2273" t="s">
        <v>2018</v>
      </c>
      <c r="D19" s="2274"/>
      <c r="E19" s="2273"/>
      <c r="F19" s="2273"/>
      <c r="G19" s="2273"/>
      <c r="H19" s="2273"/>
      <c r="I19" s="2963" t="s">
        <v>3118</v>
      </c>
      <c r="J19" s="2963" t="s">
        <v>3119</v>
      </c>
      <c r="K19" s="2963" t="s">
        <v>3120</v>
      </c>
      <c r="L19" s="2963" t="s">
        <v>3121</v>
      </c>
      <c r="M19" s="3130" t="s">
        <v>3122</v>
      </c>
      <c r="N19" s="3130"/>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2019</v>
      </c>
      <c r="B20" s="2996">
        <v>2</v>
      </c>
      <c r="C20" s="2273" t="s">
        <v>2020</v>
      </c>
      <c r="D20" s="2274"/>
      <c r="E20" s="2273"/>
      <c r="F20" s="2273"/>
      <c r="G20" s="2273"/>
      <c r="H20" s="2273"/>
      <c r="I20" s="2273"/>
      <c r="J20" s="2273"/>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2021</v>
      </c>
      <c r="B21" s="2996">
        <v>1.1000000000000001</v>
      </c>
      <c r="C21" s="2273"/>
      <c r="D21" s="2274"/>
      <c r="E21" s="2273"/>
      <c r="F21" s="2273"/>
      <c r="G21" s="2273"/>
      <c r="H21" s="2273"/>
      <c r="I21" s="2273"/>
      <c r="J21" s="2273"/>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2022</v>
      </c>
      <c r="B22" s="113">
        <f>B19+B20</f>
        <v>2</v>
      </c>
      <c r="C22" s="2273"/>
      <c r="D22" s="2274"/>
      <c r="E22" s="2273"/>
      <c r="F22" s="2273"/>
      <c r="G22" s="2273"/>
      <c r="H22" s="2273"/>
      <c r="I22" s="2273"/>
      <c r="J22" s="2273"/>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2023</v>
      </c>
      <c r="B23" s="113">
        <f>B19+B21</f>
        <v>1.1000000000000001</v>
      </c>
      <c r="C23" s="2273"/>
      <c r="D23" s="2274"/>
      <c r="E23" s="2273"/>
      <c r="F23" s="2273"/>
      <c r="G23" s="2273"/>
      <c r="H23" s="2273"/>
      <c r="I23" s="2273"/>
      <c r="J23" s="2273"/>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2024</v>
      </c>
      <c r="B24" s="114">
        <f>B20-B21</f>
        <v>0.89999999999999991</v>
      </c>
      <c r="C24" s="2273"/>
      <c r="D24" s="2274"/>
      <c r="E24" s="2273"/>
      <c r="F24" s="2273"/>
      <c r="G24" s="2273"/>
      <c r="H24" s="2273"/>
      <c r="I24" s="2273"/>
      <c r="J24" s="2273"/>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2025</v>
      </c>
      <c r="B26" s="2316" t="s">
        <v>2026</v>
      </c>
      <c r="C26" s="2317" t="s">
        <v>2027</v>
      </c>
      <c r="D26" s="2274"/>
      <c r="E26" s="2273"/>
      <c r="F26" s="2273"/>
      <c r="G26" s="2273"/>
      <c r="H26" s="2273"/>
      <c r="I26" s="2273"/>
      <c r="J26" s="2273"/>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2028</v>
      </c>
      <c r="B27" s="115">
        <v>220</v>
      </c>
      <c r="C27" s="2964" t="s">
        <v>3170</v>
      </c>
      <c r="D27" s="2319"/>
      <c r="E27" s="1422"/>
      <c r="F27" s="1422"/>
      <c r="G27" s="2273"/>
      <c r="H27" s="2273"/>
      <c r="I27" s="2273"/>
      <c r="J27" s="2273"/>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20" customFormat="1" ht="27.75">
      <c r="A28" s="2321" t="s">
        <v>2029</v>
      </c>
      <c r="B28" s="118">
        <v>220</v>
      </c>
      <c r="C28" s="2322"/>
      <c r="D28" s="2319"/>
      <c r="E28" s="1422"/>
      <c r="F28" s="1422"/>
      <c r="G28" s="2273"/>
      <c r="H28" s="2273"/>
      <c r="I28" s="2273"/>
      <c r="J28" s="2273"/>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20" customFormat="1" ht="28.5" thickBot="1">
      <c r="A29" s="2323" t="s">
        <v>2030</v>
      </c>
      <c r="B29" s="120">
        <v>0</v>
      </c>
      <c r="C29" s="1759" t="s">
        <v>2031</v>
      </c>
      <c r="D29" s="2319"/>
      <c r="E29" s="1422"/>
      <c r="F29" s="1422"/>
      <c r="G29" s="2273"/>
      <c r="H29" s="2273"/>
      <c r="I29" s="2273"/>
      <c r="J29" s="2273"/>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20" customFormat="1" ht="27">
      <c r="A30" s="2324" t="s">
        <v>2032</v>
      </c>
      <c r="B30" s="723">
        <v>200</v>
      </c>
      <c r="C30" s="2322"/>
      <c r="D30" s="2319"/>
      <c r="E30" s="1422"/>
      <c r="F30" s="1422"/>
      <c r="G30" s="2273"/>
      <c r="H30" s="2273"/>
      <c r="I30" s="2273"/>
      <c r="J30" s="2273"/>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20" customFormat="1" ht="27">
      <c r="A31" s="2321" t="s">
        <v>2033</v>
      </c>
      <c r="B31" s="119">
        <f>B30-B32</f>
        <v>200</v>
      </c>
      <c r="C31" s="1759"/>
      <c r="D31" s="2319"/>
      <c r="E31" s="1422"/>
      <c r="F31" s="1422"/>
      <c r="G31" s="2273"/>
      <c r="H31" s="2273"/>
      <c r="I31" s="2273"/>
      <c r="J31" s="2273"/>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20" customFormat="1" ht="27.75" thickBot="1">
      <c r="A32" s="2325" t="s">
        <v>2034</v>
      </c>
      <c r="B32" s="724">
        <v>0</v>
      </c>
      <c r="C32" s="2322"/>
      <c r="D32" s="2274"/>
      <c r="E32" s="2273"/>
      <c r="F32" s="2273"/>
      <c r="G32" s="2273"/>
      <c r="H32" s="2273"/>
      <c r="I32" s="2273"/>
      <c r="J32" s="2273"/>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20" customFormat="1" ht="14.25">
      <c r="A33" s="2318" t="s">
        <v>2035</v>
      </c>
      <c r="B33" s="725">
        <v>0.05</v>
      </c>
      <c r="C33" s="1758" t="s">
        <v>2036</v>
      </c>
      <c r="D33" s="2274"/>
      <c r="E33" s="2273"/>
      <c r="F33" s="2273"/>
      <c r="G33" s="2273"/>
      <c r="H33" s="2273"/>
      <c r="I33" s="2273"/>
      <c r="J33" s="2273"/>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20" customFormat="1" ht="14.25">
      <c r="A34" s="2321" t="s">
        <v>2037</v>
      </c>
      <c r="B34" s="3010">
        <v>0.1</v>
      </c>
      <c r="C34" s="1758" t="s">
        <v>2038</v>
      </c>
      <c r="D34" s="2274" t="s">
        <v>2039</v>
      </c>
      <c r="E34" s="731"/>
      <c r="F34" s="2273"/>
      <c r="G34" s="2273"/>
      <c r="H34" s="2273"/>
      <c r="I34" s="2273"/>
      <c r="J34" s="2273"/>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20" customFormat="1" ht="14.25">
      <c r="A35" s="2321" t="s">
        <v>2040</v>
      </c>
      <c r="B35" s="118">
        <v>200</v>
      </c>
      <c r="C35" s="1758" t="s">
        <v>2041</v>
      </c>
      <c r="D35" s="2319"/>
      <c r="E35" s="1422"/>
      <c r="F35" s="1422"/>
      <c r="G35" s="2273"/>
      <c r="H35" s="2273"/>
      <c r="I35" s="2273"/>
      <c r="J35" s="2273"/>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3" t="s">
        <v>2042</v>
      </c>
      <c r="B36" s="122">
        <v>1.4999999999999999E-2</v>
      </c>
      <c r="C36" s="1758" t="s">
        <v>2043</v>
      </c>
      <c r="D36" s="2274"/>
      <c r="E36" s="2273"/>
      <c r="F36" s="2273"/>
      <c r="G36" s="2273"/>
      <c r="H36" s="2273"/>
      <c r="I36" s="2273"/>
      <c r="J36" s="2273"/>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2044</v>
      </c>
      <c r="B37" s="123">
        <v>0.03</v>
      </c>
      <c r="C37" s="1758" t="s">
        <v>2045</v>
      </c>
      <c r="D37" s="2274"/>
      <c r="E37" s="2273"/>
      <c r="F37" s="2273"/>
      <c r="G37" s="2273"/>
      <c r="H37" s="2273"/>
      <c r="I37" s="2273"/>
      <c r="J37" s="2273"/>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2046</v>
      </c>
      <c r="B38" s="121">
        <v>0.03</v>
      </c>
      <c r="C38" s="1758" t="s">
        <v>2045</v>
      </c>
      <c r="D38" s="2274"/>
      <c r="E38" s="2273"/>
      <c r="F38" s="2273"/>
      <c r="G38" s="2273"/>
      <c r="H38" s="2273"/>
      <c r="I38" s="2273"/>
      <c r="J38" s="2273"/>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2047</v>
      </c>
      <c r="B39" s="361">
        <f ca="1">存贷款利率!I1</f>
        <v>1.4999999999999999E-2</v>
      </c>
      <c r="C39" s="1758"/>
      <c r="D39" s="2274"/>
      <c r="E39" s="2273"/>
      <c r="F39" s="2273"/>
      <c r="G39" s="2273"/>
      <c r="H39" s="2273"/>
      <c r="I39" s="2273"/>
      <c r="J39" s="2273"/>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2048</v>
      </c>
      <c r="B40" s="1295">
        <f ca="1">存贷款利率!G1</f>
        <v>4.7500000000000001E-2</v>
      </c>
      <c r="C40" s="1758" t="s">
        <v>2049</v>
      </c>
      <c r="D40" s="1576"/>
      <c r="E40" s="2274"/>
      <c r="F40" s="2273"/>
      <c r="G40" s="2273"/>
      <c r="H40" s="2273"/>
      <c r="I40" s="2273"/>
      <c r="J40" s="2273"/>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2050</v>
      </c>
      <c r="B41" s="124">
        <f>B42+B43</f>
        <v>5.5000000000000007E-2</v>
      </c>
      <c r="C41" s="1759"/>
      <c r="D41" s="1576"/>
      <c r="E41" s="2274"/>
      <c r="F41" s="2273"/>
      <c r="G41" s="2273"/>
      <c r="H41" s="2273"/>
      <c r="I41" s="2273"/>
      <c r="J41" s="2273"/>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2051</v>
      </c>
      <c r="B42" s="125">
        <v>0.05</v>
      </c>
      <c r="C42" s="2327">
        <f>IF(B2&lt;DATE(2016,5,1),0,B42)</f>
        <v>0.05</v>
      </c>
      <c r="D42" s="2274"/>
      <c r="E42" s="2273"/>
      <c r="F42" s="2273"/>
      <c r="G42" s="2273"/>
      <c r="H42" s="2273"/>
      <c r="I42" s="2273"/>
      <c r="J42" s="2273"/>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2052</v>
      </c>
      <c r="B43" s="126">
        <f>B42*(B44+B45+B46)+B47</f>
        <v>5.000000000000001E-3</v>
      </c>
      <c r="C43" s="1759"/>
      <c r="D43" s="2274"/>
      <c r="E43" s="2273"/>
      <c r="F43" s="2273"/>
      <c r="G43" s="2273"/>
      <c r="H43" s="2273"/>
      <c r="I43" s="2273"/>
      <c r="J43" s="2273"/>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2053</v>
      </c>
      <c r="B44" s="127">
        <v>0.05</v>
      </c>
      <c r="C44" s="1758" t="s">
        <v>2054</v>
      </c>
      <c r="D44" s="2274"/>
      <c r="E44" s="2273"/>
      <c r="F44" s="2273"/>
      <c r="G44" s="2273"/>
      <c r="H44" s="2273"/>
      <c r="I44" s="2273"/>
      <c r="J44" s="2273"/>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2055</v>
      </c>
      <c r="B45" s="125">
        <v>0.03</v>
      </c>
      <c r="C45" s="1759" t="s">
        <v>2056</v>
      </c>
      <c r="D45" s="2274"/>
      <c r="E45" s="2273"/>
      <c r="F45" s="2273"/>
      <c r="G45" s="2273"/>
      <c r="H45" s="2273"/>
      <c r="I45" s="2273"/>
      <c r="J45" s="2273"/>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2057</v>
      </c>
      <c r="B46" s="125">
        <v>0.02</v>
      </c>
      <c r="C46" s="1759" t="s">
        <v>2058</v>
      </c>
      <c r="D46" s="2274"/>
      <c r="E46" s="2273"/>
      <c r="F46" s="2273"/>
      <c r="G46" s="2273"/>
      <c r="H46" s="2273"/>
      <c r="I46" s="2273"/>
      <c r="J46" s="2273"/>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2059</v>
      </c>
      <c r="B47" s="128"/>
      <c r="C47" s="1759" t="s">
        <v>2060</v>
      </c>
      <c r="D47" s="2274"/>
      <c r="E47" s="2273"/>
      <c r="F47" s="2273"/>
      <c r="G47" s="2273"/>
      <c r="H47" s="2273"/>
      <c r="I47" s="2273"/>
      <c r="J47" s="2273"/>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2061</v>
      </c>
      <c r="B48" s="129">
        <v>0.03</v>
      </c>
      <c r="C48" s="1766" t="s">
        <v>2062</v>
      </c>
      <c r="D48" s="2274"/>
      <c r="E48" s="2273"/>
      <c r="F48" s="2273"/>
      <c r="G48" s="2273"/>
      <c r="H48" s="2273"/>
      <c r="I48" s="2273"/>
      <c r="J48" s="2273"/>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2063</v>
      </c>
      <c r="B49" s="125">
        <v>5.0000000000000001E-4</v>
      </c>
      <c r="C49" s="1766" t="s">
        <v>2064</v>
      </c>
      <c r="D49" s="2274"/>
      <c r="E49" s="2273"/>
      <c r="F49" s="2273"/>
      <c r="G49" s="2273"/>
      <c r="H49" s="2273"/>
      <c r="I49" s="2273"/>
      <c r="J49" s="2273"/>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2065</v>
      </c>
      <c r="B50" s="130">
        <v>1.2E-2</v>
      </c>
      <c r="C50" s="1422"/>
      <c r="D50" s="2274"/>
      <c r="E50" s="2273"/>
      <c r="F50" s="2273"/>
      <c r="G50" s="2273"/>
      <c r="H50" s="2273"/>
      <c r="I50" s="2273"/>
      <c r="J50" s="2273"/>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2066</v>
      </c>
      <c r="B51" s="131">
        <v>0.12</v>
      </c>
      <c r="C51" s="1422"/>
      <c r="D51" s="2274"/>
      <c r="E51" s="2273"/>
      <c r="F51" s="2273"/>
      <c r="G51" s="2273"/>
      <c r="H51" s="2273"/>
      <c r="I51" s="2273"/>
      <c r="J51" s="2273"/>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2067</v>
      </c>
      <c r="B52" s="132">
        <f>SUMIF(A54:A63,B53,B54:B63)</f>
        <v>2</v>
      </c>
      <c r="C52" s="1422"/>
      <c r="D52" s="2274"/>
      <c r="E52" s="2273"/>
      <c r="F52" s="2273"/>
      <c r="G52" s="2273"/>
      <c r="H52" s="2273"/>
      <c r="I52" s="2273"/>
      <c r="J52" s="2273"/>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2068</v>
      </c>
      <c r="B53" s="2332" t="s">
        <v>56</v>
      </c>
      <c r="C53" s="1422" t="s">
        <v>2069</v>
      </c>
      <c r="D53" s="2333" t="s">
        <v>2070</v>
      </c>
      <c r="E53" s="2273"/>
      <c r="F53" s="2273"/>
      <c r="G53" s="2273"/>
      <c r="H53" s="2273"/>
      <c r="I53" s="2273"/>
      <c r="J53" s="2273"/>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2071</v>
      </c>
      <c r="B54" s="84"/>
      <c r="C54" s="1422">
        <v>30</v>
      </c>
      <c r="D54" s="2274"/>
      <c r="E54" s="2273"/>
      <c r="F54" s="2273"/>
      <c r="G54" s="2273"/>
      <c r="H54" s="2273"/>
      <c r="I54" s="2273"/>
      <c r="J54" s="2273"/>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2072</v>
      </c>
      <c r="B55" s="84"/>
      <c r="C55" s="1422">
        <v>24</v>
      </c>
      <c r="D55" s="2274"/>
      <c r="E55" s="2273"/>
      <c r="F55" s="2273"/>
      <c r="G55" s="2273"/>
      <c r="H55" s="2273"/>
      <c r="I55" s="2335"/>
      <c r="J55" s="2273"/>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2073</v>
      </c>
      <c r="B56" s="84"/>
      <c r="C56" s="1422">
        <v>18</v>
      </c>
      <c r="D56" s="2274"/>
      <c r="E56" s="2273"/>
      <c r="F56" s="2273"/>
      <c r="G56" s="2273"/>
      <c r="H56" s="2273"/>
      <c r="I56" s="2273"/>
      <c r="J56" s="2273"/>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2074</v>
      </c>
      <c r="B57" s="84"/>
      <c r="C57" s="1422">
        <v>12</v>
      </c>
      <c r="D57" s="2274"/>
      <c r="E57" s="2273"/>
      <c r="F57" s="2273"/>
      <c r="G57" s="2273"/>
      <c r="H57" s="2273"/>
      <c r="I57" s="2273"/>
      <c r="J57" s="2273"/>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2075</v>
      </c>
      <c r="B58" s="84"/>
      <c r="C58" s="1422">
        <v>3</v>
      </c>
      <c r="D58" s="2274"/>
      <c r="E58" s="2273"/>
      <c r="F58" s="2273"/>
      <c r="G58" s="2273"/>
      <c r="H58" s="2273"/>
      <c r="I58" s="2273"/>
      <c r="J58" s="2273"/>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2076</v>
      </c>
      <c r="B59" s="84">
        <v>2</v>
      </c>
      <c r="C59" s="1422">
        <v>1.5</v>
      </c>
      <c r="D59" s="2274"/>
      <c r="E59" s="2273"/>
      <c r="F59" s="2273"/>
      <c r="G59" s="2273"/>
      <c r="H59" s="2273"/>
      <c r="I59" s="2273"/>
      <c r="J59" s="2273"/>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2077</v>
      </c>
      <c r="B60" s="84"/>
      <c r="C60" s="2273"/>
      <c r="D60" s="2274"/>
      <c r="E60" s="2273"/>
      <c r="F60" s="2273"/>
      <c r="G60" s="2273"/>
      <c r="H60" s="2273"/>
      <c r="I60" s="2273"/>
      <c r="J60" s="2273"/>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2078</v>
      </c>
      <c r="B61" s="84"/>
      <c r="C61" s="2273"/>
      <c r="D61" s="2274"/>
      <c r="E61" s="2273"/>
      <c r="F61" s="2273"/>
      <c r="G61" s="2273"/>
      <c r="H61" s="2273"/>
      <c r="I61" s="2273"/>
      <c r="J61" s="2273"/>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2079</v>
      </c>
      <c r="B62" s="84"/>
      <c r="C62" s="2273"/>
      <c r="D62" s="2274"/>
      <c r="E62" s="2273"/>
      <c r="F62" s="2273"/>
      <c r="G62" s="2273"/>
      <c r="H62" s="2273"/>
      <c r="I62" s="2273"/>
      <c r="J62" s="2273"/>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2080</v>
      </c>
      <c r="B63" s="133"/>
      <c r="C63" s="2273"/>
      <c r="D63" s="2274"/>
      <c r="E63" s="2273"/>
      <c r="F63" s="2273"/>
      <c r="G63" s="2273"/>
      <c r="H63" s="2273"/>
      <c r="I63" s="2273"/>
      <c r="J63" s="2273"/>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ht="37.5">
      <c r="A64" s="2337" t="s">
        <v>3171</v>
      </c>
      <c r="D64" s="2338"/>
      <c r="K64" s="797"/>
      <c r="L64" s="797"/>
    </row>
    <row r="65" spans="1:12" s="959" customFormat="1">
      <c r="A65" s="2337"/>
      <c r="D65" s="2338"/>
      <c r="K65" s="797"/>
      <c r="L65" s="797"/>
    </row>
    <row r="66" spans="1:12" s="959" customFormat="1">
      <c r="A66" s="2337"/>
      <c r="D66" s="2338"/>
      <c r="K66" s="797"/>
      <c r="L66" s="797"/>
    </row>
    <row r="67" spans="1:12" s="959" customFormat="1">
      <c r="A67" s="2337"/>
      <c r="D67" s="2338"/>
      <c r="K67" s="797"/>
      <c r="L67" s="797"/>
    </row>
    <row r="68" spans="1:12" s="959" customFormat="1">
      <c r="A68" s="2337"/>
      <c r="D68" s="2338"/>
      <c r="K68" s="797"/>
      <c r="L68" s="797"/>
    </row>
    <row r="69" spans="1:12" s="959" customFormat="1">
      <c r="A69" s="2337"/>
      <c r="D69" s="2338"/>
      <c r="K69" s="797"/>
      <c r="L69" s="797"/>
    </row>
    <row r="70" spans="1:12" s="959" customFormat="1">
      <c r="A70" s="2337"/>
      <c r="D70" s="2338"/>
      <c r="K70" s="797"/>
      <c r="L70" s="797"/>
    </row>
    <row r="71" spans="1:12" s="959" customFormat="1">
      <c r="A71" s="2337"/>
      <c r="D71" s="2338"/>
      <c r="K71" s="797"/>
      <c r="L71" s="797"/>
    </row>
    <row r="72" spans="1:12" s="959" customFormat="1">
      <c r="A72" s="2337"/>
      <c r="D72" s="2338"/>
      <c r="K72" s="797"/>
      <c r="L72" s="797"/>
    </row>
    <row r="73" spans="1:12" s="959" customFormat="1">
      <c r="A73" s="2337"/>
      <c r="D73" s="2338"/>
      <c r="K73" s="797"/>
      <c r="L73" s="797"/>
    </row>
    <row r="74" spans="1:12" s="959" customFormat="1">
      <c r="A74" s="2337"/>
      <c r="D74" s="2338"/>
      <c r="K74" s="797"/>
      <c r="L74" s="797"/>
    </row>
    <row r="75" spans="1:12" s="959" customFormat="1">
      <c r="A75" s="2337"/>
      <c r="D75" s="2338"/>
      <c r="K75" s="797"/>
      <c r="L75" s="797"/>
    </row>
    <row r="76" spans="1:12" s="959" customFormat="1">
      <c r="A76" s="2337"/>
      <c r="D76" s="2338"/>
      <c r="K76" s="797"/>
      <c r="L76" s="797"/>
    </row>
    <row r="77" spans="1:12" s="959" customFormat="1">
      <c r="A77" s="2337"/>
      <c r="D77" s="2338"/>
      <c r="K77" s="797"/>
      <c r="L77" s="797"/>
    </row>
    <row r="78" spans="1:12" s="959" customFormat="1">
      <c r="A78" s="2337"/>
      <c r="D78" s="2338"/>
      <c r="K78" s="797"/>
      <c r="L78" s="797"/>
    </row>
    <row r="79" spans="1:12" s="959" customFormat="1">
      <c r="A79" s="2337"/>
      <c r="D79" s="2338"/>
      <c r="K79" s="797"/>
      <c r="L79" s="797"/>
    </row>
    <row r="80" spans="1:12" s="959" customFormat="1">
      <c r="A80" s="2337"/>
      <c r="D80" s="2338"/>
      <c r="K80" s="797"/>
      <c r="L80" s="797"/>
    </row>
    <row r="81" spans="1:12" s="959" customFormat="1">
      <c r="A81" s="2337"/>
      <c r="D81" s="2338"/>
      <c r="K81" s="797"/>
      <c r="L81" s="797"/>
    </row>
    <row r="82" spans="1:12" s="959" customFormat="1">
      <c r="A82" s="2337"/>
      <c r="D82" s="2338"/>
      <c r="K82" s="797"/>
      <c r="L82" s="797"/>
    </row>
    <row r="83" spans="1:12" s="959" customFormat="1">
      <c r="A83" s="2337"/>
      <c r="D83" s="2338"/>
      <c r="K83" s="797"/>
      <c r="L83" s="797"/>
    </row>
    <row r="84" spans="1:12" s="959" customFormat="1">
      <c r="A84" s="2337"/>
      <c r="D84" s="2338"/>
      <c r="K84" s="797"/>
      <c r="L84" s="797"/>
    </row>
    <row r="85" spans="1:12" s="959" customFormat="1">
      <c r="A85" s="2337"/>
      <c r="D85" s="2338"/>
      <c r="K85" s="797"/>
      <c r="L85" s="797"/>
    </row>
    <row r="86" spans="1:12" s="959" customFormat="1">
      <c r="A86" s="2337"/>
      <c r="D86" s="2338"/>
      <c r="K86" s="797"/>
      <c r="L86" s="797"/>
    </row>
    <row r="87" spans="1:12" s="959" customFormat="1">
      <c r="A87" s="2337"/>
      <c r="D87" s="2338"/>
      <c r="K87" s="797"/>
      <c r="L87" s="797"/>
    </row>
    <row r="88" spans="1:12" s="959" customFormat="1">
      <c r="A88" s="2337"/>
      <c r="D88" s="2338"/>
      <c r="K88" s="797"/>
      <c r="L88" s="797"/>
    </row>
    <row r="89" spans="1:12" s="959" customFormat="1">
      <c r="A89" s="2337"/>
      <c r="D89" s="2338"/>
      <c r="K89" s="797"/>
      <c r="L89" s="797"/>
    </row>
    <row r="90" spans="1:12" s="959" customFormat="1">
      <c r="A90" s="2337"/>
      <c r="D90" s="2338"/>
      <c r="K90" s="797"/>
      <c r="L90" s="797"/>
    </row>
    <row r="91" spans="1:12" s="959" customFormat="1">
      <c r="A91" s="2337"/>
      <c r="D91" s="2338"/>
      <c r="K91" s="797"/>
      <c r="L91" s="797"/>
    </row>
    <row r="92" spans="1:12" s="959" customFormat="1">
      <c r="A92" s="2337"/>
      <c r="D92" s="2338"/>
      <c r="K92" s="797"/>
      <c r="L92" s="797"/>
    </row>
    <row r="93" spans="1:12" s="959" customFormat="1">
      <c r="A93" s="2337"/>
      <c r="D93" s="2338"/>
      <c r="K93" s="797"/>
      <c r="L93" s="797"/>
    </row>
    <row r="94" spans="1:12" s="959" customFormat="1">
      <c r="A94" s="2337"/>
      <c r="D94" s="2338"/>
      <c r="K94" s="797"/>
      <c r="L94" s="797"/>
    </row>
    <row r="95" spans="1:12" s="959" customFormat="1">
      <c r="A95" s="2337"/>
      <c r="D95" s="2338"/>
      <c r="K95" s="797"/>
      <c r="L95" s="797"/>
    </row>
    <row r="96" spans="1:12" s="959" customFormat="1">
      <c r="A96" s="2337"/>
      <c r="D96" s="2338"/>
      <c r="K96" s="797"/>
      <c r="L96" s="797"/>
    </row>
    <row r="97" spans="1:12" s="959" customFormat="1">
      <c r="A97" s="2337"/>
      <c r="D97" s="2338"/>
      <c r="K97" s="797"/>
      <c r="L97" s="797"/>
    </row>
    <row r="98" spans="1:12" s="959" customFormat="1">
      <c r="A98" s="2337"/>
      <c r="D98" s="2338"/>
      <c r="K98" s="797"/>
      <c r="L98" s="797"/>
    </row>
    <row r="99" spans="1:12" s="959" customFormat="1">
      <c r="A99" s="2337"/>
      <c r="D99" s="2338"/>
      <c r="K99" s="797"/>
      <c r="L99" s="797"/>
    </row>
    <row r="100" spans="1:12" s="959" customFormat="1">
      <c r="A100" s="2337"/>
      <c r="D100" s="2338"/>
      <c r="K100" s="797"/>
      <c r="L100" s="797"/>
    </row>
    <row r="101" spans="1:12" s="959" customFormat="1">
      <c r="A101" s="2337"/>
      <c r="D101" s="2338"/>
      <c r="K101" s="797"/>
      <c r="L101" s="797"/>
    </row>
    <row r="102" spans="1:12" s="959" customFormat="1">
      <c r="A102" s="2337"/>
      <c r="D102" s="2338"/>
      <c r="K102" s="797"/>
      <c r="L102" s="797"/>
    </row>
    <row r="103" spans="1:12" s="959" customFormat="1">
      <c r="A103" s="2337"/>
      <c r="D103" s="2338"/>
      <c r="K103" s="797"/>
      <c r="L103" s="797"/>
    </row>
    <row r="104" spans="1:12" s="959" customFormat="1">
      <c r="A104" s="2337"/>
      <c r="D104" s="2338"/>
      <c r="K104" s="797"/>
      <c r="L104" s="797"/>
    </row>
    <row r="105" spans="1:12" s="959" customFormat="1">
      <c r="A105" s="2337"/>
      <c r="D105" s="2338"/>
      <c r="K105" s="797"/>
      <c r="L105" s="797"/>
    </row>
    <row r="106" spans="1:12" s="959" customFormat="1">
      <c r="A106" s="2337"/>
      <c r="D106" s="2338"/>
      <c r="K106" s="797"/>
      <c r="L106" s="797"/>
    </row>
    <row r="107" spans="1:12" s="959" customFormat="1">
      <c r="A107" s="2337"/>
      <c r="D107" s="2338"/>
      <c r="K107" s="797"/>
      <c r="L107" s="797"/>
    </row>
    <row r="108" spans="1:12" s="959" customFormat="1">
      <c r="A108" s="2337"/>
      <c r="D108" s="2338"/>
      <c r="K108" s="797"/>
      <c r="L108" s="797"/>
    </row>
    <row r="109" spans="1:12" s="959" customFormat="1">
      <c r="A109" s="2337"/>
      <c r="D109" s="2338"/>
      <c r="K109" s="797"/>
      <c r="L109" s="797"/>
    </row>
    <row r="110" spans="1:12" s="959" customFormat="1">
      <c r="A110" s="2337"/>
      <c r="D110" s="2338"/>
      <c r="K110" s="797"/>
      <c r="L110" s="797"/>
    </row>
    <row r="111" spans="1:12" s="959" customFormat="1">
      <c r="A111" s="2337"/>
      <c r="D111" s="2338"/>
      <c r="K111" s="797"/>
      <c r="L111" s="797"/>
    </row>
    <row r="112" spans="1:12" s="959" customFormat="1">
      <c r="A112" s="2337"/>
      <c r="D112" s="2338"/>
      <c r="K112" s="797"/>
      <c r="L112" s="797"/>
    </row>
    <row r="113" spans="1:12" s="959" customFormat="1">
      <c r="A113" s="2337"/>
      <c r="D113" s="2338"/>
      <c r="K113" s="797"/>
      <c r="L113" s="797"/>
    </row>
    <row r="114" spans="1:12" s="959" customFormat="1">
      <c r="A114" s="2337"/>
      <c r="D114" s="2338"/>
      <c r="K114" s="797"/>
      <c r="L114" s="797"/>
    </row>
    <row r="115" spans="1:12" s="959" customFormat="1">
      <c r="A115" s="2337"/>
      <c r="D115" s="2338"/>
      <c r="K115" s="797"/>
      <c r="L115" s="797"/>
    </row>
    <row r="116" spans="1:12" s="959" customFormat="1">
      <c r="A116" s="2337"/>
      <c r="D116" s="2338"/>
      <c r="K116" s="797"/>
      <c r="L116" s="797"/>
    </row>
    <row r="117" spans="1:12" s="959" customFormat="1">
      <c r="A117" s="2337"/>
      <c r="D117" s="2338"/>
      <c r="K117" s="797"/>
      <c r="L117" s="797"/>
    </row>
    <row r="118" spans="1:12" s="959" customFormat="1">
      <c r="A118" s="2337"/>
      <c r="D118" s="2338"/>
      <c r="K118" s="797"/>
      <c r="L118" s="797"/>
    </row>
    <row r="119" spans="1:12" s="959" customFormat="1">
      <c r="A119" s="2337"/>
      <c r="D119" s="2338"/>
      <c r="K119" s="797"/>
      <c r="L119" s="797"/>
    </row>
    <row r="120" spans="1:12" s="959" customFormat="1">
      <c r="A120" s="2337"/>
      <c r="D120" s="2338"/>
      <c r="K120" s="797"/>
      <c r="L120" s="797"/>
    </row>
    <row r="121" spans="1:12" s="959" customFormat="1">
      <c r="A121" s="2337"/>
      <c r="D121" s="2338"/>
      <c r="K121" s="797"/>
      <c r="L121" s="797"/>
    </row>
    <row r="122" spans="1:12" s="959" customFormat="1">
      <c r="A122" s="2337"/>
      <c r="D122" s="2338"/>
      <c r="K122" s="797"/>
      <c r="L122" s="797"/>
    </row>
    <row r="123" spans="1:12" s="959" customFormat="1">
      <c r="A123" s="2337"/>
      <c r="D123" s="2338"/>
      <c r="K123" s="797"/>
      <c r="L123" s="797"/>
    </row>
    <row r="124" spans="1:12" s="959" customFormat="1">
      <c r="A124" s="2337"/>
      <c r="D124" s="2338"/>
      <c r="K124" s="797"/>
      <c r="L124" s="797"/>
    </row>
    <row r="125" spans="1:12" s="959" customFormat="1">
      <c r="A125" s="2337"/>
      <c r="D125" s="2338"/>
      <c r="K125" s="797"/>
      <c r="L125" s="797"/>
    </row>
    <row r="126" spans="1:12" s="959" customFormat="1">
      <c r="A126" s="2337"/>
      <c r="D126" s="2338"/>
      <c r="K126" s="797"/>
      <c r="L126" s="797"/>
    </row>
    <row r="127" spans="1:12" s="959" customFormat="1">
      <c r="A127" s="2337"/>
      <c r="D127" s="2338"/>
      <c r="K127" s="797"/>
      <c r="L127" s="797"/>
    </row>
    <row r="128" spans="1:12" s="959" customFormat="1">
      <c r="A128" s="2337"/>
      <c r="D128" s="2338"/>
      <c r="K128" s="797"/>
      <c r="L128" s="797"/>
    </row>
    <row r="129" spans="1:12" s="959" customFormat="1">
      <c r="A129" s="2337"/>
      <c r="D129" s="2338"/>
      <c r="K129" s="797"/>
      <c r="L129" s="797"/>
    </row>
    <row r="130" spans="1:12" s="959" customFormat="1">
      <c r="A130" s="2337"/>
      <c r="D130" s="2338"/>
      <c r="K130" s="797"/>
      <c r="L130" s="797"/>
    </row>
    <row r="131" spans="1:12" s="959" customFormat="1">
      <c r="A131" s="2337"/>
      <c r="D131" s="2338"/>
      <c r="K131" s="797"/>
      <c r="L131" s="797"/>
    </row>
    <row r="132" spans="1:12" s="959" customFormat="1">
      <c r="A132" s="2337"/>
      <c r="D132" s="2338"/>
      <c r="K132" s="797"/>
      <c r="L132" s="797"/>
    </row>
    <row r="133" spans="1:12" s="959"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mergeCells count="4">
    <mergeCell ref="J17:L17"/>
    <mergeCell ref="M17:N17"/>
    <mergeCell ref="M18:N18"/>
    <mergeCell ref="M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M19:N19" r:id="rId1" display="javascript:top.main.DataEdit('46',21);"/>
    <hyperlink ref="I19" r:id="rId2" display="javascript:top.main.DataEdit('46',21);"/>
  </hyperlinks>
  <pageMargins left="0.7" right="0.7" top="0.75" bottom="0.75" header="0.3" footer="0.3"/>
  <pageSetup paperSize="9" scale="25" fitToHeight="0" orientation="portrait" r:id="rId3"/>
  <ignoredErrors>
    <ignoredError sqref="G16:H16" formulaRange="1"/>
  </ignoredError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31" t="s">
        <v>2081</v>
      </c>
      <c r="B1" s="3132"/>
      <c r="C1" s="3132"/>
      <c r="D1" s="3132"/>
      <c r="E1" s="3132"/>
      <c r="F1" s="3132"/>
      <c r="G1" s="313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54">
      <c r="A3" s="414" t="s">
        <v>2084</v>
      </c>
      <c r="B3" s="1263" t="s">
        <v>2085</v>
      </c>
      <c r="C3" s="2366" t="s">
        <v>2086</v>
      </c>
      <c r="D3" s="2367"/>
      <c r="E3" s="430" t="s">
        <v>2084</v>
      </c>
      <c r="F3" s="2368" t="s">
        <v>2087</v>
      </c>
      <c r="G3" s="2369" t="s">
        <v>2088</v>
      </c>
      <c r="H3" s="2364"/>
      <c r="I3" s="2364"/>
      <c r="J3" s="2364"/>
      <c r="K3" s="2364"/>
      <c r="L3" s="2364"/>
      <c r="M3" s="2364"/>
      <c r="N3" s="2364"/>
      <c r="O3" s="2364"/>
      <c r="P3" s="2364"/>
      <c r="Q3" s="2364"/>
      <c r="R3" s="2364"/>
    </row>
    <row r="4" spans="1:29" ht="41.25">
      <c r="A4" s="430"/>
      <c r="B4" s="1790" t="s">
        <v>2089</v>
      </c>
      <c r="C4" s="2370" t="s">
        <v>2090</v>
      </c>
      <c r="D4" s="2367"/>
      <c r="E4" s="2371"/>
      <c r="F4" s="42" t="s">
        <v>2091</v>
      </c>
      <c r="G4" s="2372" t="s">
        <v>2092</v>
      </c>
      <c r="H4" s="2364"/>
      <c r="I4" s="2364"/>
      <c r="J4" s="2364"/>
      <c r="K4" s="2364"/>
      <c r="L4" s="2364"/>
      <c r="M4" s="2364"/>
      <c r="N4" s="2364"/>
      <c r="O4" s="2364"/>
      <c r="P4" s="2364"/>
      <c r="Q4" s="2364"/>
      <c r="R4" s="2364"/>
    </row>
    <row r="5" spans="1:29" ht="41.25">
      <c r="A5" s="430"/>
      <c r="B5" s="1790" t="s">
        <v>2093</v>
      </c>
      <c r="C5" s="2370" t="s">
        <v>2094</v>
      </c>
      <c r="D5" s="2367"/>
      <c r="E5" s="2371"/>
      <c r="F5" s="1790" t="s">
        <v>2095</v>
      </c>
      <c r="G5" s="2372" t="s">
        <v>2096</v>
      </c>
      <c r="H5" s="2364"/>
      <c r="I5" s="2364"/>
      <c r="J5" s="2364"/>
      <c r="K5" s="2364"/>
      <c r="L5" s="2364"/>
      <c r="M5" s="2364"/>
      <c r="N5" s="2364"/>
      <c r="O5" s="2364"/>
      <c r="P5" s="2364"/>
      <c r="Q5" s="2364"/>
      <c r="R5" s="2364"/>
    </row>
    <row r="6" spans="1:29" ht="54">
      <c r="A6" s="430"/>
      <c r="B6" s="1790" t="s">
        <v>2097</v>
      </c>
      <c r="C6" s="2372" t="s">
        <v>2092</v>
      </c>
      <c r="D6" s="2367"/>
      <c r="E6" s="2371"/>
      <c r="F6" s="1790" t="s">
        <v>2098</v>
      </c>
      <c r="G6" s="2372" t="s">
        <v>2099</v>
      </c>
      <c r="H6" s="2364"/>
      <c r="I6" s="2364"/>
      <c r="J6" s="2364"/>
      <c r="K6" s="2364"/>
      <c r="L6" s="2364"/>
      <c r="M6" s="2364"/>
      <c r="N6" s="2364"/>
      <c r="O6" s="2364"/>
      <c r="P6" s="2364"/>
      <c r="Q6" s="2364"/>
      <c r="R6" s="2364"/>
    </row>
    <row r="7" spans="1:29" ht="41.25" thickBot="1">
      <c r="A7" s="430"/>
      <c r="B7" s="1790" t="s">
        <v>2095</v>
      </c>
      <c r="C7" s="2372" t="s">
        <v>2096</v>
      </c>
      <c r="D7" s="2373"/>
      <c r="E7" s="2374"/>
      <c r="F7" s="2375" t="s">
        <v>2100</v>
      </c>
      <c r="G7" s="2376" t="s">
        <v>2101</v>
      </c>
      <c r="H7" s="2364"/>
      <c r="I7" s="2364"/>
      <c r="J7" s="2364"/>
      <c r="K7" s="2364"/>
      <c r="L7" s="2364"/>
      <c r="M7" s="2364"/>
      <c r="N7" s="2364"/>
      <c r="O7" s="2364"/>
      <c r="P7" s="2364"/>
      <c r="Q7" s="2364"/>
      <c r="R7" s="2364"/>
    </row>
    <row r="8" spans="1:29" ht="27">
      <c r="A8" s="430"/>
      <c r="B8" s="1790" t="s">
        <v>2098</v>
      </c>
      <c r="C8" s="2372" t="s">
        <v>2099</v>
      </c>
      <c r="D8" s="2373"/>
      <c r="E8" s="2373"/>
      <c r="F8" s="1128"/>
      <c r="G8" s="1128"/>
      <c r="H8" s="2364"/>
      <c r="I8" s="2364"/>
      <c r="J8" s="2364"/>
      <c r="K8" s="2364"/>
      <c r="L8" s="2364"/>
      <c r="M8" s="2364"/>
      <c r="N8" s="2364"/>
      <c r="O8" s="2364"/>
      <c r="P8" s="2364"/>
      <c r="Q8" s="2364"/>
      <c r="R8" s="2364"/>
    </row>
    <row r="9" spans="1:29" ht="27">
      <c r="A9" s="430"/>
      <c r="B9" s="1790" t="s">
        <v>2102</v>
      </c>
      <c r="C9" s="2370" t="s">
        <v>2103</v>
      </c>
      <c r="D9" s="2367"/>
      <c r="E9" s="2373"/>
      <c r="F9" s="1128"/>
      <c r="G9" s="1128"/>
      <c r="H9" s="2364"/>
      <c r="I9" s="2364"/>
      <c r="J9" s="2364"/>
      <c r="K9" s="2364"/>
      <c r="L9" s="2364"/>
      <c r="M9" s="2364"/>
      <c r="N9" s="2364"/>
      <c r="O9" s="2364"/>
      <c r="P9" s="2364"/>
      <c r="Q9" s="2364"/>
      <c r="R9" s="2364"/>
    </row>
    <row r="10" spans="1:29" s="116" customFormat="1" ht="15.75" thickBot="1">
      <c r="A10" s="2377"/>
      <c r="B10" s="2378" t="s">
        <v>2104</v>
      </c>
      <c r="C10" s="2379"/>
      <c r="D10" s="2367"/>
      <c r="E10" s="2367"/>
      <c r="F10" s="1128"/>
      <c r="G10" s="1128"/>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6"/>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6"/>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2105</v>
      </c>
      <c r="B13" s="2384"/>
      <c r="C13" s="2384"/>
      <c r="D13" s="2391"/>
      <c r="E13" s="2384"/>
      <c r="F13" s="2384"/>
      <c r="G13" s="2384"/>
    </row>
    <row r="14" spans="1:29" ht="15.75" thickBot="1">
      <c r="A14" s="2395"/>
      <c r="B14" s="2396"/>
      <c r="C14" s="2397" t="s">
        <v>2106</v>
      </c>
      <c r="D14" s="2367"/>
      <c r="E14" s="2398"/>
      <c r="F14" s="2398"/>
      <c r="G14" s="2361" t="s">
        <v>2107</v>
      </c>
    </row>
    <row r="15" spans="1:29" ht="57">
      <c r="A15" s="68" t="s">
        <v>2108</v>
      </c>
      <c r="B15" s="1262" t="s">
        <v>2085</v>
      </c>
      <c r="C15" s="2399" t="str">
        <f>C3</f>
        <v>估价对象周边居住用地比例、居住小区规模和社区发展完善程度，综合评价居住社区成熟度一般</v>
      </c>
      <c r="D15" s="2367"/>
      <c r="E15" s="2400" t="s">
        <v>2109</v>
      </c>
      <c r="F15" s="1262" t="s">
        <v>2110</v>
      </c>
      <c r="G15" s="134" t="str">
        <f>G3</f>
        <v>估价对象位于XX开发区，园区建设成熟度XX，产业集聚程度XX</v>
      </c>
    </row>
    <row r="16" spans="1:29" ht="42.75">
      <c r="A16" s="644"/>
      <c r="B16" s="2401" t="s">
        <v>2089</v>
      </c>
      <c r="C16" s="2402" t="str">
        <f>C4</f>
        <v>估价对象位于XX商圈，周边商业氛围成熟，人流量大，商业繁华度好</v>
      </c>
      <c r="D16" s="2367"/>
      <c r="E16" s="2403"/>
      <c r="F16" s="2404" t="s">
        <v>2091</v>
      </c>
      <c r="G16" s="135" t="str">
        <f>G4</f>
        <v>估价对象周边道路状况、公共交通通达情况、停车便捷程度，综合评价交通便捷度较好</v>
      </c>
    </row>
    <row r="17" spans="1:18" ht="42.75">
      <c r="A17" s="644"/>
      <c r="B17" s="2401" t="s">
        <v>2093</v>
      </c>
      <c r="C17" s="2402" t="str">
        <f>C5</f>
        <v>估价对象位于XX商圈，周边办公楼项目较多，入驻率高，办公集聚程度较好</v>
      </c>
      <c r="D17" s="2373"/>
      <c r="E17" s="2403"/>
      <c r="F17" s="2404" t="s">
        <v>2111</v>
      </c>
      <c r="G17" s="1564"/>
    </row>
    <row r="18" spans="1:18" ht="57">
      <c r="A18" s="644"/>
      <c r="B18" s="2404" t="s">
        <v>2097</v>
      </c>
      <c r="C18" s="135" t="str">
        <f>C6</f>
        <v>估价对象周边道路状况、公共交通通达情况、停车便捷程度，综合评价交通便捷度较好</v>
      </c>
      <c r="D18" s="2373"/>
      <c r="E18" s="2403"/>
      <c r="F18" s="2404" t="s">
        <v>2100</v>
      </c>
      <c r="G18" s="135" t="str">
        <f>G7</f>
        <v>该园区内是否有污染型企业，绿化情况，卫生条件，整体环境状况判断</v>
      </c>
    </row>
    <row r="19" spans="1:18" ht="28.5">
      <c r="A19" s="644"/>
      <c r="B19" s="2404" t="s">
        <v>2112</v>
      </c>
      <c r="C19" s="1564"/>
      <c r="D19" s="2367"/>
      <c r="E19" s="2403"/>
      <c r="F19" s="1790" t="s">
        <v>2095</v>
      </c>
      <c r="G19" s="135" t="str">
        <f>G5</f>
        <v>估价对象所在区域公共配套设施齐备情况</v>
      </c>
    </row>
    <row r="20" spans="1:18" ht="28.5">
      <c r="A20" s="644"/>
      <c r="B20" s="2404" t="s">
        <v>2113</v>
      </c>
      <c r="C20" s="2402" t="str">
        <f>C9</f>
        <v>区域自然环境：；人文环境；综合评价环境状况一般</v>
      </c>
      <c r="D20" s="2373"/>
      <c r="E20" s="2403"/>
      <c r="F20" s="1790" t="s">
        <v>2114</v>
      </c>
      <c r="G20" s="135" t="str">
        <f>G6</f>
        <v>估价对象所在区域基础设施水平</v>
      </c>
    </row>
    <row r="21" spans="1:18" ht="28.5">
      <c r="A21" s="644"/>
      <c r="B21" s="1790" t="s">
        <v>2095</v>
      </c>
      <c r="C21" s="135" t="str">
        <f>C7</f>
        <v>估价对象所在区域公共配套设施齐备情况</v>
      </c>
      <c r="D21" s="2367"/>
      <c r="E21" s="2403"/>
      <c r="F21" s="2404" t="s">
        <v>2115</v>
      </c>
      <c r="G21" s="2405"/>
    </row>
    <row r="22" spans="1:18" ht="13.5" customHeight="1">
      <c r="A22" s="644"/>
      <c r="B22" s="1790" t="s">
        <v>2098</v>
      </c>
      <c r="C22" s="135" t="str">
        <f>C8</f>
        <v>估价对象所在区域基础设施水平</v>
      </c>
      <c r="D22" s="2367"/>
      <c r="E22" s="2403"/>
      <c r="F22" s="2404" t="s">
        <v>2104</v>
      </c>
      <c r="G22" s="1564"/>
    </row>
    <row r="23" spans="1:18" s="2364"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4"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Normal="100" zoomScaleSheetLayoutView="100" zoomScalePageLayoutView="80" workbookViewId="0">
      <selection activeCell="H111" sqref="H111"/>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2118</v>
      </c>
      <c r="B1" s="2415"/>
      <c r="C1" s="2416"/>
      <c r="D1" s="2415"/>
      <c r="E1" s="2415"/>
      <c r="F1" s="2417" t="s">
        <v>2119</v>
      </c>
      <c r="G1" s="2066" t="s">
        <v>2120</v>
      </c>
      <c r="H1" s="2418" t="str">
        <f>IF(G1="现房","——","估价对象范围")</f>
        <v>估价对象范围</v>
      </c>
      <c r="I1" s="2419" t="s">
        <v>3172</v>
      </c>
    </row>
    <row r="2" spans="1:12" ht="21.75" customHeight="1" thickBot="1">
      <c r="A2" s="3205" t="str">
        <f>项目基本情况!S2</f>
        <v>出让国有建设用地使用权及在建建筑物房地产</v>
      </c>
      <c r="B2" s="3206"/>
      <c r="C2" s="3206"/>
      <c r="D2" s="3206"/>
      <c r="E2" s="3206"/>
      <c r="F2" s="3206"/>
      <c r="G2" s="3206"/>
      <c r="H2" s="3206"/>
      <c r="I2" s="3207"/>
    </row>
    <row r="3" spans="1:12" ht="12.75">
      <c r="A3" s="3208" t="s">
        <v>2121</v>
      </c>
      <c r="B3" s="3209"/>
      <c r="C3" s="3209"/>
      <c r="D3" s="3209"/>
      <c r="E3" s="3209"/>
      <c r="F3" s="3209"/>
      <c r="G3" s="3209"/>
      <c r="H3" s="3209"/>
      <c r="I3" s="3209"/>
    </row>
    <row r="4" spans="1:12" ht="14.25">
      <c r="A4" s="2422" t="s">
        <v>2122</v>
      </c>
      <c r="B4" s="2423" t="s">
        <v>2123</v>
      </c>
      <c r="C4" s="2424" t="s">
        <v>3085</v>
      </c>
      <c r="D4" s="2424" t="s">
        <v>3086</v>
      </c>
      <c r="E4" s="3189" t="s">
        <v>2124</v>
      </c>
      <c r="F4" s="3202"/>
      <c r="G4" s="3202"/>
      <c r="H4" s="3202"/>
      <c r="I4" s="31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80" t="s">
        <v>2125</v>
      </c>
      <c r="B5" s="3102">
        <v>25</v>
      </c>
      <c r="C5" s="3210"/>
      <c r="D5" s="3198"/>
      <c r="E5" s="139" t="s">
        <v>2126</v>
      </c>
      <c r="F5" s="2426"/>
      <c r="G5" s="2426"/>
      <c r="H5" s="2426"/>
      <c r="I5" s="1826"/>
    </row>
    <row r="6" spans="1:12" ht="12.75">
      <c r="A6" s="3180"/>
      <c r="B6" s="3102"/>
      <c r="C6" s="3212"/>
      <c r="D6" s="3198"/>
      <c r="E6" s="139" t="s">
        <v>2127</v>
      </c>
      <c r="F6" s="2426"/>
      <c r="G6" s="2426"/>
      <c r="H6" s="2426"/>
      <c r="I6" s="1826"/>
    </row>
    <row r="7" spans="1:12" ht="12.75">
      <c r="A7" s="3180"/>
      <c r="B7" s="3102"/>
      <c r="C7" s="3211"/>
      <c r="D7" s="3198"/>
      <c r="E7" s="139" t="s">
        <v>2128</v>
      </c>
      <c r="F7" s="2426"/>
      <c r="G7" s="2426"/>
      <c r="H7" s="2426"/>
      <c r="I7" s="1826"/>
    </row>
    <row r="8" spans="1:12" ht="12.75">
      <c r="A8" s="3180" t="s">
        <v>2129</v>
      </c>
      <c r="B8" s="3102">
        <v>15</v>
      </c>
      <c r="C8" s="3210"/>
      <c r="D8" s="3198"/>
      <c r="E8" s="139" t="s">
        <v>2130</v>
      </c>
      <c r="F8" s="2426"/>
      <c r="G8" s="2426"/>
      <c r="H8" s="2426"/>
      <c r="I8" s="1826"/>
    </row>
    <row r="9" spans="1:12" ht="12.75">
      <c r="A9" s="3180"/>
      <c r="B9" s="3102"/>
      <c r="C9" s="3211"/>
      <c r="D9" s="3198"/>
      <c r="E9" s="139" t="s">
        <v>2131</v>
      </c>
      <c r="F9" s="2426"/>
      <c r="G9" s="2426"/>
      <c r="H9" s="2426"/>
      <c r="I9" s="1826"/>
    </row>
    <row r="10" spans="1:12" ht="12.75">
      <c r="A10" s="3180" t="s">
        <v>2132</v>
      </c>
      <c r="B10" s="3102">
        <v>15</v>
      </c>
      <c r="C10" s="3210"/>
      <c r="D10" s="3198"/>
      <c r="E10" s="139" t="s">
        <v>2133</v>
      </c>
      <c r="F10" s="2426"/>
      <c r="G10" s="2426"/>
      <c r="H10" s="2426"/>
      <c r="I10" s="1826"/>
    </row>
    <row r="11" spans="1:12" ht="12.75">
      <c r="A11" s="3180"/>
      <c r="B11" s="3102"/>
      <c r="C11" s="3211"/>
      <c r="D11" s="3198"/>
      <c r="E11" s="139" t="s">
        <v>2134</v>
      </c>
      <c r="F11" s="2426"/>
      <c r="G11" s="2426"/>
      <c r="H11" s="2426"/>
      <c r="I11" s="1826"/>
    </row>
    <row r="12" spans="1:12" ht="12.75">
      <c r="A12" s="3180" t="s">
        <v>2135</v>
      </c>
      <c r="B12" s="3102">
        <v>15</v>
      </c>
      <c r="C12" s="3210"/>
      <c r="D12" s="3198"/>
      <c r="E12" s="139" t="s">
        <v>2136</v>
      </c>
      <c r="F12" s="2426"/>
      <c r="G12" s="2426"/>
      <c r="H12" s="2426"/>
      <c r="I12" s="1826"/>
    </row>
    <row r="13" spans="1:12" ht="12.75">
      <c r="A13" s="3180"/>
      <c r="B13" s="3102"/>
      <c r="C13" s="3211"/>
      <c r="D13" s="3198"/>
      <c r="E13" s="139" t="s">
        <v>2137</v>
      </c>
      <c r="F13" s="2426"/>
      <c r="G13" s="2426"/>
      <c r="H13" s="2426"/>
      <c r="I13" s="1826"/>
    </row>
    <row r="14" spans="1:12" ht="12.75">
      <c r="A14" s="3180" t="s">
        <v>2138</v>
      </c>
      <c r="B14" s="3102">
        <v>30</v>
      </c>
      <c r="C14" s="3210">
        <v>5</v>
      </c>
      <c r="D14" s="3198">
        <v>5</v>
      </c>
      <c r="E14" s="139" t="s">
        <v>2139</v>
      </c>
      <c r="F14" s="2426"/>
      <c r="G14" s="2426"/>
      <c r="H14" s="2426"/>
      <c r="I14" s="1826"/>
    </row>
    <row r="15" spans="1:12" ht="12.75">
      <c r="A15" s="3180"/>
      <c r="B15" s="3102"/>
      <c r="C15" s="3212"/>
      <c r="D15" s="3198"/>
      <c r="E15" s="139" t="s">
        <v>2140</v>
      </c>
      <c r="F15" s="2426"/>
      <c r="G15" s="2426"/>
      <c r="H15" s="2426"/>
      <c r="I15" s="1826"/>
    </row>
    <row r="16" spans="1:12" ht="12.75">
      <c r="A16" s="3180"/>
      <c r="B16" s="3102"/>
      <c r="C16" s="3211"/>
      <c r="D16" s="3198"/>
      <c r="E16" s="139" t="s">
        <v>2141</v>
      </c>
      <c r="F16" s="2426"/>
      <c r="G16" s="2426"/>
      <c r="H16" s="2426"/>
      <c r="I16" s="1826"/>
    </row>
    <row r="17" spans="1:35" ht="15">
      <c r="A17" s="2427" t="s">
        <v>2142</v>
      </c>
      <c r="B17" s="64"/>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J18" s="3006"/>
      <c r="K18" s="2425" t="s">
        <v>2146</v>
      </c>
      <c r="L18" s="2425">
        <f>IF(C1="",'数据-汇总表'!E3,SUMIF(项目类型,C1,'数据-汇总表'!E17:E26)+SUMIF(项目类型,C1,'数据-汇总表'!I17:I26))</f>
        <v>71473.9099999998</v>
      </c>
      <c r="M18" s="2425">
        <f>IF(C1="",'数据-汇总表'!E3,SUMIF(项目类型,C1,'数据-汇总表'!E17:E26))</f>
        <v>71473.9099999998</v>
      </c>
    </row>
    <row r="19" spans="1:35" ht="15">
      <c r="A19" s="2431" t="s">
        <v>2147</v>
      </c>
      <c r="B19" s="2432" t="s">
        <v>2148</v>
      </c>
      <c r="C19" s="142">
        <f ca="1">SUMIF(INDIRECT("'"&amp;C4&amp;"'"&amp;"!A:A"),结果表!B19,INDIRECT("'"&amp;C4&amp;"'"&amp;"!B:B"))</f>
        <v>58607</v>
      </c>
      <c r="D19" s="143">
        <f ca="1">SUMIF(INDIRECT("'"&amp;D4&amp;"'"&amp;"!A:A"),结果表!B19,INDIRECT("'"&amp;D4&amp;"'"&amp;"!B:B"))</f>
        <v>65958</v>
      </c>
      <c r="E19" s="2431" t="s">
        <v>2149</v>
      </c>
      <c r="F19" s="2432" t="s">
        <v>2148</v>
      </c>
      <c r="G19" s="144">
        <f ca="1">ROUND(C19*$C$18+D19*$D$18,0)</f>
        <v>62283</v>
      </c>
      <c r="H19" s="2433" t="s">
        <v>2150</v>
      </c>
      <c r="I19" s="137"/>
      <c r="K19" s="2425" t="s">
        <v>2151</v>
      </c>
      <c r="L19" s="2425">
        <f>IF(C1="",'数据-汇总表'!D3,SUMIF(项目类型,C1,'数据-汇总表'!D17:D26)+SUMIF(项目类型,C1,'数据-汇总表'!H17:H27))</f>
        <v>63815.99</v>
      </c>
      <c r="M19" s="2425">
        <f>IF(C1="",'数据-汇总表'!D3,SUMIF(项目类型,C1,'数据-汇总表'!D17:D26))</f>
        <v>63815.99</v>
      </c>
    </row>
    <row r="20" spans="1:35" ht="15">
      <c r="A20" s="2434"/>
      <c r="B20" s="1242" t="s">
        <v>2152</v>
      </c>
      <c r="C20" s="145">
        <f ca="1">SUMIF(INDIRECT("'"&amp;C4&amp;"'"&amp;"!A:A"),结果表!B20,INDIRECT("'"&amp;C4&amp;"'"&amp;"!B:B"))</f>
        <v>8200</v>
      </c>
      <c r="D20" s="146">
        <f ca="1">SUMIF(INDIRECT("'"&amp;D4&amp;"'"&amp;"!A:A"),结果表!B20,INDIRECT("'"&amp;D4&amp;"'"&amp;"!B:B"))</f>
        <v>9228</v>
      </c>
      <c r="E20" s="2434"/>
      <c r="F20" s="1242" t="s">
        <v>2152</v>
      </c>
      <c r="G20" s="147">
        <f ca="1">ROUND(C20*$C$18+D20*$D$18,0)</f>
        <v>8714</v>
      </c>
      <c r="H20" s="975" t="s">
        <v>2153</v>
      </c>
      <c r="I20" s="137"/>
    </row>
    <row r="21" spans="1:35" ht="15" customHeight="1" thickBot="1">
      <c r="A21" s="995"/>
      <c r="B21" s="2435" t="s">
        <v>2154</v>
      </c>
      <c r="C21" s="788">
        <f ca="1">ROUND(C19*10000/L19,0)</f>
        <v>9184</v>
      </c>
      <c r="D21" s="789">
        <f ca="1">ROUND(D19*10000/L19,0)</f>
        <v>10336</v>
      </c>
      <c r="E21" s="995"/>
      <c r="F21" s="2435" t="s">
        <v>2154</v>
      </c>
      <c r="G21" s="148">
        <f ca="1">ROUND(G19*10000/L19,0)</f>
        <v>9760</v>
      </c>
      <c r="H21" s="2436" t="s">
        <v>2153</v>
      </c>
      <c r="I21" s="137"/>
    </row>
    <row r="22" spans="1:35" ht="15" thickBot="1">
      <c r="A22" s="2277" t="s">
        <v>2155</v>
      </c>
      <c r="B22" s="2437"/>
      <c r="C22" s="2438"/>
      <c r="D22" s="790">
        <f ca="1">IF(C19&lt;D19,D19/C19-1,C19/D19-1)</f>
        <v>0.12542870305594889</v>
      </c>
      <c r="E22" s="137"/>
      <c r="F22" s="137"/>
      <c r="G22" s="137"/>
      <c r="H22" s="137"/>
      <c r="I22" s="137"/>
    </row>
    <row r="23" spans="1:35" ht="13.5" thickBot="1">
      <c r="A23" s="2415"/>
      <c r="B23" s="2415"/>
      <c r="C23" s="2415"/>
      <c r="D23" s="2415"/>
      <c r="E23" s="137"/>
      <c r="F23" s="137"/>
      <c r="G23" s="137"/>
      <c r="H23" s="137"/>
      <c r="I23" s="137"/>
    </row>
    <row r="24" spans="1:35" ht="14.25">
      <c r="A24" s="3219" t="s">
        <v>2156</v>
      </c>
      <c r="B24" s="2432" t="s">
        <v>2148</v>
      </c>
      <c r="C24" s="144">
        <f>IF(B30=0,0,D30)</f>
        <v>0</v>
      </c>
      <c r="D24" s="2439"/>
      <c r="E24" s="137"/>
      <c r="F24" s="137"/>
      <c r="G24" s="137"/>
      <c r="H24" s="137"/>
      <c r="I24" s="137"/>
    </row>
    <row r="25" spans="1:35" ht="14.25">
      <c r="A25" s="3220"/>
      <c r="B25" s="1242" t="s">
        <v>2152</v>
      </c>
      <c r="C25" s="149">
        <f>IF(B30=0,0,C30)</f>
        <v>0</v>
      </c>
      <c r="D25" s="2440"/>
      <c r="E25" s="137"/>
      <c r="F25" s="137"/>
      <c r="G25" s="137"/>
      <c r="H25" s="137"/>
      <c r="I25" s="137"/>
      <c r="K25" s="794">
        <f>'数据-基础表'!A3+'[1]数据-基础表'!$A$3</f>
        <v>128677.70107142838</v>
      </c>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11" t="s">
        <v>3031</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2162</v>
      </c>
      <c r="B32" s="2445"/>
      <c r="C32" s="152">
        <f ca="1">IF(D32="总价",G19-C24,G20-C25)</f>
        <v>62283</v>
      </c>
      <c r="D32" s="2446" t="s">
        <v>2163</v>
      </c>
      <c r="E32" s="137"/>
      <c r="F32" s="137"/>
      <c r="G32" s="137"/>
      <c r="H32" s="137"/>
      <c r="I32" s="137"/>
    </row>
    <row r="33" spans="1:15" ht="15">
      <c r="A33" s="952" t="s">
        <v>2164</v>
      </c>
      <c r="B33" s="2447"/>
      <c r="C33" s="2448" t="s">
        <v>3173</v>
      </c>
      <c r="D33" s="2449" t="s">
        <v>3085</v>
      </c>
      <c r="E33" s="2450" t="s">
        <v>2165</v>
      </c>
      <c r="F33" s="2451" t="str">
        <f>IF(D32="楼面单价","取值（单价）","取值（总价）")</f>
        <v>取值（总价）</v>
      </c>
      <c r="G33" s="137"/>
      <c r="H33" s="137"/>
      <c r="I33" s="137"/>
    </row>
    <row r="34" spans="1:15" ht="15">
      <c r="A34" s="2452"/>
      <c r="B34" s="2453" t="s">
        <v>2166</v>
      </c>
      <c r="C34" s="156">
        <f ca="1">IF(C33="自定义",F34,C32-C35)</f>
        <v>34567</v>
      </c>
      <c r="D34" s="1050">
        <f ca="1">IF(C33="自定义",ROUND(C34/C32,3),IF(C33="收益比率",SUMIF(INDIRECT("'"&amp;D33&amp;"'"&amp;"!b:b"),"土地收益比率",INDIRECT("'"&amp;D33&amp;"'"&amp;"!c:c")),SUMIF(INDIRECT("'"&amp;D33&amp;"'"&amp;"!b:b"),"土地成本比率",INDIRECT("'"&amp;D33&amp;"'"&amp;"!c:c"))))</f>
        <v>0.55499999999999994</v>
      </c>
      <c r="E34" s="2454" t="s">
        <v>2167</v>
      </c>
      <c r="F34" s="1731"/>
      <c r="G34" s="137"/>
      <c r="H34" s="137"/>
      <c r="I34" s="137"/>
    </row>
    <row r="35" spans="1:15" ht="15.75" thickBot="1">
      <c r="A35" s="2455"/>
      <c r="B35" s="2456" t="s">
        <v>2168</v>
      </c>
      <c r="C35" s="1436">
        <f ca="1">IF(C33="自定义",F35,ROUND(C32*D35,0))</f>
        <v>27716</v>
      </c>
      <c r="D35" s="1437">
        <f ca="1">IF(C33="自定义",ROUND(C35/C32,3),IF(C33="收益比率",SUMIF(INDIRECT("'"&amp;D33&amp;"'"&amp;"!b:b"),"建筑物收益比率",INDIRECT("'"&amp;D33&amp;"'"&amp;"!c:c")),SUMIF(INDIRECT("'"&amp;D33&amp;"'"&amp;"!b:b"),"建筑物成本比率",INDIRECT("'"&amp;D33&amp;"'"&amp;"!c:c"))))</f>
        <v>0.44500000000000001</v>
      </c>
      <c r="E35" s="2457" t="s">
        <v>2169</v>
      </c>
      <c r="F35" s="162"/>
      <c r="G35" s="137"/>
      <c r="H35" s="137"/>
      <c r="I35" s="137"/>
    </row>
    <row r="36" spans="1:15" ht="15.75" thickBot="1">
      <c r="A36" s="3199" t="s">
        <v>2170</v>
      </c>
      <c r="B36" s="2458" t="s">
        <v>2171</v>
      </c>
      <c r="C36" s="153"/>
      <c r="D36" s="2459"/>
      <c r="E36" s="2460"/>
      <c r="F36" s="2461"/>
      <c r="G36" s="137"/>
      <c r="H36" s="137"/>
      <c r="I36" s="137"/>
    </row>
    <row r="37" spans="1:15" ht="15.75" thickBot="1">
      <c r="A37" s="3200"/>
      <c r="B37" s="2263" t="s">
        <v>2172</v>
      </c>
      <c r="C37" s="155"/>
      <c r="D37" s="1387"/>
      <c r="E37" s="1387"/>
      <c r="F37" s="2461"/>
      <c r="G37" s="137"/>
      <c r="H37" s="137"/>
      <c r="I37" s="137"/>
    </row>
    <row r="38" spans="1:15" ht="15.75" thickBot="1">
      <c r="A38" s="3201"/>
      <c r="B38" s="2462" t="s">
        <v>2173</v>
      </c>
      <c r="C38" s="726"/>
      <c r="D38" s="2463" t="s">
        <v>2174</v>
      </c>
      <c r="E38" s="1387"/>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16" t="s">
        <v>2184</v>
      </c>
      <c r="B45" s="3217"/>
      <c r="C45" s="3218"/>
      <c r="D45" s="163">
        <f ca="1">ROUND(H101*F45,0)</f>
        <v>62283</v>
      </c>
      <c r="E45" s="164" t="s">
        <v>2185</v>
      </c>
      <c r="F45" s="165">
        <v>1</v>
      </c>
      <c r="G45" s="166" t="s">
        <v>2186</v>
      </c>
      <c r="H45" s="137"/>
      <c r="I45" s="137"/>
      <c r="J45" s="3135" t="s">
        <v>2187</v>
      </c>
      <c r="K45" s="3135"/>
      <c r="L45" s="3135"/>
      <c r="M45" s="3135"/>
      <c r="N45" s="3135"/>
      <c r="O45" s="3135"/>
    </row>
    <row r="46" spans="1:15" ht="14.25" customHeight="1">
      <c r="A46" s="3213" t="s">
        <v>2188</v>
      </c>
      <c r="B46" s="3214"/>
      <c r="C46" s="3214"/>
      <c r="D46" s="3214"/>
      <c r="E46" s="3214"/>
      <c r="F46" s="3214"/>
      <c r="G46" s="3215"/>
      <c r="H46" s="2477"/>
      <c r="I46" s="167"/>
      <c r="J46" s="1804">
        <v>1</v>
      </c>
      <c r="K46" s="3135" t="s">
        <v>2189</v>
      </c>
      <c r="L46" s="3135"/>
      <c r="M46" s="3136"/>
      <c r="N46" s="3136"/>
      <c r="O46" s="3136"/>
    </row>
    <row r="47" spans="1:15" ht="12" customHeight="1">
      <c r="A47" s="168" t="s">
        <v>2190</v>
      </c>
      <c r="B47" s="169"/>
      <c r="C47" s="170"/>
      <c r="D47" s="171" t="s">
        <v>2191</v>
      </c>
      <c r="E47" s="24" t="s">
        <v>2192</v>
      </c>
      <c r="F47" s="172" t="s">
        <v>2193</v>
      </c>
      <c r="G47" s="173" t="s">
        <v>2194</v>
      </c>
      <c r="H47" s="2477"/>
      <c r="I47" s="167"/>
      <c r="J47" s="1804">
        <v>2</v>
      </c>
      <c r="K47" s="3135" t="s">
        <v>2195</v>
      </c>
      <c r="L47" s="3135"/>
      <c r="M47" s="3137">
        <f>'数据-取费表'!B2</f>
        <v>43758</v>
      </c>
      <c r="N47" s="3137"/>
      <c r="O47" s="3137"/>
    </row>
    <row r="48" spans="1:15" ht="25.5">
      <c r="A48" s="3203" t="s">
        <v>2196</v>
      </c>
      <c r="B48" s="3204"/>
      <c r="C48" s="3204"/>
      <c r="D48" s="139">
        <f ca="1">IF(H48="情况1",0,IF(H48="情况2",D52,IF(H48="情况3",D53,IF(H48="情况4",D54))))</f>
        <v>3262</v>
      </c>
      <c r="E48" s="1793" t="str">
        <f>IF(H48="情况4","(销售额-原购置价)×税（费）率","销售额×税（费）率")</f>
        <v>销售额×税（费）率</v>
      </c>
      <c r="F48" s="174">
        <f>IF(H48="情况1","免征",'数据-取费表'!B41)</f>
        <v>5.5000000000000007E-2</v>
      </c>
      <c r="G48" s="2478" t="s">
        <v>2197</v>
      </c>
      <c r="H48" s="2479" t="s">
        <v>3174</v>
      </c>
      <c r="I48" s="2477"/>
      <c r="J48" s="1804">
        <v>3</v>
      </c>
      <c r="K48" s="3135" t="s">
        <v>2198</v>
      </c>
      <c r="L48" s="3135"/>
      <c r="M48" s="3138">
        <f ca="1">H101</f>
        <v>62283</v>
      </c>
      <c r="N48" s="3138"/>
      <c r="O48" s="3138"/>
    </row>
    <row r="49" spans="1:35" ht="25.5" customHeight="1">
      <c r="A49" s="175" t="s">
        <v>2199</v>
      </c>
      <c r="B49" s="3183" t="s">
        <v>2200</v>
      </c>
      <c r="C49" s="3183"/>
      <c r="D49" s="176">
        <v>0</v>
      </c>
      <c r="E49" s="23" t="s">
        <v>2201</v>
      </c>
      <c r="F49" s="28" t="s">
        <v>34</v>
      </c>
      <c r="G49" s="3164"/>
      <c r="H49" s="137"/>
      <c r="I49" s="2480"/>
      <c r="J49" s="1804">
        <v>4</v>
      </c>
      <c r="K49" s="3135" t="str">
        <f>IF(项目基本情况!E8="房地产抵押价值","房地产抵押价值","抵押担保权已注销时的房地产抵押价值")</f>
        <v>房地产抵押价值</v>
      </c>
      <c r="L49" s="3135"/>
      <c r="M49" s="3138">
        <f ca="1">IF(项目基本情况!E8="房地产抵押价值",H107,H109)</f>
        <v>62283</v>
      </c>
      <c r="N49" s="3138"/>
      <c r="O49" s="3138"/>
    </row>
    <row r="50" spans="1:35" ht="25.5" customHeight="1">
      <c r="A50" s="177"/>
      <c r="B50" s="3183" t="s">
        <v>2202</v>
      </c>
      <c r="C50" s="3183"/>
      <c r="D50" s="178"/>
      <c r="E50" s="31"/>
      <c r="F50" s="179"/>
      <c r="G50" s="3165"/>
      <c r="H50" s="137"/>
      <c r="I50" s="2480"/>
      <c r="J50" s="3135" t="s">
        <v>2203</v>
      </c>
      <c r="K50" s="3135"/>
      <c r="L50" s="3135"/>
      <c r="M50" s="3135"/>
      <c r="N50" s="3135"/>
      <c r="O50" s="3135"/>
    </row>
    <row r="51" spans="1:35" ht="12" customHeight="1">
      <c r="A51" s="180"/>
      <c r="B51" s="3183" t="s">
        <v>2204</v>
      </c>
      <c r="C51" s="3183"/>
      <c r="D51" s="181"/>
      <c r="E51" s="30"/>
      <c r="F51" s="179"/>
      <c r="G51" s="3166"/>
      <c r="H51" s="137"/>
      <c r="I51" s="2480"/>
      <c r="J51" s="2481" t="s">
        <v>2205</v>
      </c>
      <c r="K51" s="3135" t="s">
        <v>2206</v>
      </c>
      <c r="L51" s="3135"/>
      <c r="M51" s="2481" t="s">
        <v>2207</v>
      </c>
      <c r="N51" s="2481" t="s">
        <v>2208</v>
      </c>
      <c r="O51" s="2481" t="s">
        <v>2209</v>
      </c>
    </row>
    <row r="52" spans="1:35" ht="24" customHeight="1">
      <c r="A52" s="182" t="s">
        <v>2210</v>
      </c>
      <c r="B52" s="3183" t="s">
        <v>2211</v>
      </c>
      <c r="C52" s="3183"/>
      <c r="D52" s="181">
        <f ca="1">ROUND(D45*'数据-取费表'!B41/(1+'数据-取费表'!C42),0)</f>
        <v>3262</v>
      </c>
      <c r="E52" s="11" t="s">
        <v>2212</v>
      </c>
      <c r="F52" s="183">
        <f>'数据-取费表'!B41</f>
        <v>5.5000000000000007E-2</v>
      </c>
      <c r="G52" s="2482"/>
      <c r="H52" s="137"/>
      <c r="I52" s="2480"/>
      <c r="J52" s="1804">
        <v>1</v>
      </c>
      <c r="K52" s="3158" t="s">
        <v>2213</v>
      </c>
      <c r="L52" s="3158"/>
      <c r="M52" s="1746">
        <f ca="1">D48</f>
        <v>3262</v>
      </c>
      <c r="N52" s="1804" t="str">
        <f>E48</f>
        <v>销售额×税（费）率</v>
      </c>
      <c r="O52" s="1747">
        <f>F48</f>
        <v>5.5000000000000007E-2</v>
      </c>
    </row>
    <row r="53" spans="1:35" ht="12" customHeight="1">
      <c r="A53" s="182" t="s">
        <v>2214</v>
      </c>
      <c r="B53" s="3184" t="s">
        <v>2215</v>
      </c>
      <c r="C53" s="3185"/>
      <c r="D53" s="181">
        <f ca="1">ROUND(D45*'数据-取费表'!B41/(1+'数据-取费表'!C42),0)</f>
        <v>3262</v>
      </c>
      <c r="E53" s="11" t="s">
        <v>2212</v>
      </c>
      <c r="F53" s="183">
        <f>'数据-取费表'!B41</f>
        <v>5.5000000000000007E-2</v>
      </c>
      <c r="G53" s="2482"/>
      <c r="H53" s="137"/>
      <c r="I53" s="2480"/>
      <c r="J53" s="1804">
        <v>2</v>
      </c>
      <c r="K53" s="3158" t="s">
        <v>2216</v>
      </c>
      <c r="L53" s="3158"/>
      <c r="M53" s="1746">
        <f t="shared" ref="M53:O54" ca="1" si="0">D55</f>
        <v>31</v>
      </c>
      <c r="N53" s="1804" t="str">
        <f t="shared" si="0"/>
        <v>销售额×税（费）率</v>
      </c>
      <c r="O53" s="1747">
        <f t="shared" si="0"/>
        <v>5.0000000000000001E-4</v>
      </c>
    </row>
    <row r="54" spans="1:35" ht="12" customHeight="1">
      <c r="A54" s="182" t="s">
        <v>2217</v>
      </c>
      <c r="B54" s="3184" t="s">
        <v>2218</v>
      </c>
      <c r="C54" s="3185"/>
      <c r="D54" s="181">
        <f ca="1">C68</f>
        <v>3262</v>
      </c>
      <c r="E54" s="30" t="s">
        <v>2219</v>
      </c>
      <c r="F54" s="183">
        <f>'数据-取费表'!B41</f>
        <v>5.5000000000000007E-2</v>
      </c>
      <c r="G54" s="2482"/>
      <c r="H54" s="2483"/>
      <c r="I54" s="2480"/>
      <c r="J54" s="1804">
        <v>3</v>
      </c>
      <c r="K54" s="3158" t="s">
        <v>2220</v>
      </c>
      <c r="L54" s="3158"/>
      <c r="M54" s="1746">
        <f t="shared" ca="1" si="0"/>
        <v>19346</v>
      </c>
      <c r="N54" s="1804" t="str">
        <f t="shared" si="0"/>
        <v>增值额×税（费）率</v>
      </c>
      <c r="O54" s="1748" t="str">
        <f t="shared" si="0"/>
        <v>——</v>
      </c>
    </row>
    <row r="55" spans="1:35" ht="24" customHeight="1">
      <c r="A55" s="3222" t="s">
        <v>2221</v>
      </c>
      <c r="B55" s="3204"/>
      <c r="C55" s="3204"/>
      <c r="D55" s="184">
        <f ca="1">IF(H55="个人住宅",0,ROUND(D45*I55,0))</f>
        <v>31</v>
      </c>
      <c r="E55" s="11" t="s">
        <v>2222</v>
      </c>
      <c r="F55" s="183">
        <f>IF(H55="正常",I55,"免征")</f>
        <v>5.0000000000000001E-4</v>
      </c>
      <c r="G55" s="2482"/>
      <c r="H55" s="2479" t="s">
        <v>2223</v>
      </c>
      <c r="I55" s="185">
        <f>'数据-取费表'!B49</f>
        <v>5.0000000000000001E-4</v>
      </c>
      <c r="J55" s="1804" t="str">
        <f>IF(H59="非个人房产","",4)</f>
        <v/>
      </c>
      <c r="K55" s="3158" t="str">
        <f>IF(H59="非个人房产","——","个人所得税")</f>
        <v>——</v>
      </c>
      <c r="L55" s="3158"/>
      <c r="M55" s="1749" t="str">
        <f>D59</f>
        <v>——</v>
      </c>
      <c r="N55" s="1802" t="str">
        <f>E59</f>
        <v>——</v>
      </c>
      <c r="O55" s="1750" t="str">
        <f>F59</f>
        <v>——</v>
      </c>
    </row>
    <row r="56" spans="1:35" ht="24.75">
      <c r="A56" s="3222" t="s">
        <v>2224</v>
      </c>
      <c r="B56" s="3204"/>
      <c r="C56" s="3204"/>
      <c r="D56" s="184">
        <f ca="1">IF(H56="个人住宅",D57,D58)</f>
        <v>19346</v>
      </c>
      <c r="E56" s="11" t="s">
        <v>2225</v>
      </c>
      <c r="F56" s="183" t="str">
        <f>IF(H56="正常",F58,"免征")</f>
        <v>——</v>
      </c>
      <c r="G56" s="2484" t="s">
        <v>2226</v>
      </c>
      <c r="H56" s="2485" t="s">
        <v>2223</v>
      </c>
      <c r="I56" s="2486"/>
      <c r="J56" s="1804" t="str">
        <f>IF(项目基本情况!K6="上海银行",IF(J55="",4,J55+1),"")</f>
        <v/>
      </c>
      <c r="K56" s="3141" t="str">
        <f>IF(项目基本情况!K6="上海银行","其他处置费用","")</f>
        <v/>
      </c>
      <c r="L56" s="3142"/>
      <c r="M56" s="1746" t="str">
        <f>IF(项目基本情况!K6="上海银行",M69,"")</f>
        <v/>
      </c>
      <c r="N56" s="3144" t="str">
        <f>IF(项目基本情况!K6="上海银行","包含处置中涉及的律师、诉讼、拍卖、评估等费用","")</f>
        <v/>
      </c>
      <c r="O56" s="3145"/>
    </row>
    <row r="57" spans="1:35" ht="12.75">
      <c r="A57" s="182" t="s">
        <v>2199</v>
      </c>
      <c r="B57" s="3189" t="s">
        <v>2227</v>
      </c>
      <c r="C57" s="3190"/>
      <c r="D57" s="186">
        <v>0</v>
      </c>
      <c r="E57" s="23" t="s">
        <v>2201</v>
      </c>
      <c r="F57" s="154"/>
      <c r="G57" s="2482"/>
      <c r="H57" s="2486"/>
      <c r="I57" s="2486"/>
      <c r="J57" s="3158">
        <f>IF(AND(J55="",J56=""),4,IF(项目基本情况!K6="上海银行",结果表!J56+1,结果表!J55+1))</f>
        <v>4</v>
      </c>
      <c r="K57" s="3158" t="s">
        <v>2228</v>
      </c>
      <c r="L57" s="2487" t="s">
        <v>2229</v>
      </c>
      <c r="M57" s="1751"/>
      <c r="N57" s="1752">
        <f ca="1">SUMIF(M52:M56,"&lt;9e307")</f>
        <v>22639</v>
      </c>
      <c r="O57" s="2488"/>
      <c r="P57" s="1745">
        <f ca="1">N57/M49</f>
        <v>0.36348602347350001</v>
      </c>
    </row>
    <row r="58" spans="1:35" ht="24.75">
      <c r="A58" s="182" t="s">
        <v>2210</v>
      </c>
      <c r="B58" s="3189" t="s">
        <v>2230</v>
      </c>
      <c r="C58" s="3202"/>
      <c r="D58" s="184">
        <f ca="1">IF(H58="转让取得",C81,C97)</f>
        <v>19346</v>
      </c>
      <c r="E58" s="11" t="s">
        <v>2225</v>
      </c>
      <c r="F58" s="24" t="s">
        <v>34</v>
      </c>
      <c r="G58" s="2482"/>
      <c r="H58" s="2485" t="s">
        <v>3175</v>
      </c>
      <c r="I58" s="2486"/>
      <c r="J58" s="3158"/>
      <c r="K58" s="3158"/>
      <c r="L58" s="2487" t="s">
        <v>2231</v>
      </c>
      <c r="M58" s="1753"/>
      <c r="N58" s="2489" t="str">
        <f ca="1">NUMBERSTRING(INT(N57*10000),2)&amp;"元整"</f>
        <v>贰亿贰仟陆佰叁拾玖万元整</v>
      </c>
      <c r="O58" s="2490"/>
    </row>
    <row r="59" spans="1:35" ht="24.75" thickBot="1">
      <c r="A59" s="3162" t="s">
        <v>2232</v>
      </c>
      <c r="B59" s="3163"/>
      <c r="C59" s="3163"/>
      <c r="D59" s="187" t="str">
        <f>IF(H59="非个人房产","——",IF(H59="个人住宅",0,ROUND(D45*I59,0)))</f>
        <v>——</v>
      </c>
      <c r="E59" s="188" t="str">
        <f>IF(H59="非个人房产","——","销售额×税（费）率")</f>
        <v>——</v>
      </c>
      <c r="F59" s="189" t="str">
        <f>IF(H59="非个人房产","——",IF(H59="个人住宅","免征",I59))</f>
        <v>——</v>
      </c>
      <c r="G59" s="2491" t="s">
        <v>2226</v>
      </c>
      <c r="H59" s="2485" t="s">
        <v>3176</v>
      </c>
      <c r="I59" s="190">
        <v>0.01</v>
      </c>
      <c r="J59" s="3160">
        <f>J57+1</f>
        <v>5</v>
      </c>
      <c r="K59" s="3158" t="s">
        <v>2233</v>
      </c>
      <c r="L59" s="1804" t="s">
        <v>2229</v>
      </c>
      <c r="M59" s="1754"/>
      <c r="N59" s="1755">
        <f ca="1">M49-N57</f>
        <v>39644</v>
      </c>
      <c r="O59" s="2492"/>
    </row>
    <row r="60" spans="1:35" ht="12" customHeight="1">
      <c r="A60" s="2493"/>
      <c r="B60" s="2415"/>
      <c r="C60" s="2415"/>
      <c r="D60" s="2415"/>
      <c r="E60" s="2162"/>
      <c r="F60" s="2486"/>
      <c r="G60" s="2486"/>
      <c r="H60" s="2494"/>
      <c r="I60" s="137"/>
      <c r="J60" s="3161"/>
      <c r="K60" s="3158"/>
      <c r="L60" s="2487" t="s">
        <v>2231</v>
      </c>
      <c r="M60" s="1753"/>
      <c r="N60" s="2489" t="str">
        <f ca="1">NUMBERSTRING(INT(N59*10000),2)&amp;"元整"</f>
        <v>叁亿玖仟陆佰肆拾肆万元整</v>
      </c>
      <c r="O60" s="2490"/>
    </row>
    <row r="61" spans="1:35" ht="13.5" thickBot="1">
      <c r="A61" s="3221" t="s">
        <v>2234</v>
      </c>
      <c r="B61" s="3221"/>
      <c r="C61" s="3221"/>
      <c r="D61" s="3221"/>
      <c r="E61" s="3221"/>
      <c r="F61" s="2486"/>
      <c r="G61" s="2486"/>
      <c r="H61" s="2494"/>
      <c r="I61" s="137"/>
      <c r="J61" s="1804">
        <f>J59+1</f>
        <v>6</v>
      </c>
      <c r="K61" s="3158" t="s">
        <v>2235</v>
      </c>
      <c r="L61" s="3158"/>
      <c r="M61" s="1756"/>
      <c r="N61" s="1757">
        <f ca="1">ROUND(N59*10000/'数据-汇总表'!E3,0)</f>
        <v>5547</v>
      </c>
      <c r="O61" s="2495"/>
    </row>
    <row r="62" spans="1:35" ht="12.75">
      <c r="A62" s="3178" t="s">
        <v>2236</v>
      </c>
      <c r="B62" s="3179"/>
      <c r="C62" s="1796"/>
      <c r="D62" s="1796" t="s">
        <v>2237</v>
      </c>
      <c r="E62" s="191" t="s">
        <v>2238</v>
      </c>
      <c r="F62" s="2486"/>
      <c r="G62" s="2486"/>
      <c r="H62" s="2494"/>
      <c r="I62" s="137"/>
    </row>
    <row r="63" spans="1:35" ht="12.75">
      <c r="A63" s="202" t="s">
        <v>775</v>
      </c>
      <c r="B63" s="192" t="s">
        <v>2239</v>
      </c>
      <c r="C63" s="193">
        <f ca="1">ROUND((C64+C65)/(1+'数据-取费表'!C42),0)</f>
        <v>59317</v>
      </c>
      <c r="D63" s="194"/>
      <c r="E63" s="195"/>
      <c r="F63" s="2486"/>
      <c r="G63" s="2486"/>
      <c r="H63" s="2494"/>
      <c r="I63" s="137"/>
      <c r="J63" s="3143" t="s">
        <v>2240</v>
      </c>
      <c r="K63" s="2496" t="s">
        <v>2241</v>
      </c>
      <c r="L63" s="1744">
        <f ca="1">IF(M49&gt;10000,M49*0.5%,IF(AND(M49&gt;1000,M49&lt;=10000),M49*1%,IF(AND(M49&gt;100,M49&lt;=1000),M49*3%,IF(AND(M49&gt;10,M49&lt;=100),M49*5%,M49*8%))))</f>
        <v>311.41500000000002</v>
      </c>
      <c r="M63" s="24">
        <f ca="1">ROUND(L63,1)</f>
        <v>311.39999999999998</v>
      </c>
      <c r="Z63" s="2420"/>
      <c r="AI63" s="2421"/>
    </row>
    <row r="64" spans="1:35" ht="14.25" customHeight="1">
      <c r="A64" s="196" t="s">
        <v>770</v>
      </c>
      <c r="B64" s="197" t="s">
        <v>2242</v>
      </c>
      <c r="C64" s="198">
        <f ca="1">D45</f>
        <v>62283</v>
      </c>
      <c r="D64" s="199" t="s">
        <v>32</v>
      </c>
      <c r="E64" s="200"/>
      <c r="F64" s="2486"/>
      <c r="G64" s="2486"/>
      <c r="H64" s="2494"/>
      <c r="I64" s="137"/>
      <c r="J64" s="3143"/>
      <c r="K64" s="2496" t="s">
        <v>2243</v>
      </c>
      <c r="L64" s="1744">
        <f ca="1">IF(M49&gt;2000,M49*0.5%,IF(AND(M49&gt;1000,M49&lt;=2000),M49*0.6%,IF(AND(M49&gt;500,M49&lt;=1000),M49*0.7%,IF(AND(M49&gt;200,M49&lt;=500),M49*0.8%,IF(AND(M49&gt;100,M49&lt;=200),M49*0.9%,IF(AND(M49&gt;50,M49&lt;=100),M49*1%,IF(AND(M49&gt;20,M49&lt;=50),M49*1.5%,IF(AND(M49&gt;10,M49&lt;=20),M49*2%,IF(AND(M49&gt;1,M49&lt;=10),M49*2.5%)))))))))</f>
        <v>311.41500000000002</v>
      </c>
      <c r="M64" s="24">
        <f t="shared" ref="M64:M65" ca="1" si="1">ROUND(L64,1)</f>
        <v>311.39999999999998</v>
      </c>
      <c r="N64" s="137" t="s">
        <v>2244</v>
      </c>
      <c r="Z64" s="2420"/>
      <c r="AI64" s="2421"/>
    </row>
    <row r="65" spans="1:35" ht="14.25" customHeight="1">
      <c r="A65" s="196" t="s">
        <v>771</v>
      </c>
      <c r="B65" s="197" t="s">
        <v>2245</v>
      </c>
      <c r="C65" s="201"/>
      <c r="D65" s="199"/>
      <c r="E65" s="200"/>
      <c r="F65" s="2486"/>
      <c r="G65" s="2486"/>
      <c r="H65" s="2494"/>
      <c r="I65" s="137"/>
      <c r="J65" s="3143"/>
      <c r="K65" s="2496" t="s">
        <v>2246</v>
      </c>
      <c r="L65" s="1744">
        <f ca="1">IF(M49&gt;1000,M49*0.1%,IF(AND(M49&gt;500,M49&lt;=1000),M49*0.5%,IF(AND(M49&gt;50,M49&lt;=500),M49*1%,IF(AND(M49&gt;1,M49&lt;=50),M49*1.5%))))</f>
        <v>62.283000000000001</v>
      </c>
      <c r="M65" s="24">
        <f t="shared" ca="1" si="1"/>
        <v>62.3</v>
      </c>
      <c r="N65" s="137" t="s">
        <v>2244</v>
      </c>
      <c r="Z65" s="2420"/>
      <c r="AI65" s="2421"/>
    </row>
    <row r="66" spans="1:35" ht="14.25" customHeight="1">
      <c r="A66" s="202" t="s">
        <v>772</v>
      </c>
      <c r="B66" s="203" t="s">
        <v>2247</v>
      </c>
      <c r="C66" s="204"/>
      <c r="D66" s="205" t="s">
        <v>32</v>
      </c>
      <c r="E66" s="1768" t="s">
        <v>1367</v>
      </c>
      <c r="F66" s="2486"/>
      <c r="G66" s="2486"/>
      <c r="H66" s="2494"/>
      <c r="I66" s="137"/>
      <c r="J66" s="3143"/>
      <c r="K66" s="2496" t="s">
        <v>2248</v>
      </c>
      <c r="L66" s="1744">
        <f ca="1">M49*0.5%</f>
        <v>311.41500000000002</v>
      </c>
      <c r="M66" s="24">
        <f ca="1">IF(L66&gt;0.5,0.5,ROUND(L66,0))</f>
        <v>0.5</v>
      </c>
      <c r="N66" s="137" t="s">
        <v>2249</v>
      </c>
      <c r="Z66" s="2420"/>
      <c r="AI66" s="2421"/>
    </row>
    <row r="67" spans="1:35" ht="14.25" customHeight="1">
      <c r="A67" s="202" t="s">
        <v>773</v>
      </c>
      <c r="B67" s="203" t="s">
        <v>2250</v>
      </c>
      <c r="C67" s="206">
        <f ca="1">C63-C66</f>
        <v>59317</v>
      </c>
      <c r="D67" s="199" t="s">
        <v>32</v>
      </c>
      <c r="E67" s="200"/>
      <c r="F67" s="2486"/>
      <c r="G67" s="2486"/>
      <c r="H67" s="2494"/>
      <c r="I67" s="137"/>
      <c r="J67" s="3143"/>
      <c r="K67" s="2496" t="s">
        <v>2251</v>
      </c>
      <c r="L67" s="1744">
        <f ca="1">IF(M49&gt;=10000,(8.25+(M49-10000)*0.01%),IF(AND(M49&gt;=8000,M49&lt;10000),(7.85+(M49-8000)*0.02%),IF(AND(M49&gt;=5000,M49&lt;8000),(6.65+(M49-5000)*0.04%),IF(AND(M49&gt;=2000,M49&lt;5000),(4.25+(PM49-2000)*0.08%),IF(AND(M49&gt;=1000,M49&lt;2000),(2.75+(M49-1000)*0.15%),IF(AND(M49&gt;=100,M49&lt;1000),(0.5+(M49-100)*0.25%),IF(AND(M49&gt;0,M49&lt;100),M49*0.5%)))))))</f>
        <v>13.478300000000001</v>
      </c>
      <c r="M67" s="24">
        <f ca="1">ROUND(L67*0.9,1)</f>
        <v>12.1</v>
      </c>
      <c r="Z67" s="2420"/>
      <c r="AI67" s="2421"/>
    </row>
    <row r="68" spans="1:35" ht="14.25" customHeight="1" thickBot="1">
      <c r="A68" s="207" t="s">
        <v>774</v>
      </c>
      <c r="B68" s="208" t="s">
        <v>2252</v>
      </c>
      <c r="C68" s="209">
        <f ca="1">IF(C67&lt;=0,0,ROUND(C67*D68,0))</f>
        <v>3262</v>
      </c>
      <c r="D68" s="210">
        <f>'数据-取费表'!B41</f>
        <v>5.5000000000000007E-2</v>
      </c>
      <c r="E68" s="211"/>
      <c r="F68" s="2486"/>
      <c r="G68" s="2486"/>
      <c r="H68" s="2494"/>
      <c r="I68" s="137"/>
      <c r="J68" s="3143"/>
      <c r="K68" s="2496" t="s">
        <v>2253</v>
      </c>
      <c r="L68" s="1744">
        <f ca="1">IF(M49&gt;10000,M49*0.5%,IF(AND(M49&gt;5000,M49&lt;=10000),M49*1%,IF(AND(M49&gt;1000,M49&lt;=5000),M49*2%,IF(AND(M49&gt;200,M49&lt;=1000),M49*3%,M49*5%))))</f>
        <v>311.41500000000002</v>
      </c>
      <c r="M68" s="24">
        <f ca="1">ROUND(L68,1)</f>
        <v>311.39999999999998</v>
      </c>
      <c r="Z68" s="2420"/>
      <c r="AI68" s="2421"/>
    </row>
    <row r="69" spans="1:35" s="2443" customFormat="1" ht="16.5" customHeight="1">
      <c r="A69" s="2497"/>
      <c r="B69" s="2498"/>
      <c r="C69" s="2499"/>
      <c r="D69" s="2500"/>
      <c r="E69" s="2501"/>
      <c r="F69" s="2162"/>
      <c r="G69" s="2162"/>
      <c r="H69" s="2161"/>
      <c r="I69" s="2415"/>
      <c r="J69" s="3143"/>
      <c r="K69" s="2496" t="s">
        <v>2254</v>
      </c>
      <c r="L69" s="2502"/>
      <c r="M69" s="24">
        <f ca="1">ROUND(SUM(M63:M68),0)</f>
        <v>1009</v>
      </c>
      <c r="N69" s="1745">
        <f ca="1">M69/M49</f>
        <v>1.6200247258481449E-2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87" t="s">
        <v>2255</v>
      </c>
      <c r="B70" s="3188"/>
      <c r="C70" s="3188"/>
      <c r="D70" s="3188"/>
      <c r="E70" s="3188"/>
      <c r="F70" s="3188"/>
      <c r="G70" s="3188"/>
      <c r="H70" s="318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78" t="s">
        <v>2236</v>
      </c>
      <c r="B71" s="3179"/>
      <c r="C71" s="1796"/>
      <c r="D71" s="1796"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2256</v>
      </c>
      <c r="C72" s="206">
        <f ca="1">ROUND(D45/(1+'数据-取费表'!C42),0)</f>
        <v>59317</v>
      </c>
      <c r="D72" s="199" t="s">
        <v>32</v>
      </c>
      <c r="E72" s="1795"/>
      <c r="F72" s="1789"/>
      <c r="G72" s="178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2257</v>
      </c>
      <c r="C73" s="206">
        <f ca="1">C74+C78</f>
        <v>297</v>
      </c>
      <c r="D73" s="199" t="s">
        <v>32</v>
      </c>
      <c r="E73" s="1795"/>
      <c r="F73" s="1789"/>
      <c r="G73" s="178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5"/>
      <c r="F74" s="1789"/>
      <c r="G74" s="178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84" t="s">
        <v>2264</v>
      </c>
      <c r="F76" s="3183"/>
      <c r="G76" s="3183"/>
      <c r="H76" s="318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0"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297</v>
      </c>
      <c r="D78" s="225">
        <f>'数据-取费表'!B43</f>
        <v>5.000000000000001E-3</v>
      </c>
      <c r="E78" s="3175" t="s">
        <v>2269</v>
      </c>
      <c r="F78" s="3176"/>
      <c r="G78" s="3176"/>
      <c r="H78" s="317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2270</v>
      </c>
      <c r="C79" s="206">
        <f ca="1">C72-C73</f>
        <v>59020</v>
      </c>
      <c r="D79" s="199" t="s">
        <v>32</v>
      </c>
      <c r="E79" s="1795"/>
      <c r="F79" s="1789"/>
      <c r="G79" s="178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198.72053872053871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2272</v>
      </c>
      <c r="C81" s="227">
        <f ca="1">ROUND(IF(C79&lt;=0,0,IF(C80&gt;=200%,C79*60%-C73*35%,IF(C80&gt;=100%,C79*50%-C73*15%,IF(C80&gt;=50%,C79*40%-C73*5%,IF(C80&lt;50%,C79*30%,0))))),0)</f>
        <v>35308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87" t="s">
        <v>2273</v>
      </c>
      <c r="B83" s="3188"/>
      <c r="C83" s="3188"/>
      <c r="D83" s="3188"/>
      <c r="E83" s="3188"/>
      <c r="F83" s="3188"/>
      <c r="G83" s="3188"/>
      <c r="H83" s="318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78" t="s">
        <v>2236</v>
      </c>
      <c r="B84" s="3179"/>
      <c r="C84" s="1796"/>
      <c r="D84" s="1796"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2256</v>
      </c>
      <c r="C85" s="206">
        <f ca="1">ROUND(D45/(1+'数据-取费表'!C42),0)</f>
        <v>59317</v>
      </c>
      <c r="D85" s="199" t="s">
        <v>32</v>
      </c>
      <c r="E85" s="1795"/>
      <c r="F85" s="1789"/>
      <c r="G85" s="178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2257</v>
      </c>
      <c r="C86" s="206">
        <f ca="1">IF(H88="仅含出让金",C87+C90+C91+C92+C93+C94,C87+C91+C92+C93+C94)</f>
        <v>17098.82565354</v>
      </c>
      <c r="D86" s="234"/>
      <c r="E86" s="1795"/>
      <c r="F86" s="1789"/>
      <c r="G86" s="178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2274</v>
      </c>
      <c r="C87" s="224">
        <f>C88+C89</f>
        <v>7118.8256535400005</v>
      </c>
      <c r="D87" s="225"/>
      <c r="E87" s="1791"/>
      <c r="F87" s="1792"/>
      <c r="G87" s="1792"/>
      <c r="H87" s="179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2275</v>
      </c>
      <c r="C88" s="235">
        <f>1082.46*'数据-汇总表'!D3/10000</f>
        <v>6907.8256535400005</v>
      </c>
      <c r="D88" s="225"/>
      <c r="E88" s="236" t="s">
        <v>2276</v>
      </c>
      <c r="F88" s="1792"/>
      <c r="G88" s="237" t="s">
        <v>2277</v>
      </c>
      <c r="H88" s="2514" t="s">
        <v>3332</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2265</v>
      </c>
      <c r="C89" s="224">
        <f>ROUND(C88*D89,0)</f>
        <v>211</v>
      </c>
      <c r="D89" s="225">
        <f>'数据-取费表'!B48+'数据-取费表'!B49</f>
        <v>3.0499999999999999E-2</v>
      </c>
      <c r="E89" s="236" t="s">
        <v>2278</v>
      </c>
      <c r="F89" s="1792"/>
      <c r="G89" s="1792"/>
      <c r="H89" s="179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2279</v>
      </c>
      <c r="C90" s="235"/>
      <c r="D90" s="225"/>
      <c r="E90" s="236" t="str">
        <f>IF(H88="-","土地取得成本中已包含该笔费用"," ")</f>
        <v xml:space="preserve"> </v>
      </c>
      <c r="F90" s="1792"/>
      <c r="G90" s="1792"/>
      <c r="H90" s="179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5806</v>
      </c>
      <c r="D91" s="225"/>
      <c r="E91" s="3175" t="s">
        <v>2282</v>
      </c>
      <c r="F91" s="3176"/>
      <c r="G91" s="3176"/>
      <c r="H91" s="2515" t="s">
        <v>3179</v>
      </c>
      <c r="I91" s="2516">
        <f>ROUND('数据-汇总表'!E3/81981.27*6659,0)</f>
        <v>5806</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2283</v>
      </c>
      <c r="B92" s="197" t="s">
        <v>2284</v>
      </c>
      <c r="C92" s="224">
        <f>ROUND((C87+C90+C91)*D92,0)</f>
        <v>1292</v>
      </c>
      <c r="D92" s="225">
        <v>0.1</v>
      </c>
      <c r="E92" s="3175" t="s">
        <v>2285</v>
      </c>
      <c r="F92" s="3176"/>
      <c r="G92" s="3176"/>
      <c r="H92" s="317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2286</v>
      </c>
      <c r="B93" s="197" t="s">
        <v>2268</v>
      </c>
      <c r="C93" s="224">
        <f ca="1">ROUND(D45*D93/(1+'数据-取费表'!C42),0)</f>
        <v>297</v>
      </c>
      <c r="D93" s="225">
        <f>'数据-取费表'!B43</f>
        <v>5.000000000000001E-3</v>
      </c>
      <c r="E93" s="3175" t="s">
        <v>2269</v>
      </c>
      <c r="F93" s="3176"/>
      <c r="G93" s="3176"/>
      <c r="H93" s="317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2287</v>
      </c>
      <c r="B94" s="197" t="s">
        <v>2288</v>
      </c>
      <c r="C94" s="235">
        <f>ROUND((C87+C90+C91)*D94,0)</f>
        <v>2585</v>
      </c>
      <c r="D94" s="225">
        <v>0.2</v>
      </c>
      <c r="E94" s="3223" t="s">
        <v>2289</v>
      </c>
      <c r="F94" s="3224"/>
      <c r="G94" s="3224"/>
      <c r="H94" s="32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2270</v>
      </c>
      <c r="C95" s="206">
        <f ca="1">ROUND(C85-C86,0)</f>
        <v>42218</v>
      </c>
      <c r="D95" s="199" t="s">
        <v>32</v>
      </c>
      <c r="E95" s="1795"/>
      <c r="F95" s="1789"/>
      <c r="G95" s="178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2.4690584520498655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2272</v>
      </c>
      <c r="C97" s="227">
        <f ca="1">ROUND(IF(C95&lt;=0,0,IF(C96&gt;=200%,C95*60%-C86*35%,IF(C96&gt;=100%,C95*50%-C86*15%,IF(C96&gt;=50%,C95*40%-C86*5%,IF(C96&lt;50%,C95*30%,0))))),0)</f>
        <v>19346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2290</v>
      </c>
      <c r="B99" s="2415"/>
      <c r="C99" s="2415"/>
      <c r="D99" s="2415"/>
      <c r="E99" s="2162"/>
      <c r="F99" s="2162"/>
      <c r="G99" s="2162"/>
      <c r="H99" s="2161"/>
      <c r="I99" s="137"/>
    </row>
    <row r="100" spans="1:35" ht="18.75" customHeight="1">
      <c r="A100" s="3123" t="s">
        <v>2291</v>
      </c>
      <c r="B100" s="3124"/>
      <c r="C100" s="3124"/>
      <c r="D100" s="3159"/>
      <c r="E100" s="3124" t="s">
        <v>2292</v>
      </c>
      <c r="F100" s="3124"/>
      <c r="G100" s="3124"/>
      <c r="H100" s="3159"/>
      <c r="I100" s="137"/>
      <c r="L100" s="794">
        <f ca="1">H101</f>
        <v>62283</v>
      </c>
    </row>
    <row r="101" spans="1:35" ht="18.75" customHeight="1">
      <c r="A101" s="3167" t="s">
        <v>2293</v>
      </c>
      <c r="B101" s="3168"/>
      <c r="C101" s="735" t="str">
        <f>C4</f>
        <v>成本法</v>
      </c>
      <c r="D101" s="736" t="str">
        <f>D4</f>
        <v>假设开发法</v>
      </c>
      <c r="E101" s="3139" t="s">
        <v>2294</v>
      </c>
      <c r="F101" s="3140"/>
      <c r="G101" s="2517" t="s">
        <v>2295</v>
      </c>
      <c r="H101" s="1040">
        <f ca="1">H118</f>
        <v>62283</v>
      </c>
      <c r="I101" s="137"/>
      <c r="L101" s="794">
        <v>27017</v>
      </c>
    </row>
    <row r="102" spans="1:35" ht="18.75" customHeight="1">
      <c r="A102" s="3169" t="s">
        <v>2296</v>
      </c>
      <c r="B102" s="2517" t="s">
        <v>2295</v>
      </c>
      <c r="C102" s="735">
        <f ca="1">C19</f>
        <v>58607</v>
      </c>
      <c r="D102" s="736">
        <f ca="1">D19</f>
        <v>65958</v>
      </c>
      <c r="E102" s="3139"/>
      <c r="F102" s="3140"/>
      <c r="G102" s="2517" t="s">
        <v>2297</v>
      </c>
      <c r="H102" s="370">
        <f ca="1">I118</f>
        <v>8714</v>
      </c>
      <c r="I102" s="137"/>
      <c r="L102" s="794">
        <f ca="1">L101+L100</f>
        <v>89300</v>
      </c>
    </row>
    <row r="103" spans="1:35" ht="42.75" customHeight="1">
      <c r="A103" s="3169"/>
      <c r="B103" s="2517" t="s">
        <v>2297</v>
      </c>
      <c r="C103" s="737">
        <f ca="1">C20</f>
        <v>8200</v>
      </c>
      <c r="D103" s="738">
        <f ca="1">D20</f>
        <v>9228</v>
      </c>
      <c r="E103" s="3133" t="s">
        <v>2298</v>
      </c>
      <c r="F103" s="3134"/>
      <c r="G103" s="2518" t="s">
        <v>2299</v>
      </c>
      <c r="H103" s="1040">
        <f>IF(D36="正常操作",H104+H105+H106,H105+H106)</f>
        <v>0</v>
      </c>
      <c r="I103" s="137"/>
    </row>
    <row r="104" spans="1:35" ht="18.75" customHeight="1">
      <c r="A104" s="3169" t="s">
        <v>2300</v>
      </c>
      <c r="B104" s="2519" t="s">
        <v>2295</v>
      </c>
      <c r="C104" s="739">
        <f ca="1">H118</f>
        <v>62283</v>
      </c>
      <c r="D104" s="740"/>
      <c r="E104" s="2263" t="s">
        <v>2301</v>
      </c>
      <c r="F104" s="2254"/>
      <c r="G104" s="2518" t="s">
        <v>2299</v>
      </c>
      <c r="H104" s="1041">
        <f>IF(D36="同一抵押权人同一抵押物续贷",C36&amp;"（未扣减，详见特别提示）",C36)</f>
        <v>0</v>
      </c>
      <c r="I104" s="137"/>
    </row>
    <row r="105" spans="1:35" ht="18.75" customHeight="1" thickBot="1">
      <c r="A105" s="3181"/>
      <c r="B105" s="2520" t="s">
        <v>2297</v>
      </c>
      <c r="C105" s="741">
        <f ca="1">I118</f>
        <v>8714</v>
      </c>
      <c r="D105" s="742"/>
      <c r="E105" s="2263" t="s">
        <v>2302</v>
      </c>
      <c r="F105" s="2254"/>
      <c r="G105" s="2518" t="s">
        <v>2299</v>
      </c>
      <c r="H105" s="1041">
        <f>C37</f>
        <v>0</v>
      </c>
      <c r="I105" s="137"/>
    </row>
    <row r="106" spans="1:35" ht="18.75" customHeight="1">
      <c r="A106" s="2415" t="s">
        <v>2303</v>
      </c>
      <c r="B106" s="2415"/>
      <c r="C106" s="2415"/>
      <c r="D106" s="2415"/>
      <c r="E106" s="2521" t="s">
        <v>2304</v>
      </c>
      <c r="F106" s="2254"/>
      <c r="G106" s="2518" t="s">
        <v>2299</v>
      </c>
      <c r="H106" s="1041">
        <f>C38</f>
        <v>0</v>
      </c>
      <c r="I106" s="137"/>
    </row>
    <row r="107" spans="1:35" ht="18.75" customHeight="1">
      <c r="A107" s="137"/>
      <c r="B107" s="137"/>
      <c r="C107" s="137"/>
      <c r="D107" s="137"/>
      <c r="E107" s="3170" t="str">
        <f>IF(项目基本情况!E8="已注销","——","3.房地产抵押价值")</f>
        <v>3.房地产抵押价值</v>
      </c>
      <c r="F107" s="3140"/>
      <c r="G107" s="2517" t="s">
        <v>2295</v>
      </c>
      <c r="H107" s="1040">
        <f ca="1">IF(E107="——","——",H101-H103)</f>
        <v>62283</v>
      </c>
      <c r="I107" s="137"/>
    </row>
    <row r="108" spans="1:35" ht="18.75" customHeight="1">
      <c r="A108" s="137"/>
      <c r="B108" s="137"/>
      <c r="C108" s="137"/>
      <c r="D108" s="137"/>
      <c r="E108" s="3170"/>
      <c r="F108" s="3140"/>
      <c r="G108" s="2517" t="s">
        <v>2297</v>
      </c>
      <c r="H108" s="370">
        <f ca="1">ROUND(H107*10000/'数据-汇总表'!E3,0)</f>
        <v>8714</v>
      </c>
      <c r="I108" s="137"/>
    </row>
    <row r="109" spans="1:35" ht="18.75" customHeight="1">
      <c r="A109" s="137"/>
      <c r="B109" s="137"/>
      <c r="C109" s="137"/>
      <c r="D109" s="137"/>
      <c r="E109" s="3170" t="str">
        <f>IF(项目基本情况!E8="已注销及未注销","4.抵押担保权已注销时的房地产抵押价值",IF(项目基本情况!E8="已注销","3.抵押担保权已注销时的房地产抵押价值","——"))</f>
        <v>——</v>
      </c>
      <c r="F109" s="3140"/>
      <c r="G109" s="2517" t="s">
        <v>2295</v>
      </c>
      <c r="H109" s="347" t="str">
        <f>IF(E109="——","——",H101-H105-H106)</f>
        <v>——</v>
      </c>
      <c r="I109" s="137"/>
    </row>
    <row r="110" spans="1:35" ht="18.75" customHeight="1">
      <c r="A110" s="137"/>
      <c r="B110" s="137"/>
      <c r="C110" s="137"/>
      <c r="D110" s="137"/>
      <c r="E110" s="3170"/>
      <c r="F110" s="3140"/>
      <c r="G110" s="2517" t="s">
        <v>2297</v>
      </c>
      <c r="H110" s="370" t="str">
        <f>IF(H109="——","——",ROUND(H109*10000/'数据-汇总表'!E3,0))</f>
        <v>——</v>
      </c>
      <c r="I110" s="137"/>
    </row>
    <row r="111" spans="1:35" ht="18.75" customHeight="1">
      <c r="A111" s="137"/>
      <c r="B111" s="137"/>
      <c r="C111" s="137"/>
      <c r="D111" s="137"/>
      <c r="E111" s="3171" t="str">
        <f>IF(项目基本情况!E9="抵押净值",IF(OR(项目基本情况!E8="已注销",项目基本情况!E8="房地产抵押价值"),"4.抵押净值","5.抵押净值"),"——")</f>
        <v>4.抵押净值</v>
      </c>
      <c r="F111" s="3172"/>
      <c r="G111" s="2517" t="s">
        <v>2295</v>
      </c>
      <c r="H111" s="1040">
        <f ca="1">IF(E111="——","——",N59)</f>
        <v>39644</v>
      </c>
      <c r="I111" s="137"/>
    </row>
    <row r="112" spans="1:35" ht="18.75" customHeight="1" thickBot="1">
      <c r="A112" s="137"/>
      <c r="B112" s="137"/>
      <c r="C112" s="137"/>
      <c r="D112" s="137"/>
      <c r="E112" s="3173"/>
      <c r="F112" s="3174"/>
      <c r="G112" s="2522" t="s">
        <v>2297</v>
      </c>
      <c r="H112" s="789">
        <f ca="1">IF(E111="——","——",N61)</f>
        <v>5547</v>
      </c>
      <c r="I112" s="137"/>
    </row>
    <row r="113" spans="1:11" ht="18.75" customHeight="1">
      <c r="A113" s="137"/>
      <c r="B113" s="137"/>
      <c r="C113" s="137"/>
      <c r="D113" s="137"/>
      <c r="E113" s="3182" t="s">
        <v>2303</v>
      </c>
      <c r="F113" s="3182"/>
      <c r="G113" s="3182"/>
      <c r="H113" s="3182"/>
      <c r="I113" s="137"/>
    </row>
    <row r="114" spans="1:11" ht="3.75" customHeight="1">
      <c r="A114" s="2415"/>
      <c r="B114" s="2415"/>
      <c r="C114" s="2415"/>
      <c r="D114" s="2415"/>
      <c r="E114" s="2493"/>
      <c r="F114" s="2493"/>
      <c r="G114" s="2493"/>
      <c r="H114" s="2493"/>
      <c r="I114" s="2415"/>
    </row>
    <row r="115" spans="1:11" ht="18.75" customHeight="1">
      <c r="A115" s="3195" t="s">
        <v>2305</v>
      </c>
      <c r="B115" s="3196"/>
      <c r="C115" s="3196"/>
      <c r="D115" s="3196"/>
      <c r="E115" s="3196"/>
      <c r="F115" s="3196"/>
      <c r="G115" s="3196"/>
      <c r="H115" s="3196"/>
      <c r="I115" s="3197"/>
    </row>
    <row r="116" spans="1:11" ht="27" customHeight="1">
      <c r="A116" s="3102" t="s">
        <v>2306</v>
      </c>
      <c r="B116" s="3149" t="s">
        <v>2307</v>
      </c>
      <c r="C116" s="3149" t="s">
        <v>2308</v>
      </c>
      <c r="D116" s="3155" t="s">
        <v>2309</v>
      </c>
      <c r="E116" s="3156"/>
      <c r="F116" s="3191" t="s">
        <v>2310</v>
      </c>
      <c r="G116" s="3191"/>
      <c r="H116" s="3102" t="s">
        <v>2311</v>
      </c>
      <c r="I116" s="3102"/>
    </row>
    <row r="117" spans="1:11" ht="18.75" customHeight="1">
      <c r="A117" s="3102"/>
      <c r="B117" s="3150"/>
      <c r="C117" s="3150"/>
      <c r="D117" s="1790" t="s">
        <v>2312</v>
      </c>
      <c r="E117" s="1790" t="s">
        <v>2313</v>
      </c>
      <c r="F117" s="1790" t="s">
        <v>2312</v>
      </c>
      <c r="G117" s="1790" t="s">
        <v>2314</v>
      </c>
      <c r="H117" s="1790" t="s">
        <v>2312</v>
      </c>
      <c r="I117" s="1790" t="s">
        <v>2314</v>
      </c>
    </row>
    <row r="118" spans="1:11" ht="24.75" customHeight="1">
      <c r="A118" s="2523" t="str">
        <f>项目基本情况!S2</f>
        <v>出让国有建设用地使用权及在建建筑物房地产</v>
      </c>
      <c r="B118" s="1790">
        <f>M18</f>
        <v>71473.9099999998</v>
      </c>
      <c r="C118" s="1790">
        <f>M19</f>
        <v>63815.99</v>
      </c>
      <c r="D118" s="1790">
        <f ca="1">ROUND(IF(D32="总价",C34,E118*B118/10000),0)</f>
        <v>34567</v>
      </c>
      <c r="E118" s="1790">
        <f ca="1">ROUND(IF(C33="自定义",IF(D32="楼面单价",C34,D118*10000/B118),I118-G118),0)</f>
        <v>4836</v>
      </c>
      <c r="F118" s="1790">
        <f ca="1">ROUND(IF(D32="总价",C35,G118*B118/10000),0)</f>
        <v>27716</v>
      </c>
      <c r="G118" s="1790">
        <f ca="1">ROUND(IF(D32="楼面单价",C35,F118*10000/B118),0)</f>
        <v>3878</v>
      </c>
      <c r="H118" s="1790">
        <f ca="1">ROUND(IF(D32="总价",C32,I118*B118/10000),0)</f>
        <v>62283</v>
      </c>
      <c r="I118" s="1790">
        <f ca="1">ROUND(IF(D32="楼面单价",C32,H118*10000/B118),0)</f>
        <v>8714</v>
      </c>
    </row>
    <row r="119" spans="1:11" ht="18.75" customHeight="1">
      <c r="A119" s="3102" t="s">
        <v>2315</v>
      </c>
      <c r="B119" s="3102"/>
      <c r="C119" s="3102"/>
      <c r="D119" s="3151" t="str">
        <f ca="1">NUMBERSTRING(INT(D118*10000),2)&amp;"元整"</f>
        <v>叁亿肆仟伍佰陆拾柒万元整</v>
      </c>
      <c r="E119" s="3152"/>
      <c r="F119" s="3151" t="str">
        <f ca="1">NUMBERSTRING(INT(F118*10000),2)&amp;"元整"</f>
        <v>贰亿柒仟柒佰壹拾陆万元整</v>
      </c>
      <c r="G119" s="3152"/>
      <c r="H119" s="3151" t="str">
        <f ca="1">NUMBERSTRING(INT(H118*10000),2)&amp;"元整"</f>
        <v>陆亿贰仟贰佰捌拾叁万元整</v>
      </c>
      <c r="I119" s="3152"/>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0" t="str">
        <f>IF(D120=0,"故，本次评估不存在"&amp;A120,"故，本次评估"&amp;A120&amp;"为人民币"&amp;D120&amp;"万元整。")</f>
        <v>故，本次评估不存在估价师知悉的法定优先受偿款</v>
      </c>
    </row>
    <row r="121" spans="1:11" ht="18.75" customHeight="1">
      <c r="A121" s="3192" t="s">
        <v>2315</v>
      </c>
      <c r="B121" s="3193"/>
      <c r="C121" s="3194"/>
      <c r="D121" s="3151" t="str">
        <f>IF(D120=0,"零元整",NUMBERSTRING(INT(D120*10000),2)&amp;"元整")</f>
        <v>零元整</v>
      </c>
      <c r="E121" s="3153"/>
      <c r="F121" s="3153"/>
      <c r="G121" s="3153"/>
      <c r="H121" s="3153"/>
      <c r="I121" s="3152"/>
    </row>
    <row r="122" spans="1:11" ht="18.75" customHeight="1">
      <c r="A122" s="3157" t="str">
        <f>IF(项目基本情况!B9="房地产市场价值","",MID(E107,3,LEN(E107)-2))</f>
        <v>房地产抵押价值</v>
      </c>
      <c r="B122" s="3157"/>
      <c r="C122" s="3157"/>
      <c r="D122" s="3146">
        <f ca="1">H107</f>
        <v>62283</v>
      </c>
      <c r="E122" s="3147"/>
      <c r="F122" s="3147"/>
      <c r="G122" s="3147"/>
      <c r="H122" s="3147"/>
      <c r="I122" s="3148"/>
    </row>
    <row r="123" spans="1:11" ht="18.75" customHeight="1">
      <c r="A123" s="3102" t="s">
        <v>2315</v>
      </c>
      <c r="B123" s="3102"/>
      <c r="C123" s="3102"/>
      <c r="D123" s="3151" t="str">
        <f ca="1">NUMBERSTRING(INT(D122*10000),2)&amp;"元整"</f>
        <v>陆亿贰仟贰佰捌拾叁万元整</v>
      </c>
      <c r="E123" s="3153"/>
      <c r="F123" s="3153"/>
      <c r="G123" s="3153"/>
      <c r="H123" s="3153"/>
      <c r="I123" s="3152"/>
    </row>
    <row r="124" spans="1:11" ht="18.75" customHeight="1">
      <c r="A124" s="3157" t="str">
        <f>IF(项目基本情况!B9="房地产市场价值","",MID(E109,3,LEN(E109)-2))</f>
        <v/>
      </c>
      <c r="B124" s="3157"/>
      <c r="C124" s="3157"/>
      <c r="D124" s="3146" t="str">
        <f>H109</f>
        <v>——</v>
      </c>
      <c r="E124" s="3147"/>
      <c r="F124" s="3147"/>
      <c r="G124" s="3147"/>
      <c r="H124" s="3147"/>
      <c r="I124" s="3148"/>
    </row>
    <row r="125" spans="1:11" ht="18.75" customHeight="1">
      <c r="A125" s="3102" t="s">
        <v>2315</v>
      </c>
      <c r="B125" s="3102"/>
      <c r="C125" s="3102"/>
      <c r="D125" s="3151" t="e">
        <f>NUMBERSTRING(INT(D124*10000),2)&amp;"元整"</f>
        <v>#VALUE!</v>
      </c>
      <c r="E125" s="3153"/>
      <c r="F125" s="3153"/>
      <c r="G125" s="3153"/>
      <c r="H125" s="3153"/>
      <c r="I125" s="3152"/>
    </row>
    <row r="126" spans="1:11" ht="18.75" customHeight="1">
      <c r="A126" s="3157" t="str">
        <f>IF(项目基本情况!B9="房地产市场价值","",MID(E111,3,LEN(E111)-2))</f>
        <v>抵押净值</v>
      </c>
      <c r="B126" s="3157"/>
      <c r="C126" s="3157"/>
      <c r="D126" s="3146">
        <f ca="1">H111</f>
        <v>39644</v>
      </c>
      <c r="E126" s="3147"/>
      <c r="F126" s="3147"/>
      <c r="G126" s="3147"/>
      <c r="H126" s="3147"/>
      <c r="I126" s="3148"/>
    </row>
    <row r="127" spans="1:11" ht="18.75" customHeight="1">
      <c r="A127" s="3102" t="s">
        <v>2315</v>
      </c>
      <c r="B127" s="3102"/>
      <c r="C127" s="3102"/>
      <c r="D127" s="3151" t="str">
        <f ca="1">NUMBERSTRING(INT(D126*10000),2)&amp;"元整"</f>
        <v>叁亿玖仟陆佰肆拾肆万元整</v>
      </c>
      <c r="E127" s="3153"/>
      <c r="F127" s="3153"/>
      <c r="G127" s="3153"/>
      <c r="H127" s="3153"/>
      <c r="I127" s="3152"/>
    </row>
    <row r="128" spans="1:11" ht="21.75" customHeight="1">
      <c r="A128" s="3154" t="s">
        <v>2316</v>
      </c>
      <c r="B128" s="3154"/>
      <c r="C128" s="3154"/>
      <c r="D128" s="3154"/>
      <c r="E128" s="3154"/>
      <c r="F128" s="3154"/>
      <c r="G128" s="3154"/>
      <c r="H128" s="3154"/>
      <c r="I128" s="3154"/>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2319</v>
      </c>
      <c r="G135" s="2541"/>
      <c r="H135" s="2541"/>
      <c r="I135" s="2542" t="s">
        <v>2320</v>
      </c>
    </row>
    <row r="136" spans="1:35" ht="21.75" customHeight="1">
      <c r="A136" s="794"/>
      <c r="B136" s="254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2322</v>
      </c>
    </row>
    <row r="139" spans="1:35" ht="21.75" customHeight="1">
      <c r="A139" s="794"/>
      <c r="B139" s="2543" t="s">
        <v>2323</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2322</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3" sqref="H23"/>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71473.9099999998</v>
      </c>
      <c r="C1" s="1737"/>
      <c r="D1" s="1737"/>
      <c r="E1" s="1737"/>
      <c r="F1" s="1737"/>
      <c r="G1" s="1735"/>
    </row>
    <row r="2" spans="1:10" ht="16.5">
      <c r="A2" s="1738" t="s">
        <v>1349</v>
      </c>
      <c r="B2" s="1738">
        <f>SUM(C14:C23)</f>
        <v>63815.99</v>
      </c>
      <c r="C2" s="1737"/>
      <c r="D2" s="1737"/>
      <c r="E2" s="1737"/>
      <c r="F2" s="1737"/>
      <c r="G2" s="1735"/>
    </row>
    <row r="3" spans="1:10" ht="16.5">
      <c r="A3" s="1738" t="s">
        <v>1358</v>
      </c>
      <c r="B3" s="1739">
        <f>项目基本情况!D3</f>
        <v>43758</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62283</v>
      </c>
      <c r="C5" s="1738">
        <f ca="1">ROUND(B5*10000/$B$1,0)</f>
        <v>8714</v>
      </c>
      <c r="D5" s="1738">
        <f ca="1">ROUND(B5*10000/$B$2,0)</f>
        <v>9760</v>
      </c>
      <c r="E5" s="1737"/>
      <c r="F5" s="1735"/>
      <c r="G5" s="1735"/>
    </row>
    <row r="6" spans="1:10" ht="16.5">
      <c r="A6" s="1738" t="s">
        <v>1352</v>
      </c>
      <c r="B6" s="1738">
        <f ca="1">SUM(G14:G23)</f>
        <v>62283</v>
      </c>
      <c r="C6" s="1738">
        <f ca="1">ROUND(B6*10000/$B$1,0)</f>
        <v>8714</v>
      </c>
      <c r="D6" s="1738">
        <f ca="1">ROUND(B6*10000/$B$2,0)</f>
        <v>9760</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 ca="1">SUM(I14:I23)</f>
        <v>39644</v>
      </c>
      <c r="C8" s="1738">
        <f ca="1">ROUND(B8*10000/$B$1,0)</f>
        <v>5547</v>
      </c>
      <c r="D8" s="1738">
        <f ca="1">ROUND(B8*10000/$B$2,0)</f>
        <v>6212</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71473.9099999998</v>
      </c>
      <c r="C14" s="1736">
        <f>结果表!C118</f>
        <v>63815.99</v>
      </c>
      <c r="D14" s="1736">
        <f ca="1">结果表!H118</f>
        <v>62283</v>
      </c>
      <c r="E14" s="1736">
        <f ca="1">ROUND(D14*10000/B14,0)</f>
        <v>8714</v>
      </c>
      <c r="F14" s="1736">
        <f ca="1">ROUND(D14*10000/C14,0)</f>
        <v>9760</v>
      </c>
      <c r="G14" s="1736">
        <f ca="1">结果表!D122</f>
        <v>62283</v>
      </c>
      <c r="H14" s="1736" t="str">
        <f>结果表!D124</f>
        <v>——</v>
      </c>
      <c r="I14" s="1736">
        <f ca="1">结果表!D126</f>
        <v>39644</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36" t="str">
        <f>项目基本情况!B1</f>
        <v>出让国有建设用地使用权及在建建筑物房地产抵押价值预评估</v>
      </c>
      <c r="C37" s="3036"/>
      <c r="D37" s="3036"/>
      <c r="E37" s="3036"/>
      <c r="F37" s="3036"/>
      <c r="G37" s="3036"/>
      <c r="H37" s="3036"/>
      <c r="I37" s="3036"/>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郑燚（注册号：1120070131)、王鹏（注册号：1120050019)</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29" sqref="H2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2"/>
      <c r="C1" s="241"/>
      <c r="D1" s="241"/>
      <c r="E1" s="241"/>
      <c r="F1" s="241"/>
      <c r="G1" s="1374">
        <f>MATCH(B1,'数据-取费表'!A6:A16,0)+5</f>
        <v>9</v>
      </c>
    </row>
    <row r="2" spans="1:9" s="243" customFormat="1" ht="18" customHeight="1">
      <c r="A2" s="244" t="s">
        <v>2325</v>
      </c>
      <c r="B2" s="245">
        <f ca="1">IF(D2="——",C52,C52-E2)</f>
        <v>58607</v>
      </c>
      <c r="C2" s="242" t="s">
        <v>2326</v>
      </c>
      <c r="D2" s="2546" t="s">
        <v>70</v>
      </c>
      <c r="E2" s="1435" t="e">
        <f ca="1">SUMIF(INDIRECT("'"&amp;G2&amp;"'"&amp;"!A:A"),"承租人权益价值",INDIRECT("'"&amp;G2&amp;"'"&amp;"!c:c"))</f>
        <v>#REF!</v>
      </c>
      <c r="F2" s="2547" t="s">
        <v>2326</v>
      </c>
      <c r="G2" s="2548"/>
    </row>
    <row r="3" spans="1:9" s="243" customFormat="1" ht="18" customHeight="1" thickBot="1">
      <c r="A3" s="246" t="s">
        <v>2327</v>
      </c>
      <c r="B3" s="247">
        <f ca="1">ROUND(B2*10000/(IF(B1="",'数据-汇总表'!E3,INDIRECT("'数据-取费表'!k"&amp;$G$1))),0)</f>
        <v>8200</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24372</v>
      </c>
      <c r="D5" s="254" t="s">
        <v>2332</v>
      </c>
      <c r="E5" s="255" t="s">
        <v>2333</v>
      </c>
      <c r="F5" s="255" t="s">
        <v>2334</v>
      </c>
      <c r="G5" s="256"/>
    </row>
    <row r="6" spans="1:9" s="257" customFormat="1" ht="13.5" customHeight="1">
      <c r="A6" s="944" t="s">
        <v>2335</v>
      </c>
      <c r="B6" s="258" t="s">
        <v>2336</v>
      </c>
      <c r="C6" s="259">
        <f>'土地比较法-住宅、综合'!B2</f>
        <v>23651</v>
      </c>
      <c r="D6" s="260"/>
      <c r="E6" s="261"/>
      <c r="F6" s="261"/>
      <c r="G6" s="262"/>
    </row>
    <row r="7" spans="1:9" s="257" customFormat="1" ht="13.5" customHeight="1">
      <c r="A7" s="944" t="s">
        <v>2337</v>
      </c>
      <c r="B7" s="258" t="s">
        <v>2338</v>
      </c>
      <c r="C7" s="263">
        <f>ROUND(C6*F7,0)</f>
        <v>721</v>
      </c>
      <c r="D7" s="263"/>
      <c r="E7" s="261"/>
      <c r="F7" s="264">
        <f>'数据-取费表'!B48+'数据-取费表'!B49</f>
        <v>3.0499999999999999E-2</v>
      </c>
      <c r="G7" s="262"/>
    </row>
    <row r="8" spans="1:9" s="266" customFormat="1">
      <c r="A8" s="944" t="s">
        <v>2339</v>
      </c>
      <c r="B8" s="258" t="s">
        <v>2340</v>
      </c>
      <c r="C8" s="263">
        <f>IF(G8="已包含在土地购买价格中","0",IF(B1="",'数据-取费表'!B29,IF(G9="全部缴纳",C9+C10,H9)))</f>
        <v>0</v>
      </c>
      <c r="D8" s="265"/>
      <c r="E8" s="263"/>
      <c r="F8" s="264"/>
      <c r="G8" s="2549" t="s">
        <v>3087</v>
      </c>
    </row>
    <row r="9" spans="1:9" s="257" customFormat="1" ht="13.5" customHeight="1">
      <c r="A9" s="945" t="s">
        <v>800</v>
      </c>
      <c r="B9" s="267" t="s">
        <v>2341</v>
      </c>
      <c r="C9" s="268">
        <f ca="1">ROUND(D9*E9/10000,0)</f>
        <v>1406</v>
      </c>
      <c r="D9" s="1027">
        <f ca="1">IF(B1="",'数据-汇总表'!E5,IF(INDIRECT("'数据-取费表'!c"&amp;$G$1)="住宅",INDIRECT("'数据-取费表'!k"&amp;$G$1),0))</f>
        <v>63909.9099999998</v>
      </c>
      <c r="E9" s="268">
        <f>'数据-取费表'!B27</f>
        <v>220</v>
      </c>
      <c r="F9" s="264"/>
      <c r="G9" s="2550"/>
      <c r="H9" s="1385"/>
      <c r="I9" s="2551" t="s">
        <v>2342</v>
      </c>
    </row>
    <row r="10" spans="1:9" s="257" customFormat="1" ht="13.5" customHeight="1">
      <c r="A10" s="945" t="s">
        <v>801</v>
      </c>
      <c r="B10" s="267" t="s">
        <v>2343</v>
      </c>
      <c r="C10" s="268">
        <f ca="1">ROUND(D10*E10/10000,0)</f>
        <v>166</v>
      </c>
      <c r="D10" s="1027">
        <f ca="1">IF(B1="",'数据-汇总表'!E6,IF(INDIRECT("'数据-取费表'!c"&amp;$G$1)="住宅",INDIRECT("'数据-取费表'!s"&amp;$G$1),INDIRECT("'数据-取费表'!k"&amp;$G$1)+INDIRECT("'数据-取费表'!s"&amp;$G$1)))</f>
        <v>7564</v>
      </c>
      <c r="E10" s="268">
        <f>'数据-取费表'!B28</f>
        <v>220</v>
      </c>
      <c r="F10" s="264"/>
      <c r="G10" s="269"/>
    </row>
    <row r="11" spans="1:9" s="257" customFormat="1" ht="13.5" hidden="1" customHeight="1">
      <c r="A11" s="270" t="s">
        <v>7</v>
      </c>
      <c r="B11" s="258" t="s">
        <v>2344</v>
      </c>
      <c r="C11" s="254"/>
      <c r="D11" s="1029"/>
      <c r="E11" s="261"/>
      <c r="F11" s="261"/>
      <c r="G11" s="262"/>
    </row>
    <row r="12" spans="1:9" s="257" customFormat="1" ht="13.5" hidden="1" customHeight="1">
      <c r="A12" s="270" t="s">
        <v>8</v>
      </c>
      <c r="B12" s="258" t="s">
        <v>2345</v>
      </c>
      <c r="C12" s="254">
        <v>0</v>
      </c>
      <c r="D12" s="1029"/>
      <c r="E12" s="271"/>
      <c r="F12" s="264">
        <v>3.0499999999999999E-2</v>
      </c>
      <c r="G12" s="262"/>
    </row>
    <row r="13" spans="1:9" s="257" customFormat="1" ht="13.5" hidden="1" customHeight="1">
      <c r="A13" s="270" t="s">
        <v>9</v>
      </c>
      <c r="B13" s="258" t="s">
        <v>2346</v>
      </c>
      <c r="C13" s="254"/>
      <c r="D13" s="1029"/>
      <c r="E13" s="261"/>
      <c r="F13" s="261"/>
      <c r="G13" s="262"/>
    </row>
    <row r="14" spans="1:9" s="257" customFormat="1" ht="13.5" hidden="1" customHeight="1">
      <c r="A14" s="270" t="s">
        <v>10</v>
      </c>
      <c r="B14" s="258" t="s">
        <v>2347</v>
      </c>
      <c r="C14" s="254"/>
      <c r="D14" s="1029"/>
      <c r="E14" s="261"/>
      <c r="F14" s="261"/>
      <c r="G14" s="262" t="s">
        <v>2348</v>
      </c>
    </row>
    <row r="15" spans="1:9" s="257" customFormat="1" ht="13.5" hidden="1" customHeight="1">
      <c r="A15" s="270" t="s">
        <v>11</v>
      </c>
      <c r="B15" s="258" t="s">
        <v>2349</v>
      </c>
      <c r="C15" s="263"/>
      <c r="D15" s="1029"/>
      <c r="E15" s="261"/>
      <c r="F15" s="261"/>
      <c r="G15" s="262" t="s">
        <v>2350</v>
      </c>
    </row>
    <row r="16" spans="1:9" s="257" customFormat="1" ht="13.5" hidden="1" customHeight="1">
      <c r="A16" s="270" t="s">
        <v>12</v>
      </c>
      <c r="B16" s="258" t="s">
        <v>2347</v>
      </c>
      <c r="C16" s="263"/>
      <c r="D16" s="1029"/>
      <c r="E16" s="261"/>
      <c r="F16" s="261"/>
      <c r="G16" s="262"/>
    </row>
    <row r="17" spans="1:7" s="257" customFormat="1" ht="13.5" hidden="1" customHeight="1">
      <c r="A17" s="270" t="s">
        <v>13</v>
      </c>
      <c r="B17" s="258" t="s">
        <v>2351</v>
      </c>
      <c r="C17" s="272"/>
      <c r="D17" s="1030"/>
      <c r="E17" s="272"/>
      <c r="F17" s="272"/>
      <c r="G17" s="262" t="s">
        <v>2350</v>
      </c>
    </row>
    <row r="18" spans="1:7" s="257" customFormat="1" ht="13.5" hidden="1" customHeight="1">
      <c r="A18" s="270" t="s">
        <v>14</v>
      </c>
      <c r="B18" s="258" t="s">
        <v>2352</v>
      </c>
      <c r="C18" s="263">
        <v>0</v>
      </c>
      <c r="D18" s="1029"/>
      <c r="E18" s="261"/>
      <c r="F18" s="264">
        <v>3.0499999999999999E-2</v>
      </c>
      <c r="G18" s="262" t="s">
        <v>2353</v>
      </c>
    </row>
    <row r="19" spans="1:7" s="266" customFormat="1" ht="13.5" customHeight="1">
      <c r="A19" s="298" t="s">
        <v>2354</v>
      </c>
      <c r="B19" s="253" t="s">
        <v>2355</v>
      </c>
      <c r="C19" s="254" t="str">
        <f>IF(G19="已包含在土地取得成本中","0",ROUND(D19*E19/10000,0))</f>
        <v>0</v>
      </c>
      <c r="D19" s="1031">
        <f ca="1">D9+D10</f>
        <v>71473.9099999998</v>
      </c>
      <c r="E19" s="254">
        <f>'数据-取费表'!B31</f>
        <v>200</v>
      </c>
      <c r="F19" s="274"/>
      <c r="G19" s="2549" t="s">
        <v>3088</v>
      </c>
    </row>
    <row r="20" spans="1:7" s="257" customFormat="1" ht="13.5" customHeight="1">
      <c r="A20" s="298" t="s">
        <v>2356</v>
      </c>
      <c r="B20" s="253" t="s">
        <v>2357</v>
      </c>
      <c r="C20" s="275">
        <f>ROUND((C5+C19)*F20,0)</f>
        <v>731</v>
      </c>
      <c r="D20" s="275"/>
      <c r="E20" s="275"/>
      <c r="F20" s="276">
        <f>'数据-取费表'!B37</f>
        <v>0.03</v>
      </c>
      <c r="G20" s="277" t="s">
        <v>2358</v>
      </c>
    </row>
    <row r="21" spans="1:7" s="257" customFormat="1" ht="13.5" customHeight="1">
      <c r="A21" s="298" t="s">
        <v>2359</v>
      </c>
      <c r="B21" s="253" t="s">
        <v>2360</v>
      </c>
      <c r="C21" s="278">
        <f>F21</f>
        <v>0.03</v>
      </c>
      <c r="D21" s="279" t="s">
        <v>2361</v>
      </c>
      <c r="E21" s="275"/>
      <c r="F21" s="276">
        <f>'数据-取费表'!B38</f>
        <v>0.03</v>
      </c>
      <c r="G21" s="277" t="s">
        <v>2362</v>
      </c>
    </row>
    <row r="22" spans="1:7" s="257" customFormat="1" ht="13.5" customHeight="1">
      <c r="A22" s="298" t="s">
        <v>2363</v>
      </c>
      <c r="B22" s="253" t="s">
        <v>2364</v>
      </c>
      <c r="C22" s="1349">
        <f ca="1">ROUND(SUM(C23:C25),0)</f>
        <v>1295</v>
      </c>
      <c r="D22" s="278">
        <f ca="1">C26</f>
        <v>8.0000000000000004E-4</v>
      </c>
      <c r="E22" s="279" t="s">
        <v>2361</v>
      </c>
      <c r="F22" s="280">
        <f ca="1">'数据-取费表'!B40</f>
        <v>4.7500000000000001E-2</v>
      </c>
      <c r="G22" s="277" t="str">
        <f>IF('数据-取费表'!B22&lt;=1,"单利计息","复利计息")</f>
        <v>复利计息</v>
      </c>
    </row>
    <row r="23" spans="1:7" s="257" customFormat="1" ht="13.5" customHeight="1">
      <c r="A23" s="946" t="s">
        <v>2365</v>
      </c>
      <c r="B23" s="258" t="s">
        <v>2366</v>
      </c>
      <c r="C23" s="1350">
        <f ca="1">ROUND(IF('数据-取费表'!B22&lt;=1,C5*F22*'数据-取费表'!B23,C5*(POWER((1+F22),'数据-取费表'!B23)-1)),0)</f>
        <v>1276</v>
      </c>
      <c r="D23" s="281"/>
      <c r="E23" s="281"/>
      <c r="F23" s="282"/>
      <c r="G23" s="283" t="s">
        <v>2367</v>
      </c>
    </row>
    <row r="24" spans="1:7" s="257" customFormat="1" ht="13.5" customHeight="1">
      <c r="A24" s="946" t="s">
        <v>2368</v>
      </c>
      <c r="B24" s="258" t="s">
        <v>2369</v>
      </c>
      <c r="C24" s="1350">
        <f ca="1">ROUND(IF('数据-取费表'!B22&lt;=1,C19*F22*('数据-取费表'!B19/2+'数据-取费表'!B21),C19*(POWER((1+F22),('数据-取费表'!B19/2+'数据-取费表'!B21))-1)),0)</f>
        <v>0</v>
      </c>
      <c r="D24" s="281"/>
      <c r="E24" s="281"/>
      <c r="F24" s="282"/>
      <c r="G24" s="283" t="s">
        <v>2370</v>
      </c>
    </row>
    <row r="25" spans="1:7" s="257" customFormat="1" ht="24">
      <c r="A25" s="946" t="s">
        <v>2371</v>
      </c>
      <c r="B25" s="258" t="s">
        <v>2372</v>
      </c>
      <c r="C25" s="1350">
        <f ca="1">ROUND(IF('数据-取费表'!B22&lt;=1,C20*F22*'数据-取费表'!B23/2,C20*(POWER((1+F22),'数据-取费表'!B23/2)-1)),0)</f>
        <v>19</v>
      </c>
      <c r="D25" s="281"/>
      <c r="E25" s="284"/>
      <c r="F25" s="282"/>
      <c r="G25" s="285" t="s">
        <v>2373</v>
      </c>
    </row>
    <row r="26" spans="1:7" s="257" customFormat="1">
      <c r="A26" s="946" t="s">
        <v>795</v>
      </c>
      <c r="B26" s="258" t="s">
        <v>2374</v>
      </c>
      <c r="C26" s="281">
        <f ca="1">ROUND(IF('数据-取费表'!B22&lt;=1,F21*F22*'数据-取费表'!B23/2,F21*(POWER((1+F22),'数据-取费表'!B23/2)-1)),4)</f>
        <v>8.0000000000000004E-4</v>
      </c>
      <c r="D26" s="281"/>
      <c r="E26" s="284"/>
      <c r="F26" s="282"/>
      <c r="G26" s="286"/>
    </row>
    <row r="27" spans="1:7" s="257" customFormat="1" ht="24.75">
      <c r="A27" s="298" t="s">
        <v>2375</v>
      </c>
      <c r="B27" s="287" t="s">
        <v>2376</v>
      </c>
      <c r="C27" s="288">
        <f ca="1">C28</f>
        <v>3314</v>
      </c>
      <c r="D27" s="278">
        <f ca="1">C29</f>
        <v>4.0000000000000001E-3</v>
      </c>
      <c r="E27" s="279" t="s">
        <v>2377</v>
      </c>
      <c r="F27" s="289">
        <f ca="1">IF(B1="",'数据-取费表'!Q16,INDIRECT("'数据-取费表'!q"&amp;$G$1))</f>
        <v>0.24</v>
      </c>
      <c r="G27" s="290" t="s">
        <v>2378</v>
      </c>
    </row>
    <row r="28" spans="1:7" s="257" customFormat="1" ht="13.5" customHeight="1">
      <c r="A28" s="946" t="s">
        <v>791</v>
      </c>
      <c r="B28" s="291" t="s">
        <v>2379</v>
      </c>
      <c r="C28" s="292">
        <f ca="1">ROUND((C5+C19+C20)*F27*'数据-取费表'!B21/'数据-取费表'!B20,0)</f>
        <v>3314</v>
      </c>
      <c r="D28" s="278"/>
      <c r="E28" s="279"/>
      <c r="F28" s="289"/>
      <c r="G28" s="290"/>
    </row>
    <row r="29" spans="1:7" s="257" customFormat="1" ht="13.5" customHeight="1">
      <c r="A29" s="946" t="s">
        <v>792</v>
      </c>
      <c r="B29" s="291" t="s">
        <v>2380</v>
      </c>
      <c r="C29" s="281">
        <f ca="1">ROUND(C21*F27*'数据-取费表'!B21/'数据-取费表'!B20,4)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32550</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18178</v>
      </c>
      <c r="D33" s="275"/>
      <c r="E33" s="255"/>
      <c r="F33" s="284"/>
      <c r="G33" s="277"/>
    </row>
    <row r="34" spans="1:7" s="301" customFormat="1" ht="13.5" customHeight="1">
      <c r="A34" s="946" t="s">
        <v>791</v>
      </c>
      <c r="B34" s="258" t="s">
        <v>2388</v>
      </c>
      <c r="C34" s="263">
        <f ca="1">IF(B1="",IF(F34=100%,'数据-取费表'!M16,'数据-取费表'!O16),IF(F34=100%,INDIRECT("'数据-取费表'!m"&amp;$G$1)+INDIRECT("'数据-取费表'!t"&amp;$G$1),INDIRECT("'数据-取费表'!o"&amp;$G$1)+INDIRECT("'数据-取费表'!aq"&amp;$G$1)))</f>
        <v>14936</v>
      </c>
      <c r="D34" s="260"/>
      <c r="E34" s="263"/>
      <c r="F34" s="300">
        <f ca="1">IF('数据-取费表'!B24=0,1,IF(B1="",'数据-取费表'!N16,INDIRECT("'数据-取费表'!n"&amp;$G$1)))</f>
        <v>0.65900000000000003</v>
      </c>
      <c r="G34" s="262" t="s">
        <v>2389</v>
      </c>
    </row>
    <row r="35" spans="1:7" ht="13.5" customHeight="1">
      <c r="A35" s="946" t="s">
        <v>796</v>
      </c>
      <c r="B35" s="258" t="s">
        <v>2390</v>
      </c>
      <c r="C35" s="263">
        <f ca="1">ROUND(C34*F35,0)</f>
        <v>747</v>
      </c>
      <c r="D35" s="263"/>
      <c r="E35" s="263"/>
      <c r="F35" s="302">
        <f>'数据-取费表'!B33</f>
        <v>0.05</v>
      </c>
      <c r="G35" s="262" t="s">
        <v>2391</v>
      </c>
    </row>
    <row r="36" spans="1:7" ht="24">
      <c r="A36" s="946" t="s">
        <v>797</v>
      </c>
      <c r="B36" s="258" t="s">
        <v>2392</v>
      </c>
      <c r="C36" s="263">
        <f ca="1">ROUND(IF(B1="",SUMIF('数据-取费表'!C:C,"住宅",IF(F34=100%,'数据-取费表'!M:M,'数据-取费表'!O:O))*F36,IF(INDIRECT("'数据-取费表'!c"&amp;$G$1)="住宅",IF(F34=100%,INDIRECT("'数据-取费表'!m"&amp;$G$1)*F36,INDIRECT("'数据-取费表'!o"&amp;$G$1)*F36),0)),0)</f>
        <v>1329</v>
      </c>
      <c r="D36" s="263"/>
      <c r="E36" s="263"/>
      <c r="F36" s="302">
        <f>'数据-取费表'!B34</f>
        <v>0.1</v>
      </c>
      <c r="G36" s="303" t="s">
        <v>2393</v>
      </c>
    </row>
    <row r="37" spans="1:7" s="301" customFormat="1" ht="13.5" customHeight="1">
      <c r="A37" s="946" t="s">
        <v>798</v>
      </c>
      <c r="B37" s="258" t="s">
        <v>2394</v>
      </c>
      <c r="C37" s="292">
        <f ca="1">ROUND(E37*D37*F34/10000,0)</f>
        <v>942</v>
      </c>
      <c r="D37" s="260">
        <f ca="1">D19</f>
        <v>71473.9099999998</v>
      </c>
      <c r="E37" s="292">
        <f>'数据-取费表'!B35</f>
        <v>200</v>
      </c>
      <c r="F37" s="302"/>
      <c r="G37" s="304" t="s">
        <v>2395</v>
      </c>
    </row>
    <row r="38" spans="1:7" ht="13.5" customHeight="1">
      <c r="A38" s="946" t="s">
        <v>799</v>
      </c>
      <c r="B38" s="258" t="s">
        <v>2396</v>
      </c>
      <c r="C38" s="263">
        <f ca="1">ROUND(C34*F38,0)</f>
        <v>224</v>
      </c>
      <c r="D38" s="263"/>
      <c r="E38" s="263"/>
      <c r="F38" s="302">
        <f>'数据-取费表'!B36</f>
        <v>1.4999999999999999E-2</v>
      </c>
      <c r="G38" s="262" t="s">
        <v>2391</v>
      </c>
    </row>
    <row r="39" spans="1:7" s="257" customFormat="1" ht="13.5" customHeight="1">
      <c r="A39" s="298" t="s">
        <v>2397</v>
      </c>
      <c r="B39" s="253" t="s">
        <v>2398</v>
      </c>
      <c r="C39" s="275">
        <f ca="1">ROUND(C33*F20,0)</f>
        <v>545</v>
      </c>
      <c r="D39" s="275"/>
      <c r="E39" s="275"/>
      <c r="F39" s="276"/>
      <c r="G39" s="277" t="s">
        <v>2399</v>
      </c>
    </row>
    <row r="40" spans="1:7" s="257" customFormat="1" ht="13.5" customHeight="1">
      <c r="A40" s="298" t="s">
        <v>2400</v>
      </c>
      <c r="B40" s="253" t="s">
        <v>2401</v>
      </c>
      <c r="C40" s="1723">
        <f>F21</f>
        <v>0.03</v>
      </c>
      <c r="D40" s="279" t="s">
        <v>2402</v>
      </c>
      <c r="E40" s="275"/>
      <c r="F40" s="276"/>
      <c r="G40" s="277" t="s">
        <v>2403</v>
      </c>
    </row>
    <row r="41" spans="1:7" s="257" customFormat="1" ht="13.5" customHeight="1">
      <c r="A41" s="298" t="s">
        <v>2404</v>
      </c>
      <c r="B41" s="253" t="s">
        <v>2405</v>
      </c>
      <c r="C41" s="275">
        <f ca="1">ROUND(SUM(C42:C43),0)</f>
        <v>484</v>
      </c>
      <c r="D41" s="278">
        <f ca="1">C44</f>
        <v>8.0000000000000004E-4</v>
      </c>
      <c r="E41" s="279" t="s">
        <v>2402</v>
      </c>
      <c r="F41" s="280"/>
      <c r="G41" s="277" t="str">
        <f>IF('数据-取费表'!B22&lt;=1,"单利计息","复利计息")</f>
        <v>复利计息</v>
      </c>
    </row>
    <row r="42" spans="1:7" ht="13.5" customHeight="1">
      <c r="A42" s="946" t="s">
        <v>791</v>
      </c>
      <c r="B42" s="258" t="s">
        <v>2406</v>
      </c>
      <c r="C42" s="281">
        <f ca="1">ROUND(IF('数据-取费表'!B22&lt;=1,C33*F22*'数据-取费表'!B21/2,C33*(POWER((1+F22),'数据-取费表'!B21/2)-1)),0)</f>
        <v>470</v>
      </c>
      <c r="D42" s="281"/>
      <c r="E42" s="281"/>
      <c r="F42" s="282"/>
      <c r="G42" s="3226" t="s">
        <v>2407</v>
      </c>
    </row>
    <row r="43" spans="1:7" ht="13.5" customHeight="1">
      <c r="A43" s="946" t="s">
        <v>792</v>
      </c>
      <c r="B43" s="258" t="s">
        <v>2408</v>
      </c>
      <c r="C43" s="281">
        <f ca="1">ROUND(IF('数据-取费表'!B22&lt;=1,C39*F22*'数据-取费表'!B21/2,C39*(POWER((1+F22),'数据-取费表'!B21/2)-1)),0)</f>
        <v>14</v>
      </c>
      <c r="D43" s="281"/>
      <c r="E43" s="281"/>
      <c r="F43" s="282"/>
      <c r="G43" s="3227"/>
    </row>
    <row r="44" spans="1:7" ht="13.5" customHeight="1">
      <c r="A44" s="946" t="s">
        <v>793</v>
      </c>
      <c r="B44" s="258" t="s">
        <v>2409</v>
      </c>
      <c r="C44" s="281">
        <f ca="1">ROUND(IF('数据-取费表'!B22&lt;=1,C40*F22*'数据-取费表'!B21/2,C40*(POWER((1+F22),'数据-取费表'!B21/2)-1)),4)</f>
        <v>8.0000000000000004E-4</v>
      </c>
      <c r="D44" s="281"/>
      <c r="E44" s="281"/>
      <c r="F44" s="282"/>
      <c r="G44" s="3228"/>
    </row>
    <row r="45" spans="1:7" s="257" customFormat="1" ht="13.5" customHeight="1">
      <c r="A45" s="298" t="s">
        <v>2410</v>
      </c>
      <c r="B45" s="287" t="s">
        <v>2376</v>
      </c>
      <c r="C45" s="288">
        <f ca="1">C46</f>
        <v>4494</v>
      </c>
      <c r="D45" s="278">
        <f ca="1">C47</f>
        <v>7.1999999999999998E-3</v>
      </c>
      <c r="E45" s="279" t="s">
        <v>2402</v>
      </c>
      <c r="F45" s="289"/>
      <c r="G45" s="290" t="s">
        <v>2411</v>
      </c>
    </row>
    <row r="46" spans="1:7" s="257" customFormat="1" ht="13.5" customHeight="1">
      <c r="A46" s="946" t="s">
        <v>791</v>
      </c>
      <c r="B46" s="291" t="s">
        <v>2412</v>
      </c>
      <c r="C46" s="292">
        <f ca="1">ROUND((C33+C39)*F27,0)</f>
        <v>4494</v>
      </c>
      <c r="D46" s="306"/>
      <c r="E46" s="279"/>
      <c r="F46" s="289"/>
      <c r="G46" s="290"/>
    </row>
    <row r="47" spans="1:7" s="257" customFormat="1" ht="13.5" customHeight="1">
      <c r="A47" s="946" t="s">
        <v>792</v>
      </c>
      <c r="B47" s="291" t="s">
        <v>2413</v>
      </c>
      <c r="C47" s="281">
        <f ca="1">ROUND(C40*F27,4)</f>
        <v>7.1999999999999998E-3</v>
      </c>
      <c r="D47" s="306"/>
      <c r="E47" s="279"/>
      <c r="F47" s="289"/>
      <c r="G47" s="290"/>
    </row>
    <row r="48" spans="1:7" s="257" customFormat="1" ht="13.5" customHeight="1">
      <c r="A48" s="298" t="s">
        <v>2375</v>
      </c>
      <c r="B48" s="253" t="s">
        <v>2414</v>
      </c>
      <c r="C48" s="1723">
        <f>ROUND(F30/(1+'数据-取费表'!C42),4)</f>
        <v>5.2400000000000002E-2</v>
      </c>
      <c r="D48" s="279" t="s">
        <v>2402</v>
      </c>
      <c r="E48" s="275"/>
      <c r="F48" s="280"/>
      <c r="G48" s="277" t="s">
        <v>2415</v>
      </c>
    </row>
    <row r="49" spans="1:7" ht="16.5" customHeight="1">
      <c r="A49" s="298" t="s">
        <v>2381</v>
      </c>
      <c r="B49" s="253" t="s">
        <v>2416</v>
      </c>
      <c r="C49" s="275">
        <f ca="1">ROUND((C33+C39+C41+C45)/(1-C40-D41-D45-C48),0)</f>
        <v>26057</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26057</v>
      </c>
      <c r="D51" s="275"/>
      <c r="E51" s="275"/>
      <c r="F51" s="307"/>
      <c r="G51" s="277" t="s">
        <v>2423</v>
      </c>
    </row>
    <row r="52" spans="1:7" s="251" customFormat="1" ht="16.5" thickBot="1">
      <c r="A52" s="308" t="s">
        <v>2424</v>
      </c>
      <c r="B52" s="309"/>
      <c r="C52" s="310">
        <f ca="1">C31+C51</f>
        <v>58607</v>
      </c>
      <c r="D52" s="309"/>
      <c r="E52" s="309"/>
      <c r="F52" s="309"/>
      <c r="G52" s="311"/>
    </row>
    <row r="55" spans="1:7" ht="15">
      <c r="B55" s="313" t="s">
        <v>2425</v>
      </c>
      <c r="C55" s="314"/>
    </row>
    <row r="56" spans="1:7">
      <c r="B56" s="316" t="s">
        <v>1509</v>
      </c>
      <c r="C56" s="318">
        <f ca="1">1-C57</f>
        <v>0.55499999999999994</v>
      </c>
    </row>
    <row r="57" spans="1:7">
      <c r="B57" s="316" t="s">
        <v>1510</v>
      </c>
      <c r="C57" s="317">
        <f ca="1">ROUND(C51/C52,3)</f>
        <v>0.44500000000000001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2"/>
      <c r="C1" s="2552" t="s">
        <v>2426</v>
      </c>
      <c r="D1" s="241"/>
      <c r="E1" s="241"/>
      <c r="F1" s="241"/>
      <c r="G1" s="1374">
        <f>MATCH(B1,'数据-取费表'!A6:A16,0)+5</f>
        <v>9</v>
      </c>
      <c r="H1" s="1277" t="str">
        <f>IF(ISERROR(FIND("住宅",B1)),"非住宅","住宅")</f>
        <v>非住宅</v>
      </c>
    </row>
    <row r="2" spans="1:8" s="243" customFormat="1" ht="18" customHeight="1">
      <c r="A2" s="244" t="s">
        <v>2325</v>
      </c>
      <c r="B2" s="245">
        <f ca="1">ROUND(IF(D2="——",C52/10000,C52/10000-E2),0)</f>
        <v>44841</v>
      </c>
      <c r="C2" s="242" t="s">
        <v>2326</v>
      </c>
      <c r="D2" s="2546" t="s">
        <v>70</v>
      </c>
      <c r="E2" s="1435" t="e">
        <f ca="1">SUMIF(INDIRECT("'"&amp;G2&amp;"'"&amp;"!A:A"),"承租人权益价值",INDIRECT("'"&amp;G2&amp;"'"&amp;"!c:c"))</f>
        <v>#REF!</v>
      </c>
      <c r="F2" s="2547" t="s">
        <v>2326</v>
      </c>
      <c r="G2" s="2548"/>
    </row>
    <row r="3" spans="1:8" s="243" customFormat="1" ht="18" customHeight="1" thickBot="1">
      <c r="A3" s="246" t="s">
        <v>2327</v>
      </c>
      <c r="B3" s="247">
        <f ca="1">ROUND(B2*10000/(IF(B1="",'数据-汇总表'!E3,INDIRECT("'数据-取费表'!k"&amp;$G$1))),0)</f>
        <v>6274</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15724260</v>
      </c>
      <c r="D5" s="254" t="s">
        <v>2332</v>
      </c>
      <c r="E5" s="255" t="s">
        <v>2333</v>
      </c>
      <c r="F5" s="255" t="s">
        <v>2334</v>
      </c>
      <c r="G5" s="256"/>
    </row>
    <row r="6" spans="1:8" s="257" customFormat="1" ht="13.5" customHeight="1">
      <c r="A6" s="944" t="s">
        <v>2335</v>
      </c>
      <c r="B6" s="258" t="s">
        <v>2336</v>
      </c>
      <c r="C6" s="259"/>
      <c r="D6" s="260"/>
      <c r="E6" s="261"/>
      <c r="F6" s="261"/>
      <c r="G6" s="262"/>
    </row>
    <row r="7" spans="1:8" s="257" customFormat="1" ht="13.5" customHeight="1">
      <c r="A7" s="944" t="s">
        <v>2337</v>
      </c>
      <c r="B7" s="258" t="s">
        <v>2338</v>
      </c>
      <c r="C7" s="263">
        <f>ROUND(C6*F7,0)</f>
        <v>0</v>
      </c>
      <c r="D7" s="263"/>
      <c r="E7" s="261"/>
      <c r="F7" s="264">
        <f>'数据-取费表'!B48+'数据-取费表'!B49</f>
        <v>3.0499999999999999E-2</v>
      </c>
      <c r="G7" s="262"/>
    </row>
    <row r="8" spans="1:8" s="266" customFormat="1">
      <c r="A8" s="944" t="s">
        <v>2339</v>
      </c>
      <c r="B8" s="258" t="s">
        <v>2340</v>
      </c>
      <c r="C8" s="263">
        <f ca="1">IF(G8="已包含在土地购买价格中",0,C9+C10)</f>
        <v>15724260</v>
      </c>
      <c r="D8" s="265"/>
      <c r="E8" s="263"/>
      <c r="F8" s="264"/>
      <c r="G8" s="2549"/>
    </row>
    <row r="9" spans="1:8" s="257" customFormat="1" ht="13.5" customHeight="1">
      <c r="A9" s="945" t="s">
        <v>800</v>
      </c>
      <c r="B9" s="267" t="s">
        <v>2341</v>
      </c>
      <c r="C9" s="268">
        <f ca="1">ROUND(D9*E9,0)</f>
        <v>14060180</v>
      </c>
      <c r="D9" s="1027">
        <f ca="1">IF(B1="",'数据-汇总表'!E5,IF(INDIRECT("'数据-取费表'!c"&amp;$G$1)="住宅",INDIRECT("'数据-取费表'!k"&amp;$G$1),0))</f>
        <v>63909.9099999998</v>
      </c>
      <c r="E9" s="268">
        <f>'数据-取费表'!B27</f>
        <v>220</v>
      </c>
      <c r="F9" s="264"/>
      <c r="G9" s="269"/>
    </row>
    <row r="10" spans="1:8" s="257" customFormat="1" ht="13.5" customHeight="1">
      <c r="A10" s="945" t="s">
        <v>801</v>
      </c>
      <c r="B10" s="267" t="s">
        <v>2343</v>
      </c>
      <c r="C10" s="268">
        <f ca="1">ROUND(D10*E10,0)</f>
        <v>1664080</v>
      </c>
      <c r="D10" s="1027">
        <f ca="1">IF(B1="",'数据-汇总表'!E6,IF(INDIRECT("'数据-取费表'!c"&amp;$G$1)="住宅",INDIRECT("'数据-取费表'!s"&amp;$G$1),INDIRECT("'数据-取费表'!k"&amp;$G$1)+INDIRECT("'数据-取费表'!s"&amp;$G$1)))</f>
        <v>7564</v>
      </c>
      <c r="E10" s="268">
        <f>'数据-取费表'!B28</f>
        <v>220</v>
      </c>
      <c r="F10" s="264"/>
      <c r="G10" s="269"/>
    </row>
    <row r="11" spans="1:8" s="257" customFormat="1" ht="13.5" hidden="1" customHeight="1">
      <c r="A11" s="270" t="s">
        <v>7</v>
      </c>
      <c r="B11" s="258" t="s">
        <v>2344</v>
      </c>
      <c r="C11" s="254"/>
      <c r="D11" s="1029"/>
      <c r="E11" s="261"/>
      <c r="F11" s="261"/>
      <c r="G11" s="262"/>
    </row>
    <row r="12" spans="1:8" s="257" customFormat="1" ht="13.5" hidden="1" customHeight="1">
      <c r="A12" s="270" t="s">
        <v>8</v>
      </c>
      <c r="B12" s="258" t="s">
        <v>2427</v>
      </c>
      <c r="C12" s="254">
        <v>0</v>
      </c>
      <c r="D12" s="1029"/>
      <c r="E12" s="271"/>
      <c r="F12" s="264">
        <v>3.0499999999999999E-2</v>
      </c>
      <c r="G12" s="262"/>
    </row>
    <row r="13" spans="1:8" s="257" customFormat="1" ht="13.5" hidden="1" customHeight="1">
      <c r="A13" s="270" t="s">
        <v>9</v>
      </c>
      <c r="B13" s="258" t="s">
        <v>2428</v>
      </c>
      <c r="C13" s="254"/>
      <c r="D13" s="1029"/>
      <c r="E13" s="261"/>
      <c r="F13" s="261"/>
      <c r="G13" s="262"/>
    </row>
    <row r="14" spans="1:8" s="257" customFormat="1" ht="13.5" hidden="1" customHeight="1">
      <c r="A14" s="270" t="s">
        <v>10</v>
      </c>
      <c r="B14" s="258" t="s">
        <v>2340</v>
      </c>
      <c r="C14" s="254"/>
      <c r="D14" s="1029"/>
      <c r="E14" s="261"/>
      <c r="F14" s="261"/>
      <c r="G14" s="262" t="s">
        <v>2429</v>
      </c>
    </row>
    <row r="15" spans="1:8" s="257" customFormat="1" ht="13.5" hidden="1" customHeight="1">
      <c r="A15" s="270" t="s">
        <v>11</v>
      </c>
      <c r="B15" s="258" t="s">
        <v>2430</v>
      </c>
      <c r="C15" s="263"/>
      <c r="D15" s="1029"/>
      <c r="E15" s="261"/>
      <c r="F15" s="261"/>
      <c r="G15" s="262" t="s">
        <v>2431</v>
      </c>
    </row>
    <row r="16" spans="1:8" s="257" customFormat="1" ht="13.5" hidden="1" customHeight="1">
      <c r="A16" s="270" t="s">
        <v>12</v>
      </c>
      <c r="B16" s="258" t="s">
        <v>2340</v>
      </c>
      <c r="C16" s="263"/>
      <c r="D16" s="1029"/>
      <c r="E16" s="261"/>
      <c r="F16" s="261"/>
      <c r="G16" s="262"/>
    </row>
    <row r="17" spans="1:7" s="257" customFormat="1" ht="13.5" hidden="1" customHeight="1">
      <c r="A17" s="270" t="s">
        <v>13</v>
      </c>
      <c r="B17" s="258" t="s">
        <v>2432</v>
      </c>
      <c r="C17" s="272"/>
      <c r="D17" s="1030"/>
      <c r="E17" s="272"/>
      <c r="F17" s="272"/>
      <c r="G17" s="262" t="s">
        <v>2431</v>
      </c>
    </row>
    <row r="18" spans="1:7" s="257" customFormat="1" ht="13.5" hidden="1" customHeight="1">
      <c r="A18" s="270" t="s">
        <v>14</v>
      </c>
      <c r="B18" s="258" t="s">
        <v>2433</v>
      </c>
      <c r="C18" s="263">
        <v>0</v>
      </c>
      <c r="D18" s="1029"/>
      <c r="E18" s="261"/>
      <c r="F18" s="264">
        <v>3.0499999999999999E-2</v>
      </c>
      <c r="G18" s="262" t="s">
        <v>2434</v>
      </c>
    </row>
    <row r="19" spans="1:7" s="266" customFormat="1" ht="13.5" customHeight="1">
      <c r="A19" s="298" t="s">
        <v>2435</v>
      </c>
      <c r="B19" s="253" t="s">
        <v>2436</v>
      </c>
      <c r="C19" s="254">
        <f ca="1">IF(G19="已包含在土地取得成本中","0",ROUND(D19*E19,0))</f>
        <v>14294782</v>
      </c>
      <c r="D19" s="1031">
        <f ca="1">D9+D10</f>
        <v>71473.9099999998</v>
      </c>
      <c r="E19" s="254">
        <f>'数据-取费表'!B31</f>
        <v>200</v>
      </c>
      <c r="F19" s="274"/>
      <c r="G19" s="2549"/>
    </row>
    <row r="20" spans="1:7" s="257" customFormat="1" ht="13.5" customHeight="1">
      <c r="A20" s="298" t="s">
        <v>2437</v>
      </c>
      <c r="B20" s="253" t="s">
        <v>2438</v>
      </c>
      <c r="C20" s="275">
        <f ca="1">ROUND((C5+C19)*F20,0)</f>
        <v>900571</v>
      </c>
      <c r="D20" s="275"/>
      <c r="E20" s="275"/>
      <c r="F20" s="276">
        <f>'数据-取费表'!B37</f>
        <v>0.03</v>
      </c>
      <c r="G20" s="277" t="s">
        <v>2439</v>
      </c>
    </row>
    <row r="21" spans="1:7" s="257" customFormat="1" ht="13.5" customHeight="1">
      <c r="A21" s="298" t="s">
        <v>2440</v>
      </c>
      <c r="B21" s="253" t="s">
        <v>2441</v>
      </c>
      <c r="C21" s="278">
        <f>F21</f>
        <v>0.03</v>
      </c>
      <c r="D21" s="279" t="s">
        <v>2442</v>
      </c>
      <c r="E21" s="275"/>
      <c r="F21" s="276">
        <f>'数据-取费表'!B38</f>
        <v>0.03</v>
      </c>
      <c r="G21" s="277" t="s">
        <v>2443</v>
      </c>
    </row>
    <row r="22" spans="1:7" s="257" customFormat="1" ht="13.5" customHeight="1">
      <c r="A22" s="298" t="s">
        <v>2444</v>
      </c>
      <c r="B22" s="253" t="s">
        <v>2445</v>
      </c>
      <c r="C22" s="1375">
        <f ca="1">ROUND(SUM(C23:C25),0)</f>
        <v>2962317</v>
      </c>
      <c r="D22" s="278">
        <f ca="1">C26</f>
        <v>1.4E-3</v>
      </c>
      <c r="E22" s="279" t="s">
        <v>2442</v>
      </c>
      <c r="F22" s="280">
        <f ca="1">'数据-取费表'!B40</f>
        <v>4.7500000000000001E-2</v>
      </c>
      <c r="G22" s="277" t="str">
        <f>IF('数据-取费表'!B22&lt;=1,"单利计息","复利计息")</f>
        <v>复利计息</v>
      </c>
    </row>
    <row r="23" spans="1:7" s="257" customFormat="1" ht="13.5" customHeight="1">
      <c r="A23" s="946" t="s">
        <v>2335</v>
      </c>
      <c r="B23" s="258" t="s">
        <v>2446</v>
      </c>
      <c r="C23" s="1376">
        <f ca="1">ROUND(IF('数据-取费表'!B22&lt;=1,C5*F22*'数据-取费表'!B22,C5*(POWER((1+F22),'数据-取费表'!B22)-1)),0)</f>
        <v>1529283</v>
      </c>
      <c r="D23" s="281"/>
      <c r="E23" s="281"/>
      <c r="F23" s="282"/>
      <c r="G23" s="283" t="s">
        <v>2447</v>
      </c>
    </row>
    <row r="24" spans="1:7" s="257" customFormat="1" ht="13.5" customHeight="1">
      <c r="A24" s="946" t="s">
        <v>2337</v>
      </c>
      <c r="B24" s="258" t="s">
        <v>2448</v>
      </c>
      <c r="C24" s="1376">
        <f ca="1">ROUND(IF('数据-取费表'!B22&lt;=1,C19*F22*('数据-取费表'!B19/2+'数据-取费表'!B20),C19*(POWER((1+F22),('数据-取费表'!B19/2+'数据-取费表'!B20))-1)),0)</f>
        <v>1390257</v>
      </c>
      <c r="D24" s="281"/>
      <c r="E24" s="281"/>
      <c r="F24" s="282"/>
      <c r="G24" s="283" t="s">
        <v>2449</v>
      </c>
    </row>
    <row r="25" spans="1:7" s="257" customFormat="1" ht="24">
      <c r="A25" s="946" t="s">
        <v>2339</v>
      </c>
      <c r="B25" s="258" t="s">
        <v>2450</v>
      </c>
      <c r="C25" s="1376">
        <f ca="1">ROUND(IF('数据-取费表'!B22&lt;=1,C20*F22*'数据-取费表'!B22/2,C20*(POWER((1+F22),'数据-取费表'!B22/2)-1)),0)</f>
        <v>42777</v>
      </c>
      <c r="D25" s="281"/>
      <c r="E25" s="284"/>
      <c r="F25" s="282"/>
      <c r="G25" s="285" t="s">
        <v>2451</v>
      </c>
    </row>
    <row r="26" spans="1:7" s="257" customFormat="1">
      <c r="A26" s="946" t="s">
        <v>795</v>
      </c>
      <c r="B26" s="258" t="s">
        <v>2374</v>
      </c>
      <c r="C26" s="281">
        <f ca="1">ROUND(IF('数据-取费表'!B22&lt;=1,F21*F22*'数据-取费表'!B22/2,F21*(POWER((1+F22),'数据-取费表'!B22/2)-1)),4)</f>
        <v>1.4E-3</v>
      </c>
      <c r="D26" s="281"/>
      <c r="E26" s="284"/>
      <c r="F26" s="282"/>
      <c r="G26" s="286"/>
    </row>
    <row r="27" spans="1:7" s="257" customFormat="1" ht="24.75">
      <c r="A27" s="298" t="s">
        <v>2375</v>
      </c>
      <c r="B27" s="287" t="s">
        <v>2376</v>
      </c>
      <c r="C27" s="288">
        <f ca="1">C28</f>
        <v>7420707</v>
      </c>
      <c r="D27" s="278">
        <f ca="1">C29</f>
        <v>7.1999999999999998E-3</v>
      </c>
      <c r="E27" s="279" t="s">
        <v>2377</v>
      </c>
      <c r="F27" s="289">
        <f ca="1">IF(B1="",'数据-取费表'!Q16,INDIRECT("'数据-取费表'!q"&amp;$G$1))</f>
        <v>0.24</v>
      </c>
      <c r="G27" s="290" t="s">
        <v>2378</v>
      </c>
    </row>
    <row r="28" spans="1:7" s="257" customFormat="1" ht="13.5" customHeight="1">
      <c r="A28" s="946" t="s">
        <v>791</v>
      </c>
      <c r="B28" s="291" t="s">
        <v>2379</v>
      </c>
      <c r="C28" s="292">
        <f ca="1">ROUND((C5+C19+C20)*F27,0)</f>
        <v>7420707</v>
      </c>
      <c r="D28" s="278"/>
      <c r="E28" s="279"/>
      <c r="F28" s="289"/>
      <c r="G28" s="290"/>
    </row>
    <row r="29" spans="1:7" s="257" customFormat="1" ht="13.5" customHeight="1">
      <c r="A29" s="946" t="s">
        <v>792</v>
      </c>
      <c r="B29" s="291" t="s">
        <v>2380</v>
      </c>
      <c r="C29" s="281">
        <f ca="1">ROUND(C21*F27,4)</f>
        <v>7.1999999999999998E-3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45437444</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276221941</v>
      </c>
      <c r="D33" s="275"/>
      <c r="E33" s="255"/>
      <c r="F33" s="284"/>
      <c r="G33" s="277"/>
    </row>
    <row r="34" spans="1:7" s="301" customFormat="1" ht="13.5" customHeight="1">
      <c r="A34" s="946" t="s">
        <v>791</v>
      </c>
      <c r="B34" s="258" t="s">
        <v>2388</v>
      </c>
      <c r="C34" s="263">
        <f ca="1">ROUND(IF(B1="",SUMPRODUCT('数据-取费表'!K6:K14,'数据-取费表'!L6:L14),INDIRECT("'数据-取费表'!l"&amp;$G$1)*INDIRECT("'数据-取费表'!k"&amp;$G$1)+'数据-取费表'!L14*INDIRECT("'数据-取费表'!S"&amp;$G$1)),0)</f>
        <v>226738017</v>
      </c>
      <c r="D34" s="260"/>
      <c r="E34" s="263"/>
      <c r="F34" s="300"/>
      <c r="G34" s="262"/>
    </row>
    <row r="35" spans="1:7" ht="13.5" customHeight="1">
      <c r="A35" s="946" t="s">
        <v>796</v>
      </c>
      <c r="B35" s="258" t="s">
        <v>2390</v>
      </c>
      <c r="C35" s="263">
        <f ca="1">ROUND(C34*F35,0)</f>
        <v>11336901</v>
      </c>
      <c r="D35" s="263"/>
      <c r="E35" s="263"/>
      <c r="F35" s="302">
        <f>'数据-取费表'!B33</f>
        <v>0.05</v>
      </c>
      <c r="G35" s="262" t="s">
        <v>2391</v>
      </c>
    </row>
    <row r="36" spans="1:7" ht="24">
      <c r="A36" s="946" t="s">
        <v>797</v>
      </c>
      <c r="B36" s="258" t="s">
        <v>2392</v>
      </c>
      <c r="C36" s="263">
        <f ca="1">ROUND(IF(B1="",SUM('数据-取费表'!AP6:AP13)*F36,IF(INDIRECT("'数据-取费表'!c"&amp;$G$1)="住宅",INDIRECT("'数据-取费表'!k"&amp;$G$1)*INDIRECT("'数据-取费表'!l"&amp;$G$1)*F36,0)),0)</f>
        <v>20451171</v>
      </c>
      <c r="D36" s="263"/>
      <c r="E36" s="263"/>
      <c r="F36" s="302">
        <f>'数据-取费表'!B34</f>
        <v>0.1</v>
      </c>
      <c r="G36" s="303" t="s">
        <v>2393</v>
      </c>
    </row>
    <row r="37" spans="1:7" s="301" customFormat="1" ht="13.5" customHeight="1">
      <c r="A37" s="946" t="s">
        <v>798</v>
      </c>
      <c r="B37" s="258" t="s">
        <v>2394</v>
      </c>
      <c r="C37" s="292">
        <f ca="1">ROUND(E37*D37,0)</f>
        <v>14294782</v>
      </c>
      <c r="D37" s="260">
        <f ca="1">D19</f>
        <v>71473.9099999998</v>
      </c>
      <c r="E37" s="292">
        <f>'数据-取费表'!B35</f>
        <v>200</v>
      </c>
      <c r="F37" s="302"/>
      <c r="G37" s="304"/>
    </row>
    <row r="38" spans="1:7" ht="13.5" customHeight="1">
      <c r="A38" s="946" t="s">
        <v>799</v>
      </c>
      <c r="B38" s="258" t="s">
        <v>2396</v>
      </c>
      <c r="C38" s="263">
        <f ca="1">ROUND(C34*F38,0)</f>
        <v>3401070</v>
      </c>
      <c r="D38" s="263"/>
      <c r="E38" s="263"/>
      <c r="F38" s="302">
        <f>'数据-取费表'!B36</f>
        <v>1.4999999999999999E-2</v>
      </c>
      <c r="G38" s="262" t="s">
        <v>2391</v>
      </c>
    </row>
    <row r="39" spans="1:7" s="257" customFormat="1" ht="13.5" customHeight="1">
      <c r="A39" s="298" t="s">
        <v>2397</v>
      </c>
      <c r="B39" s="253" t="s">
        <v>2398</v>
      </c>
      <c r="C39" s="275">
        <f ca="1">ROUND(C33*F20,0)</f>
        <v>8286658</v>
      </c>
      <c r="D39" s="275"/>
      <c r="E39" s="275"/>
      <c r="F39" s="276"/>
      <c r="G39" s="277" t="s">
        <v>2399</v>
      </c>
    </row>
    <row r="40" spans="1:7" s="257" customFormat="1" ht="13.5" customHeight="1">
      <c r="A40" s="298" t="s">
        <v>2400</v>
      </c>
      <c r="B40" s="253" t="s">
        <v>2401</v>
      </c>
      <c r="C40" s="1723">
        <f>F21</f>
        <v>0.03</v>
      </c>
      <c r="D40" s="279" t="s">
        <v>2402</v>
      </c>
      <c r="E40" s="275"/>
      <c r="F40" s="276"/>
      <c r="G40" s="277" t="s">
        <v>2403</v>
      </c>
    </row>
    <row r="41" spans="1:7" s="257" customFormat="1" ht="13.5" customHeight="1">
      <c r="A41" s="298" t="s">
        <v>2404</v>
      </c>
      <c r="B41" s="253" t="s">
        <v>2405</v>
      </c>
      <c r="C41" s="275">
        <f ca="1">ROUND(SUM(C42:C43),0)</f>
        <v>13514158</v>
      </c>
      <c r="D41" s="278">
        <f ca="1">C44</f>
        <v>1.4E-3</v>
      </c>
      <c r="E41" s="279" t="s">
        <v>2402</v>
      </c>
      <c r="F41" s="280"/>
      <c r="G41" s="277" t="str">
        <f>IF('数据-取费表'!B22&lt;=1,"单利计息","复利计息")</f>
        <v>复利计息</v>
      </c>
    </row>
    <row r="42" spans="1:7" ht="13.5" customHeight="1">
      <c r="A42" s="946" t="s">
        <v>791</v>
      </c>
      <c r="B42" s="258" t="s">
        <v>2406</v>
      </c>
      <c r="C42" s="281">
        <f ca="1">ROUND(IF('数据-取费表'!B22&lt;=1,C33*F22*'数据-取费表'!B20/2,C33*(POWER((1+F22),'数据-取费表'!B20/2)-1)),0)</f>
        <v>13120542</v>
      </c>
      <c r="D42" s="281"/>
      <c r="E42" s="281"/>
      <c r="F42" s="282"/>
      <c r="G42" s="3226" t="s">
        <v>2454</v>
      </c>
    </row>
    <row r="43" spans="1:7" ht="13.5" customHeight="1">
      <c r="A43" s="946" t="s">
        <v>792</v>
      </c>
      <c r="B43" s="258" t="s">
        <v>2408</v>
      </c>
      <c r="C43" s="281">
        <f ca="1">ROUND(IF('数据-取费表'!B22&lt;=1,C39*F22*'数据-取费表'!B20/2,C39*(POWER((1+F22),'数据-取费表'!B20/2)-1)),0)</f>
        <v>393616</v>
      </c>
      <c r="D43" s="281"/>
      <c r="E43" s="281"/>
      <c r="F43" s="282"/>
      <c r="G43" s="3227"/>
    </row>
    <row r="44" spans="1:7" ht="13.5" customHeight="1">
      <c r="A44" s="946" t="s">
        <v>793</v>
      </c>
      <c r="B44" s="258" t="s">
        <v>2409</v>
      </c>
      <c r="C44" s="281">
        <f ca="1">ROUND(IF('数据-取费表'!B22&lt;=1,C40*F22*'数据-取费表'!B20/2,C40*(POWER((1+F22),'数据-取费表'!B20/2)-1)),4)</f>
        <v>1.4E-3</v>
      </c>
      <c r="D44" s="281"/>
      <c r="E44" s="281"/>
      <c r="F44" s="282"/>
      <c r="G44" s="3228"/>
    </row>
    <row r="45" spans="1:7" s="257" customFormat="1" ht="13.5" customHeight="1">
      <c r="A45" s="298" t="s">
        <v>2410</v>
      </c>
      <c r="B45" s="287" t="s">
        <v>2376</v>
      </c>
      <c r="C45" s="288">
        <f ca="1">C46</f>
        <v>68282064</v>
      </c>
      <c r="D45" s="278">
        <f ca="1">C47</f>
        <v>7.1999999999999998E-3</v>
      </c>
      <c r="E45" s="279" t="s">
        <v>2402</v>
      </c>
      <c r="F45" s="289"/>
      <c r="G45" s="290" t="s">
        <v>2411</v>
      </c>
    </row>
    <row r="46" spans="1:7" s="257" customFormat="1" ht="13.5" customHeight="1">
      <c r="A46" s="946" t="s">
        <v>791</v>
      </c>
      <c r="B46" s="291" t="s">
        <v>2412</v>
      </c>
      <c r="C46" s="292">
        <f ca="1">ROUND((C33+C39)*F27,0)</f>
        <v>68282064</v>
      </c>
      <c r="D46" s="306"/>
      <c r="E46" s="279"/>
      <c r="F46" s="289"/>
      <c r="G46" s="290"/>
    </row>
    <row r="47" spans="1:7" s="257" customFormat="1" ht="13.5" customHeight="1">
      <c r="A47" s="946" t="s">
        <v>792</v>
      </c>
      <c r="B47" s="291" t="s">
        <v>2413</v>
      </c>
      <c r="C47" s="281">
        <f ca="1">ROUND(C40*F27,4)</f>
        <v>7.1999999999999998E-3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402975601</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402975601</v>
      </c>
      <c r="D51" s="275"/>
      <c r="E51" s="275"/>
      <c r="F51" s="307"/>
      <c r="G51" s="277" t="s">
        <v>2423</v>
      </c>
    </row>
    <row r="52" spans="1:7" s="251" customFormat="1" ht="16.5" thickBot="1">
      <c r="A52" s="308" t="s">
        <v>2424</v>
      </c>
      <c r="B52" s="309"/>
      <c r="C52" s="310">
        <f ca="1">C31+C51</f>
        <v>448413045</v>
      </c>
      <c r="D52" s="309"/>
      <c r="E52" s="309"/>
      <c r="F52" s="309"/>
      <c r="G52" s="311"/>
    </row>
    <row r="55" spans="1:7" ht="15">
      <c r="B55" s="313" t="s">
        <v>2425</v>
      </c>
      <c r="C55" s="314"/>
    </row>
    <row r="56" spans="1:7">
      <c r="B56" s="316" t="s">
        <v>1509</v>
      </c>
      <c r="C56" s="318">
        <f ca="1">1-C57</f>
        <v>0.10099999999999998</v>
      </c>
    </row>
    <row r="57" spans="1:7">
      <c r="B57" s="316" t="s">
        <v>1510</v>
      </c>
      <c r="C57" s="317">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2" sqref="L5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6.1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23651</v>
      </c>
      <c r="C2" s="1119"/>
      <c r="D2" s="1119"/>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3309</v>
      </c>
      <c r="C3" s="246" t="s">
        <v>2741</v>
      </c>
      <c r="D3" s="1578"/>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30"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30" t="s">
        <v>2643</v>
      </c>
      <c r="AC4" s="3229" t="s">
        <v>2644</v>
      </c>
    </row>
    <row r="5" spans="1:30" ht="15">
      <c r="A5" s="403"/>
      <c r="B5" s="404"/>
      <c r="C5" s="3240" t="s">
        <v>2537</v>
      </c>
      <c r="D5" s="3241"/>
      <c r="E5" s="3238" t="s">
        <v>3092</v>
      </c>
      <c r="F5" s="3239"/>
      <c r="G5" s="3244" t="s">
        <v>3101</v>
      </c>
      <c r="H5" s="3241"/>
      <c r="I5" s="3244" t="s">
        <v>3103</v>
      </c>
      <c r="J5" s="3241"/>
      <c r="K5" s="609"/>
      <c r="L5" s="1125"/>
      <c r="M5" s="1126"/>
      <c r="N5" s="1126"/>
      <c r="O5" s="1126"/>
      <c r="P5" s="3255"/>
      <c r="Q5" s="3256"/>
      <c r="R5" s="3236"/>
      <c r="S5" s="3237"/>
      <c r="T5" s="3236"/>
      <c r="U5" s="3237"/>
      <c r="V5" s="3261"/>
      <c r="W5" s="3261"/>
      <c r="X5" s="1808"/>
      <c r="Y5" s="3236"/>
      <c r="Z5" s="3237"/>
      <c r="AA5" s="3230"/>
      <c r="AB5" s="3230"/>
      <c r="AC5" s="3230"/>
    </row>
    <row r="6" spans="1:30" ht="15.75" thickBot="1">
      <c r="A6" s="405"/>
      <c r="B6" s="406"/>
      <c r="C6" s="3242" t="s">
        <v>2541</v>
      </c>
      <c r="D6" s="3243"/>
      <c r="E6" s="3245" t="s">
        <v>3100</v>
      </c>
      <c r="F6" s="3246"/>
      <c r="G6" s="3247" t="s">
        <v>3102</v>
      </c>
      <c r="H6" s="3243"/>
      <c r="I6" s="3247" t="s">
        <v>3104</v>
      </c>
      <c r="J6" s="3243"/>
      <c r="K6" s="609" t="s">
        <v>2542</v>
      </c>
      <c r="L6" s="1125"/>
      <c r="M6" s="1126"/>
      <c r="N6" s="1126"/>
      <c r="O6" s="1126"/>
      <c r="P6" s="3257"/>
      <c r="Q6" s="3258"/>
      <c r="R6" s="3236"/>
      <c r="S6" s="3237"/>
      <c r="T6" s="3259"/>
      <c r="U6" s="3260"/>
      <c r="V6" s="3261"/>
      <c r="W6" s="3261"/>
      <c r="X6" s="1808"/>
      <c r="Y6" s="3259"/>
      <c r="Z6" s="3260"/>
      <c r="AA6" s="3231"/>
      <c r="AB6" s="3231"/>
      <c r="AC6" s="3231"/>
    </row>
    <row r="7" spans="1:30" s="116" customFormat="1" ht="15.75" thickBot="1">
      <c r="A7" s="407" t="s">
        <v>2543</v>
      </c>
      <c r="B7" s="408"/>
      <c r="C7" s="409">
        <f>'数据-取费表'!B2</f>
        <v>43758</v>
      </c>
      <c r="D7" s="410">
        <v>100</v>
      </c>
      <c r="E7" s="2959">
        <v>43464</v>
      </c>
      <c r="F7" s="412">
        <f>SUMIF(70:70,YEAR(E7)&amp;"-"&amp;INT((MONTH(E7)+2)/3),71:71)</f>
        <v>96</v>
      </c>
      <c r="G7" s="2959">
        <v>43464</v>
      </c>
      <c r="H7" s="410">
        <f>SUMIF(70:70,YEAR(G7)&amp;"-"&amp;INT((MONTH(G7)+2)/3),71:71)</f>
        <v>96</v>
      </c>
      <c r="I7" s="2959">
        <v>43464</v>
      </c>
      <c r="J7" s="410">
        <f>SUMIF(70:70,YEAR(I7)&amp;"-"&amp;INT((MONTH(I7)+2)/3),71:71)</f>
        <v>96</v>
      </c>
      <c r="K7" s="610"/>
      <c r="L7" s="1127"/>
      <c r="M7" s="1128"/>
      <c r="N7" s="1128"/>
      <c r="O7" s="1128"/>
      <c r="P7" s="3232" t="s">
        <v>2544</v>
      </c>
      <c r="Q7" s="3262"/>
      <c r="R7" s="769" t="s">
        <v>17</v>
      </c>
      <c r="S7" s="770">
        <f t="shared" ref="S7:S15" si="0">F7</f>
        <v>96</v>
      </c>
      <c r="T7" s="769" t="s">
        <v>17</v>
      </c>
      <c r="U7" s="770">
        <f t="shared" ref="U7:U15" si="1">H7</f>
        <v>96</v>
      </c>
      <c r="V7" s="769" t="s">
        <v>17</v>
      </c>
      <c r="W7" s="770">
        <f t="shared" ref="W7:W15" si="2">J7</f>
        <v>96</v>
      </c>
      <c r="X7" s="771"/>
      <c r="Y7" s="3232" t="s">
        <v>2544</v>
      </c>
      <c r="Z7" s="3233"/>
      <c r="AA7" s="772">
        <f>D7/F7</f>
        <v>1.0416666666666667</v>
      </c>
      <c r="AB7" s="772">
        <f>D7/H7</f>
        <v>1.0416666666666667</v>
      </c>
      <c r="AC7" s="772">
        <f>D7/J7</f>
        <v>1.0416666666666667</v>
      </c>
    </row>
    <row r="8" spans="1:30" s="116" customFormat="1" ht="15.7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27"/>
      <c r="M8" s="1128"/>
      <c r="N8" s="1128"/>
      <c r="O8" s="1128"/>
      <c r="P8" s="3232" t="s">
        <v>2547</v>
      </c>
      <c r="Q8" s="3233"/>
      <c r="R8" s="769" t="s">
        <v>17</v>
      </c>
      <c r="S8" s="770">
        <f t="shared" si="0"/>
        <v>100</v>
      </c>
      <c r="T8" s="769" t="s">
        <v>17</v>
      </c>
      <c r="U8" s="770">
        <f t="shared" si="1"/>
        <v>100</v>
      </c>
      <c r="V8" s="769" t="s">
        <v>17</v>
      </c>
      <c r="W8" s="770">
        <f t="shared" si="2"/>
        <v>100</v>
      </c>
      <c r="X8" s="771"/>
      <c r="Y8" s="3232" t="s">
        <v>2547</v>
      </c>
      <c r="Z8" s="3233"/>
      <c r="AA8" s="772">
        <f t="shared" ref="AA8:AA45" si="3">D8/F8</f>
        <v>1</v>
      </c>
      <c r="AB8" s="772">
        <f t="shared" ref="AB8:AB45" si="4">D8/H8</f>
        <v>1</v>
      </c>
      <c r="AC8" s="772">
        <f t="shared" ref="AC8:AC45" si="5">D8/J8</f>
        <v>1</v>
      </c>
    </row>
    <row r="9" spans="1:30" s="116" customFormat="1">
      <c r="A9" s="414" t="s">
        <v>2548</v>
      </c>
      <c r="B9" s="71" t="s">
        <v>2549</v>
      </c>
      <c r="C9" s="2695" t="s">
        <v>3055</v>
      </c>
      <c r="D9" s="134">
        <v>100</v>
      </c>
      <c r="E9" s="2695" t="s">
        <v>3055</v>
      </c>
      <c r="F9" s="134">
        <f>SUMIF(75:75,E9,76:76)-SUMIF(75:75,C9,76:76)+100</f>
        <v>100</v>
      </c>
      <c r="G9" s="2695" t="s">
        <v>3055</v>
      </c>
      <c r="H9" s="134">
        <f>SUMIF(75:75,G9,76:76)-SUMIF(75:75,C9,76:76)+100</f>
        <v>100</v>
      </c>
      <c r="I9" s="2695" t="s">
        <v>3055</v>
      </c>
      <c r="J9" s="134">
        <f>SUMIF(75:75,I9,76:76)-SUMIF(75:75,C9,76:76)+100</f>
        <v>100</v>
      </c>
      <c r="K9" s="610"/>
      <c r="L9" s="1127"/>
      <c r="M9" s="1128"/>
      <c r="N9" s="1128"/>
      <c r="O9" s="1129"/>
      <c r="P9" s="3248"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772">
        <f t="shared" si="5"/>
        <v>1</v>
      </c>
    </row>
    <row r="10" spans="1:30" s="426" customFormat="1" ht="27">
      <c r="A10" s="420"/>
      <c r="B10" s="421" t="s">
        <v>2552</v>
      </c>
      <c r="C10" s="431"/>
      <c r="D10" s="135">
        <v>100</v>
      </c>
      <c r="E10" s="431"/>
      <c r="F10" s="135">
        <f>ROUND(100/'数据-取费表'!G16,0)</f>
        <v>101</v>
      </c>
      <c r="G10" s="431"/>
      <c r="H10" s="135">
        <f>ROUND(100/'数据-取费表'!G16,0)</f>
        <v>101</v>
      </c>
      <c r="I10" s="462"/>
      <c r="J10" s="135">
        <f>ROUND(100/'数据-取费表'!G16,0)</f>
        <v>101</v>
      </c>
      <c r="K10" s="671"/>
      <c r="L10" s="1130"/>
      <c r="M10" s="1131"/>
      <c r="N10" s="1131"/>
      <c r="O10" s="1132"/>
      <c r="P10" s="3248"/>
      <c r="Q10" s="1790" t="str">
        <f t="shared" si="6"/>
        <v>土地使用年限（年）</v>
      </c>
      <c r="R10" s="769" t="s">
        <v>17</v>
      </c>
      <c r="S10" s="770">
        <f t="shared" si="0"/>
        <v>101</v>
      </c>
      <c r="T10" s="769" t="s">
        <v>17</v>
      </c>
      <c r="U10" s="770">
        <f t="shared" si="1"/>
        <v>101</v>
      </c>
      <c r="V10" s="769" t="s">
        <v>17</v>
      </c>
      <c r="W10" s="770">
        <f t="shared" si="2"/>
        <v>101</v>
      </c>
      <c r="X10" s="771"/>
      <c r="Y10" s="3102"/>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1.1200000000000001</v>
      </c>
      <c r="D11" s="135">
        <v>100</v>
      </c>
      <c r="E11" s="428">
        <v>1.2</v>
      </c>
      <c r="F11" s="135">
        <f>LOOKUP(E11,80:80,81:81)-LOOKUP(C11,80:80,81:81)+100</f>
        <v>100</v>
      </c>
      <c r="G11" s="428">
        <v>1.5</v>
      </c>
      <c r="H11" s="135">
        <f>LOOKUP(G11,80:80,81:81)-LOOKUP(C11,80:80,81:81)+100</f>
        <v>100</v>
      </c>
      <c r="I11" s="428">
        <v>2</v>
      </c>
      <c r="J11" s="135">
        <f>LOOKUP(I11,80:80,81:81)-LOOKUP(C11,80:80,81:81)+100</f>
        <v>95</v>
      </c>
      <c r="K11" s="672">
        <v>5</v>
      </c>
      <c r="L11" s="1133"/>
      <c r="M11" s="1126"/>
      <c r="N11" s="1126"/>
      <c r="O11" s="1134"/>
      <c r="P11" s="3248"/>
      <c r="Q11" s="1790" t="str">
        <f t="shared" si="6"/>
        <v>容积率</v>
      </c>
      <c r="R11" s="769" t="s">
        <v>17</v>
      </c>
      <c r="S11" s="770">
        <f t="shared" si="0"/>
        <v>100</v>
      </c>
      <c r="T11" s="769" t="s">
        <v>17</v>
      </c>
      <c r="U11" s="770">
        <f t="shared" si="1"/>
        <v>100</v>
      </c>
      <c r="V11" s="769" t="s">
        <v>17</v>
      </c>
      <c r="W11" s="770">
        <f t="shared" si="2"/>
        <v>95</v>
      </c>
      <c r="X11" s="771"/>
      <c r="Y11" s="3102"/>
      <c r="Z11" s="55" t="str">
        <f t="shared" si="7"/>
        <v>容积率</v>
      </c>
      <c r="AA11" s="772">
        <f t="shared" si="3"/>
        <v>1</v>
      </c>
      <c r="AB11" s="772">
        <f t="shared" si="4"/>
        <v>1</v>
      </c>
      <c r="AC11" s="772">
        <f t="shared" si="5"/>
        <v>1.0526315789473684</v>
      </c>
    </row>
    <row r="12" spans="1:30" s="116" customFormat="1" ht="15" hidden="1">
      <c r="A12" s="430"/>
      <c r="B12" s="2598" t="s">
        <v>2742</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248"/>
      <c r="Q12" s="1790" t="str">
        <f t="shared" si="6"/>
        <v>配建</v>
      </c>
      <c r="R12" s="769" t="s">
        <v>17</v>
      </c>
      <c r="S12" s="770">
        <f t="shared" si="0"/>
        <v>100</v>
      </c>
      <c r="T12" s="769" t="s">
        <v>17</v>
      </c>
      <c r="U12" s="770">
        <f t="shared" si="1"/>
        <v>100</v>
      </c>
      <c r="V12" s="769" t="s">
        <v>17</v>
      </c>
      <c r="W12" s="770">
        <f t="shared" si="2"/>
        <v>100</v>
      </c>
      <c r="X12" s="771"/>
      <c r="Y12" s="3102"/>
      <c r="Z12" s="55" t="str">
        <f t="shared" si="7"/>
        <v>配建</v>
      </c>
      <c r="AA12" s="772">
        <f>D12/F12</f>
        <v>1</v>
      </c>
      <c r="AB12" s="772">
        <f>D12/H12</f>
        <v>1</v>
      </c>
      <c r="AC12" s="772">
        <f>D12/J12</f>
        <v>1</v>
      </c>
    </row>
    <row r="13" spans="1:30" ht="15" hidden="1">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248"/>
      <c r="Q13" s="1790">
        <f t="shared" si="6"/>
        <v>111</v>
      </c>
      <c r="R13" s="769" t="s">
        <v>17</v>
      </c>
      <c r="S13" s="770">
        <f t="shared" si="0"/>
        <v>100</v>
      </c>
      <c r="T13" s="769" t="s">
        <v>17</v>
      </c>
      <c r="U13" s="770">
        <f t="shared" si="1"/>
        <v>100</v>
      </c>
      <c r="V13" s="769" t="s">
        <v>17</v>
      </c>
      <c r="W13" s="770">
        <f t="shared" si="2"/>
        <v>100</v>
      </c>
      <c r="X13" s="771"/>
      <c r="Y13" s="3102"/>
      <c r="Z13" s="55">
        <f t="shared" si="7"/>
        <v>111</v>
      </c>
      <c r="AA13" s="772">
        <f>D13/F13</f>
        <v>1</v>
      </c>
      <c r="AB13" s="772">
        <f>D13/H13</f>
        <v>1</v>
      </c>
      <c r="AC13" s="772">
        <f>D13/J13</f>
        <v>1</v>
      </c>
    </row>
    <row r="14" spans="1:30" ht="15.75" hidden="1"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248"/>
      <c r="Q14" s="1790">
        <f t="shared" si="6"/>
        <v>111</v>
      </c>
      <c r="R14" s="769" t="s">
        <v>17</v>
      </c>
      <c r="S14" s="770">
        <f t="shared" si="0"/>
        <v>100</v>
      </c>
      <c r="T14" s="769" t="s">
        <v>17</v>
      </c>
      <c r="U14" s="770">
        <f t="shared" si="1"/>
        <v>100</v>
      </c>
      <c r="V14" s="769" t="s">
        <v>17</v>
      </c>
      <c r="W14" s="770">
        <f t="shared" si="2"/>
        <v>100</v>
      </c>
      <c r="X14" s="771"/>
      <c r="Y14" s="3102"/>
      <c r="Z14" s="55">
        <f t="shared" si="7"/>
        <v>111</v>
      </c>
      <c r="AA14" s="772">
        <f>D14/F14</f>
        <v>1</v>
      </c>
      <c r="AB14" s="772">
        <f>D14/H14</f>
        <v>1</v>
      </c>
      <c r="AC14" s="772">
        <f>D14/J14</f>
        <v>1</v>
      </c>
    </row>
    <row r="15" spans="1:30" ht="99.75">
      <c r="A15" s="439" t="s">
        <v>2554</v>
      </c>
      <c r="B15" s="69" t="s">
        <v>2085</v>
      </c>
      <c r="C15" s="2601" t="str">
        <f>估价对象房地状况!C15</f>
        <v>估价对象周边居住用地比例、居住小区规模和社区发展完善程度，综合评价居住社区成熟度一般</v>
      </c>
      <c r="D15" s="440">
        <v>100</v>
      </c>
      <c r="E15" s="441"/>
      <c r="F15" s="440">
        <f>SUMIF(88:88,E16,89:89)-SUMIF(88:88,C16,89:89)+100</f>
        <v>105</v>
      </c>
      <c r="G15" s="441"/>
      <c r="H15" s="440">
        <f>SUMIF(88:88,G16,89:89)-SUMIF(88:88,C16,89:89)+100</f>
        <v>105</v>
      </c>
      <c r="I15" s="443"/>
      <c r="J15" s="440">
        <f>SUMIF(88:88,I16,89:89)-SUMIF(88:88,C16,89:89)+100</f>
        <v>100</v>
      </c>
      <c r="K15" s="672">
        <v>5</v>
      </c>
      <c r="L15" s="1135"/>
      <c r="M15" s="1126"/>
      <c r="N15" s="1126"/>
      <c r="O15" s="1134"/>
      <c r="P15" s="3263" t="s">
        <v>2555</v>
      </c>
      <c r="Q15" s="1805" t="str">
        <f t="shared" si="6"/>
        <v>居住社区成熟度</v>
      </c>
      <c r="R15" s="773" t="s">
        <v>17</v>
      </c>
      <c r="S15" s="774">
        <f t="shared" si="0"/>
        <v>105</v>
      </c>
      <c r="T15" s="773" t="s">
        <v>17</v>
      </c>
      <c r="U15" s="774">
        <f t="shared" si="1"/>
        <v>105</v>
      </c>
      <c r="V15" s="773" t="s">
        <v>17</v>
      </c>
      <c r="W15" s="774">
        <f t="shared" si="2"/>
        <v>100</v>
      </c>
      <c r="X15" s="1808"/>
      <c r="Y15" s="3263" t="s">
        <v>2555</v>
      </c>
      <c r="Z15" s="1809" t="str">
        <f t="shared" si="7"/>
        <v>居住社区成熟度</v>
      </c>
      <c r="AA15" s="1806">
        <f t="shared" si="3"/>
        <v>0.95238095238095233</v>
      </c>
      <c r="AB15" s="1806">
        <f t="shared" si="4"/>
        <v>0.95238095238095233</v>
      </c>
      <c r="AC15" s="1806">
        <f t="shared" si="5"/>
        <v>1</v>
      </c>
    </row>
    <row r="16" spans="1:30" ht="15">
      <c r="A16" s="427"/>
      <c r="B16" s="445"/>
      <c r="C16" s="446" t="s">
        <v>3058</v>
      </c>
      <c r="D16" s="447"/>
      <c r="E16" s="2603" t="s">
        <v>3060</v>
      </c>
      <c r="F16" s="447"/>
      <c r="G16" s="2603" t="s">
        <v>3060</v>
      </c>
      <c r="H16" s="449"/>
      <c r="I16" s="2602" t="s">
        <v>3058</v>
      </c>
      <c r="J16" s="447"/>
      <c r="K16" s="671"/>
      <c r="L16" s="1135"/>
      <c r="M16" s="1126"/>
      <c r="N16" s="1126"/>
      <c r="O16" s="1134"/>
      <c r="P16" s="3264"/>
      <c r="Q16" s="1805"/>
      <c r="R16" s="773"/>
      <c r="S16" s="774"/>
      <c r="T16" s="773"/>
      <c r="U16" s="774"/>
      <c r="V16" s="773"/>
      <c r="W16" s="774"/>
      <c r="X16" s="1808"/>
      <c r="Y16" s="3264"/>
      <c r="Z16" s="1809"/>
      <c r="AA16" s="1806">
        <v>1</v>
      </c>
      <c r="AB16" s="1806">
        <v>1</v>
      </c>
      <c r="AC16" s="1806">
        <v>1</v>
      </c>
    </row>
    <row r="17" spans="1:29" ht="71.25">
      <c r="A17" s="427"/>
      <c r="B17" s="450" t="s">
        <v>2648</v>
      </c>
      <c r="C17" s="2660" t="str">
        <f>估价对象房地状况!C16</f>
        <v>估价对象位于XX商圈，周边商业氛围成熟，人流量大，商业繁华度好</v>
      </c>
      <c r="D17" s="449">
        <v>100</v>
      </c>
      <c r="E17" s="451"/>
      <c r="F17" s="449">
        <f>SUMIF(90:90,E18,91:91)-SUMIF(90:90,C18,91:91)+100</f>
        <v>105</v>
      </c>
      <c r="G17" s="451"/>
      <c r="H17" s="454">
        <f>SUMIF(90:90,G18,91:91)-SUMIF(90:90,C18,91:91)+100</f>
        <v>105</v>
      </c>
      <c r="I17" s="453"/>
      <c r="J17" s="454">
        <f>SUMIF(90:90,I18,91:91)-SUMIF(90:90,C18,91:91)+100</f>
        <v>100</v>
      </c>
      <c r="K17" s="2971">
        <v>5</v>
      </c>
      <c r="L17" s="1135"/>
      <c r="M17" s="1126"/>
      <c r="N17" s="1126"/>
      <c r="O17" s="1134"/>
      <c r="P17" s="3264"/>
      <c r="Q17" s="1805" t="str">
        <f>B17</f>
        <v>商业繁华度</v>
      </c>
      <c r="R17" s="773" t="s">
        <v>17</v>
      </c>
      <c r="S17" s="774">
        <f>F17</f>
        <v>105</v>
      </c>
      <c r="T17" s="773" t="s">
        <v>17</v>
      </c>
      <c r="U17" s="774">
        <f>H17</f>
        <v>105</v>
      </c>
      <c r="V17" s="773" t="s">
        <v>17</v>
      </c>
      <c r="W17" s="774">
        <f>J17</f>
        <v>100</v>
      </c>
      <c r="X17" s="1808"/>
      <c r="Y17" s="3264"/>
      <c r="Z17" s="1809" t="str">
        <f>Q17</f>
        <v>商业繁华度</v>
      </c>
      <c r="AA17" s="1806">
        <f t="shared" si="3"/>
        <v>0.95238095238095233</v>
      </c>
      <c r="AB17" s="1806">
        <f t="shared" si="4"/>
        <v>0.95238095238095233</v>
      </c>
      <c r="AC17" s="1806">
        <f t="shared" si="5"/>
        <v>1</v>
      </c>
    </row>
    <row r="18" spans="1:29" ht="15">
      <c r="A18" s="427"/>
      <c r="B18" s="455"/>
      <c r="C18" s="2606" t="s">
        <v>3058</v>
      </c>
      <c r="D18" s="449"/>
      <c r="E18" s="2608" t="s">
        <v>3060</v>
      </c>
      <c r="F18" s="449"/>
      <c r="G18" s="2608" t="s">
        <v>3060</v>
      </c>
      <c r="H18" s="447"/>
      <c r="I18" s="2607" t="s">
        <v>3058</v>
      </c>
      <c r="J18" s="447"/>
      <c r="K18" s="671"/>
      <c r="L18" s="1135"/>
      <c r="M18" s="1126"/>
      <c r="N18" s="1126"/>
      <c r="O18" s="1134"/>
      <c r="P18" s="3264"/>
      <c r="Q18" s="1805"/>
      <c r="R18" s="773"/>
      <c r="S18" s="774"/>
      <c r="T18" s="773"/>
      <c r="U18" s="774"/>
      <c r="V18" s="773"/>
      <c r="W18" s="774"/>
      <c r="X18" s="1808"/>
      <c r="Y18" s="3264"/>
      <c r="Z18" s="1809"/>
      <c r="AA18" s="1806">
        <v>1</v>
      </c>
      <c r="AB18" s="1806">
        <v>1</v>
      </c>
      <c r="AC18" s="1806">
        <v>1</v>
      </c>
    </row>
    <row r="19" spans="1:29" ht="71.25" hidden="1">
      <c r="A19" s="427"/>
      <c r="B19" s="450" t="s">
        <v>2682</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264"/>
      <c r="Q19" s="1805" t="str">
        <f>B19</f>
        <v>办公集聚程度</v>
      </c>
      <c r="R19" s="773" t="s">
        <v>17</v>
      </c>
      <c r="S19" s="774">
        <f>F19</f>
        <v>100</v>
      </c>
      <c r="T19" s="773" t="s">
        <v>17</v>
      </c>
      <c r="U19" s="774">
        <f>H19</f>
        <v>100</v>
      </c>
      <c r="V19" s="773" t="s">
        <v>17</v>
      </c>
      <c r="W19" s="774">
        <f>J19</f>
        <v>100</v>
      </c>
      <c r="X19" s="1808"/>
      <c r="Y19" s="3264"/>
      <c r="Z19" s="1809" t="str">
        <f>Q19</f>
        <v>办公集聚程度</v>
      </c>
      <c r="AA19" s="1806">
        <f t="shared" si="3"/>
        <v>1</v>
      </c>
      <c r="AB19" s="1806">
        <f t="shared" si="4"/>
        <v>1</v>
      </c>
      <c r="AC19" s="1806">
        <f t="shared" si="5"/>
        <v>1</v>
      </c>
    </row>
    <row r="20" spans="1:29" ht="15" hidden="1">
      <c r="A20" s="427"/>
      <c r="B20" s="455"/>
      <c r="C20" s="446"/>
      <c r="D20" s="447"/>
      <c r="E20" s="2603"/>
      <c r="F20" s="447"/>
      <c r="G20" s="2603"/>
      <c r="H20" s="447"/>
      <c r="I20" s="2602"/>
      <c r="J20" s="447"/>
      <c r="K20" s="671"/>
      <c r="L20" s="1135"/>
      <c r="M20" s="1126"/>
      <c r="N20" s="1126"/>
      <c r="O20" s="1134"/>
      <c r="P20" s="3264"/>
      <c r="Q20" s="1805"/>
      <c r="R20" s="773"/>
      <c r="S20" s="774"/>
      <c r="T20" s="773"/>
      <c r="U20" s="774"/>
      <c r="V20" s="773"/>
      <c r="W20" s="774"/>
      <c r="X20" s="1808"/>
      <c r="Y20" s="3264"/>
      <c r="Z20" s="1809"/>
      <c r="AA20" s="1806">
        <v>1</v>
      </c>
      <c r="AB20" s="1806">
        <v>1</v>
      </c>
      <c r="AC20" s="1806">
        <v>1</v>
      </c>
    </row>
    <row r="21" spans="1:29" ht="85.5">
      <c r="A21" s="427"/>
      <c r="B21" s="450" t="s">
        <v>2704</v>
      </c>
      <c r="C21" s="2605" t="str">
        <f>估价对象房地状况!C18</f>
        <v>估价对象周边道路状况、公共交通通达情况、停车便捷程度，综合评价交通便捷度较好</v>
      </c>
      <c r="D21" s="449">
        <v>100</v>
      </c>
      <c r="E21" s="451"/>
      <c r="F21" s="454">
        <f>SUMIF(94:94,E22,95:95)-SUMIF(94:94,C22,95:95)+100</f>
        <v>105</v>
      </c>
      <c r="G21" s="451"/>
      <c r="H21" s="449">
        <f>SUMIF(94:94,G22,95:95)-SUMIF(94:94,C22,95:95)+100</f>
        <v>105</v>
      </c>
      <c r="I21" s="453"/>
      <c r="J21" s="449">
        <f>SUMIF(94:94,I22,95:95)-SUMIF(94:94,C22,95:95)+100</f>
        <v>100</v>
      </c>
      <c r="K21" s="672">
        <v>5</v>
      </c>
      <c r="L21" s="1135"/>
      <c r="M21" s="1126"/>
      <c r="N21" s="1126"/>
      <c r="O21" s="1134"/>
      <c r="P21" s="3264"/>
      <c r="Q21" s="1805" t="str">
        <f>B21</f>
        <v>交通便捷度</v>
      </c>
      <c r="R21" s="773" t="s">
        <v>17</v>
      </c>
      <c r="S21" s="774">
        <f>F21</f>
        <v>105</v>
      </c>
      <c r="T21" s="773" t="s">
        <v>17</v>
      </c>
      <c r="U21" s="774">
        <f>H21</f>
        <v>105</v>
      </c>
      <c r="V21" s="773" t="s">
        <v>17</v>
      </c>
      <c r="W21" s="774">
        <f>J21</f>
        <v>100</v>
      </c>
      <c r="X21" s="1808"/>
      <c r="Y21" s="3264"/>
      <c r="Z21" s="1809" t="str">
        <f>Q21</f>
        <v>交通便捷度</v>
      </c>
      <c r="AA21" s="1806">
        <f t="shared" si="3"/>
        <v>0.95238095238095233</v>
      </c>
      <c r="AB21" s="1806">
        <f t="shared" si="4"/>
        <v>0.95238095238095233</v>
      </c>
      <c r="AC21" s="1806">
        <f t="shared" si="5"/>
        <v>1</v>
      </c>
    </row>
    <row r="22" spans="1:29" ht="15">
      <c r="A22" s="427"/>
      <c r="B22" s="1379"/>
      <c r="C22" s="446" t="s">
        <v>3058</v>
      </c>
      <c r="D22" s="449"/>
      <c r="E22" s="2603" t="s">
        <v>3060</v>
      </c>
      <c r="F22" s="447"/>
      <c r="G22" s="2603" t="s">
        <v>3060</v>
      </c>
      <c r="H22" s="447"/>
      <c r="I22" s="2602" t="s">
        <v>3058</v>
      </c>
      <c r="J22" s="447"/>
      <c r="K22" s="671"/>
      <c r="L22" s="1135"/>
      <c r="M22" s="1126"/>
      <c r="N22" s="1126"/>
      <c r="O22" s="1134"/>
      <c r="P22" s="3264"/>
      <c r="Q22" s="1805"/>
      <c r="R22" s="773"/>
      <c r="S22" s="774"/>
      <c r="T22" s="773"/>
      <c r="U22" s="774"/>
      <c r="V22" s="773"/>
      <c r="W22" s="774"/>
      <c r="X22" s="1808"/>
      <c r="Y22" s="3264"/>
      <c r="Z22" s="1809"/>
      <c r="AA22" s="1806">
        <v>1</v>
      </c>
      <c r="AB22" s="1806">
        <v>1</v>
      </c>
      <c r="AC22" s="1806">
        <v>1</v>
      </c>
    </row>
    <row r="23" spans="1:29" ht="15">
      <c r="A23" s="403"/>
      <c r="B23" s="450" t="s">
        <v>2743</v>
      </c>
      <c r="C23" s="1384">
        <f>估价对象房地状况!C19</f>
        <v>0</v>
      </c>
      <c r="D23" s="454">
        <v>100</v>
      </c>
      <c r="E23" s="451"/>
      <c r="F23" s="454">
        <f>SUMIF(96:96,E24,97:97)-SUMIF(96:96,C24,97:97)+100</f>
        <v>100</v>
      </c>
      <c r="G23" s="451"/>
      <c r="H23" s="454">
        <f>SUMIF(96:96,G24,97:97)-SUMIF(96:96,C24,97:97)+100</f>
        <v>100</v>
      </c>
      <c r="I23" s="453"/>
      <c r="J23" s="454">
        <f>SUMIF(96:96,I24,97:97)-SUMIF(96:96,C24,97:97)+100</f>
        <v>100</v>
      </c>
      <c r="K23" s="672">
        <v>5</v>
      </c>
      <c r="L23" s="1135"/>
      <c r="M23" s="1126"/>
      <c r="N23" s="1126"/>
      <c r="O23" s="1134"/>
      <c r="P23" s="3264"/>
      <c r="Q23" s="1805" t="str">
        <f t="shared" ref="Q23:Q37" si="8">B23</f>
        <v>区域土地利用方向</v>
      </c>
      <c r="R23" s="773" t="s">
        <v>17</v>
      </c>
      <c r="S23" s="774">
        <f>F23</f>
        <v>100</v>
      </c>
      <c r="T23" s="773" t="s">
        <v>17</v>
      </c>
      <c r="U23" s="774">
        <f>H23</f>
        <v>100</v>
      </c>
      <c r="V23" s="773" t="s">
        <v>17</v>
      </c>
      <c r="W23" s="774">
        <f>J23</f>
        <v>100</v>
      </c>
      <c r="X23" s="1808"/>
      <c r="Y23" s="3264"/>
      <c r="Z23" s="1809" t="str">
        <f>Q23</f>
        <v>区域土地利用方向</v>
      </c>
      <c r="AA23" s="1806">
        <f t="shared" si="3"/>
        <v>1</v>
      </c>
      <c r="AB23" s="1806">
        <f t="shared" si="4"/>
        <v>1</v>
      </c>
      <c r="AC23" s="1806">
        <f t="shared" si="5"/>
        <v>1</v>
      </c>
    </row>
    <row r="24" spans="1:29" ht="15">
      <c r="A24" s="403"/>
      <c r="B24" s="455"/>
      <c r="C24" s="615" t="s">
        <v>3060</v>
      </c>
      <c r="D24" s="447"/>
      <c r="E24" s="2603" t="s">
        <v>3060</v>
      </c>
      <c r="F24" s="447"/>
      <c r="G24" s="2603" t="s">
        <v>3060</v>
      </c>
      <c r="H24" s="447"/>
      <c r="I24" s="2602" t="s">
        <v>3060</v>
      </c>
      <c r="J24" s="447"/>
      <c r="K24" s="807"/>
      <c r="L24" s="1135"/>
      <c r="M24" s="1126"/>
      <c r="N24" s="1126"/>
      <c r="O24" s="1134"/>
      <c r="P24" s="3264"/>
      <c r="Q24" s="1805"/>
      <c r="R24" s="773"/>
      <c r="S24" s="774"/>
      <c r="T24" s="773"/>
      <c r="U24" s="774"/>
      <c r="V24" s="773"/>
      <c r="W24" s="774"/>
      <c r="X24" s="1808"/>
      <c r="Y24" s="3264"/>
      <c r="Z24" s="1809"/>
      <c r="AA24" s="1806"/>
      <c r="AB24" s="1806"/>
      <c r="AC24" s="1806"/>
    </row>
    <row r="25" spans="1:29" ht="57">
      <c r="A25" s="403"/>
      <c r="B25" s="1379" t="s">
        <v>2744</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5</v>
      </c>
      <c r="L25" s="1135"/>
      <c r="M25" s="1126"/>
      <c r="N25" s="1126"/>
      <c r="O25" s="1134"/>
      <c r="P25" s="3264"/>
      <c r="Q25" s="1805" t="str">
        <f t="shared" si="8"/>
        <v>自然及人文环境状况</v>
      </c>
      <c r="R25" s="773" t="s">
        <v>17</v>
      </c>
      <c r="S25" s="774">
        <f>F25</f>
        <v>100</v>
      </c>
      <c r="T25" s="773" t="s">
        <v>17</v>
      </c>
      <c r="U25" s="774">
        <f>H25</f>
        <v>100</v>
      </c>
      <c r="V25" s="773" t="s">
        <v>17</v>
      </c>
      <c r="W25" s="774">
        <f>J25</f>
        <v>100</v>
      </c>
      <c r="X25" s="1808"/>
      <c r="Y25" s="3264"/>
      <c r="Z25" s="1809" t="str">
        <f>Q25</f>
        <v>自然及人文环境状况</v>
      </c>
      <c r="AA25" s="1806">
        <f t="shared" si="3"/>
        <v>1</v>
      </c>
      <c r="AB25" s="1806">
        <f t="shared" si="4"/>
        <v>1</v>
      </c>
      <c r="AC25" s="1806">
        <f t="shared" si="5"/>
        <v>1</v>
      </c>
    </row>
    <row r="26" spans="1:29" ht="15">
      <c r="A26" s="403"/>
      <c r="B26" s="455"/>
      <c r="C26" s="446" t="s">
        <v>3060</v>
      </c>
      <c r="D26" s="447"/>
      <c r="E26" s="2609" t="s">
        <v>3060</v>
      </c>
      <c r="F26" s="447"/>
      <c r="G26" s="2609" t="s">
        <v>3060</v>
      </c>
      <c r="H26" s="447"/>
      <c r="I26" s="446" t="s">
        <v>3060</v>
      </c>
      <c r="J26" s="447"/>
      <c r="K26" s="671"/>
      <c r="L26" s="1135"/>
      <c r="M26" s="1126"/>
      <c r="N26" s="1126"/>
      <c r="O26" s="1134"/>
      <c r="P26" s="3264"/>
      <c r="Q26" s="1805"/>
      <c r="R26" s="773"/>
      <c r="S26" s="774"/>
      <c r="T26" s="773"/>
      <c r="U26" s="774"/>
      <c r="V26" s="773"/>
      <c r="W26" s="774"/>
      <c r="X26" s="1808"/>
      <c r="Y26" s="3264"/>
      <c r="Z26" s="1809"/>
      <c r="AA26" s="1806">
        <v>1</v>
      </c>
      <c r="AB26" s="1806">
        <v>1</v>
      </c>
      <c r="AC26" s="1806">
        <v>1</v>
      </c>
    </row>
    <row r="27" spans="1:29" s="116" customFormat="1" ht="42.75">
      <c r="A27" s="648"/>
      <c r="B27" s="1379" t="s">
        <v>2649</v>
      </c>
      <c r="C27" s="2605" t="str">
        <f>估价对象房地状况!C21</f>
        <v>估价对象所在区域公共配套设施齐备情况</v>
      </c>
      <c r="D27" s="449">
        <v>100</v>
      </c>
      <c r="E27" s="451"/>
      <c r="F27" s="449">
        <f>SUMIF(100:100,E28,101:101)-SUMIF(100:100,C28,101:101)+100</f>
        <v>105</v>
      </c>
      <c r="G27" s="451"/>
      <c r="H27" s="449">
        <f>SUMIF(100:100,G28,101:101)-SUMIF(100:100,C28,101:101)+100</f>
        <v>105</v>
      </c>
      <c r="I27" s="453"/>
      <c r="J27" s="449">
        <f>SUMIF(100:100,I28,101:101)-SUMIF(100:100,C28,101:101)+100</f>
        <v>100</v>
      </c>
      <c r="K27" s="672">
        <v>5</v>
      </c>
      <c r="L27" s="1127"/>
      <c r="M27" s="1128"/>
      <c r="N27" s="1128"/>
      <c r="O27" s="1129"/>
      <c r="P27" s="3264"/>
      <c r="Q27" s="1790" t="str">
        <f t="shared" si="8"/>
        <v>公共配套设施</v>
      </c>
      <c r="R27" s="769" t="s">
        <v>17</v>
      </c>
      <c r="S27" s="770">
        <f>F27</f>
        <v>105</v>
      </c>
      <c r="T27" s="769" t="s">
        <v>17</v>
      </c>
      <c r="U27" s="770">
        <f>H27</f>
        <v>105</v>
      </c>
      <c r="V27" s="769" t="s">
        <v>17</v>
      </c>
      <c r="W27" s="770">
        <f>J27</f>
        <v>100</v>
      </c>
      <c r="X27" s="771"/>
      <c r="Y27" s="3264"/>
      <c r="Z27" s="55" t="str">
        <f>Q27</f>
        <v>公共配套设施</v>
      </c>
      <c r="AA27" s="1806">
        <f>D27/F27</f>
        <v>0.95238095238095233</v>
      </c>
      <c r="AB27" s="1806">
        <f>D27/H27</f>
        <v>0.95238095238095233</v>
      </c>
      <c r="AC27" s="1806">
        <f>D27/J27</f>
        <v>1</v>
      </c>
    </row>
    <row r="28" spans="1:29" s="116" customFormat="1" ht="15">
      <c r="A28" s="648"/>
      <c r="B28" s="455"/>
      <c r="C28" s="2696" t="s">
        <v>3058</v>
      </c>
      <c r="D28" s="447"/>
      <c r="E28" s="2609" t="s">
        <v>3060</v>
      </c>
      <c r="F28" s="447"/>
      <c r="G28" s="2609" t="s">
        <v>3060</v>
      </c>
      <c r="H28" s="447"/>
      <c r="I28" s="446" t="s">
        <v>3058</v>
      </c>
      <c r="J28" s="447"/>
      <c r="K28" s="671"/>
      <c r="L28" s="1127"/>
      <c r="M28" s="1128"/>
      <c r="N28" s="1128"/>
      <c r="O28" s="1129"/>
      <c r="P28" s="3264"/>
      <c r="Q28" s="1790"/>
      <c r="R28" s="769"/>
      <c r="S28" s="770"/>
      <c r="T28" s="769"/>
      <c r="U28" s="770"/>
      <c r="V28" s="769"/>
      <c r="W28" s="770"/>
      <c r="X28" s="771"/>
      <c r="Y28" s="3264"/>
      <c r="Z28" s="55"/>
      <c r="AA28" s="1806">
        <v>1</v>
      </c>
      <c r="AB28" s="1806">
        <v>1</v>
      </c>
      <c r="AC28" s="1806">
        <v>1</v>
      </c>
    </row>
    <row r="29" spans="1:29" s="116" customFormat="1" ht="28.5">
      <c r="A29" s="648"/>
      <c r="B29" s="1379" t="s">
        <v>2650</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7"/>
      <c r="M29" s="1128"/>
      <c r="N29" s="1128"/>
      <c r="O29" s="1129"/>
      <c r="P29" s="3264"/>
      <c r="Q29" s="1790" t="str">
        <f t="shared" ref="Q29" si="9">B29</f>
        <v>基础设施水平</v>
      </c>
      <c r="R29" s="769" t="s">
        <v>17</v>
      </c>
      <c r="S29" s="770">
        <f>F29</f>
        <v>100</v>
      </c>
      <c r="T29" s="769" t="s">
        <v>17</v>
      </c>
      <c r="U29" s="770">
        <f>H29</f>
        <v>100</v>
      </c>
      <c r="V29" s="769" t="s">
        <v>17</v>
      </c>
      <c r="W29" s="770">
        <f>J29</f>
        <v>100</v>
      </c>
      <c r="X29" s="771"/>
      <c r="Y29" s="3264"/>
      <c r="Z29" s="55" t="str">
        <f>Q29</f>
        <v>基础设施水平</v>
      </c>
      <c r="AA29" s="1806">
        <f>D29/F29</f>
        <v>1</v>
      </c>
      <c r="AB29" s="1806">
        <f>D29/H29</f>
        <v>1</v>
      </c>
      <c r="AC29" s="1806">
        <f>D29/J29</f>
        <v>1</v>
      </c>
    </row>
    <row r="30" spans="1:29" s="116" customFormat="1" ht="15">
      <c r="A30" s="648"/>
      <c r="B30" s="455"/>
      <c r="C30" s="2696" t="s">
        <v>3059</v>
      </c>
      <c r="D30" s="447"/>
      <c r="E30" s="2697" t="s">
        <v>3059</v>
      </c>
      <c r="F30" s="447"/>
      <c r="G30" s="2697" t="s">
        <v>3059</v>
      </c>
      <c r="H30" s="447"/>
      <c r="I30" s="2697" t="s">
        <v>3059</v>
      </c>
      <c r="J30" s="447"/>
      <c r="K30" s="671"/>
      <c r="L30" s="1127"/>
      <c r="M30" s="1128"/>
      <c r="N30" s="1128"/>
      <c r="O30" s="1129"/>
      <c r="P30" s="3264"/>
      <c r="Q30" s="1790"/>
      <c r="R30" s="769"/>
      <c r="S30" s="770"/>
      <c r="T30" s="769"/>
      <c r="U30" s="770"/>
      <c r="V30" s="769"/>
      <c r="W30" s="770"/>
      <c r="X30" s="771"/>
      <c r="Y30" s="3264"/>
      <c r="Z30" s="55"/>
      <c r="AA30" s="1806">
        <v>1</v>
      </c>
      <c r="AB30" s="1806">
        <v>1</v>
      </c>
      <c r="AC30" s="1806">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264"/>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64"/>
      <c r="Z31" s="1809" t="str">
        <f t="shared" ref="Z31:Z45" si="13">Q31</f>
        <v>临街状况</v>
      </c>
      <c r="AA31" s="1806">
        <f t="shared" si="3"/>
        <v>1</v>
      </c>
      <c r="AB31" s="1806">
        <f t="shared" si="4"/>
        <v>1</v>
      </c>
      <c r="AC31" s="1806">
        <f t="shared" si="5"/>
        <v>1</v>
      </c>
    </row>
    <row r="32" spans="1:29" ht="27">
      <c r="A32" s="427"/>
      <c r="B32" s="1379"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264"/>
      <c r="Q32" s="1805" t="str">
        <f t="shared" si="8"/>
        <v>毗邻道路的类型与等级</v>
      </c>
      <c r="R32" s="773" t="s">
        <v>17</v>
      </c>
      <c r="S32" s="774">
        <f t="shared" si="10"/>
        <v>100</v>
      </c>
      <c r="T32" s="773" t="s">
        <v>17</v>
      </c>
      <c r="U32" s="774">
        <f t="shared" si="11"/>
        <v>100</v>
      </c>
      <c r="V32" s="773" t="s">
        <v>17</v>
      </c>
      <c r="W32" s="774">
        <f t="shared" si="12"/>
        <v>100</v>
      </c>
      <c r="X32" s="1808"/>
      <c r="Y32" s="3264"/>
      <c r="Z32" s="1809" t="str">
        <f t="shared" si="13"/>
        <v>毗邻道路的类型与等级</v>
      </c>
      <c r="AA32" s="1806">
        <f t="shared" si="3"/>
        <v>1</v>
      </c>
      <c r="AB32" s="1806">
        <f t="shared" si="4"/>
        <v>1</v>
      </c>
      <c r="AC32" s="1806">
        <f t="shared" si="5"/>
        <v>1</v>
      </c>
    </row>
    <row r="33" spans="1:29" ht="15">
      <c r="A33" s="427"/>
      <c r="B33" s="455"/>
      <c r="C33" s="446"/>
      <c r="D33" s="447"/>
      <c r="E33" s="2609"/>
      <c r="F33" s="447"/>
      <c r="G33" s="2609"/>
      <c r="H33" s="447"/>
      <c r="I33" s="446"/>
      <c r="J33" s="447"/>
      <c r="K33" s="612"/>
      <c r="L33" s="1135"/>
      <c r="M33" s="1126"/>
      <c r="N33" s="1126"/>
      <c r="O33" s="1134"/>
      <c r="P33" s="3264"/>
      <c r="Q33" s="1805"/>
      <c r="R33" s="773"/>
      <c r="S33" s="774"/>
      <c r="T33" s="773"/>
      <c r="U33" s="774"/>
      <c r="V33" s="773"/>
      <c r="W33" s="774"/>
      <c r="X33" s="1808"/>
      <c r="Y33" s="3264"/>
      <c r="Z33" s="1809"/>
      <c r="AA33" s="1806">
        <v>1</v>
      </c>
      <c r="AB33" s="1806">
        <v>1</v>
      </c>
      <c r="AC33" s="1806">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264"/>
      <c r="Q34" s="1805" t="str">
        <f t="shared" si="8"/>
        <v>土地级别</v>
      </c>
      <c r="R34" s="773" t="s">
        <v>17</v>
      </c>
      <c r="S34" s="774">
        <f t="shared" si="10"/>
        <v>100</v>
      </c>
      <c r="T34" s="773" t="s">
        <v>17</v>
      </c>
      <c r="U34" s="774">
        <f t="shared" si="11"/>
        <v>100</v>
      </c>
      <c r="V34" s="773" t="s">
        <v>17</v>
      </c>
      <c r="W34" s="774">
        <f t="shared" si="12"/>
        <v>100</v>
      </c>
      <c r="X34" s="1808"/>
      <c r="Y34" s="3264"/>
      <c r="Z34" s="1809" t="str">
        <f t="shared" si="13"/>
        <v>土地级别</v>
      </c>
      <c r="AA34" s="1806">
        <f t="shared" si="3"/>
        <v>1</v>
      </c>
      <c r="AB34" s="1806">
        <f t="shared" si="4"/>
        <v>1</v>
      </c>
      <c r="AC34" s="1806">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264"/>
      <c r="Q35" s="1805">
        <f t="shared" si="8"/>
        <v>111</v>
      </c>
      <c r="R35" s="773" t="s">
        <v>17</v>
      </c>
      <c r="S35" s="774">
        <f t="shared" si="10"/>
        <v>100</v>
      </c>
      <c r="T35" s="773" t="s">
        <v>17</v>
      </c>
      <c r="U35" s="774">
        <f t="shared" si="11"/>
        <v>100</v>
      </c>
      <c r="V35" s="773" t="s">
        <v>17</v>
      </c>
      <c r="W35" s="774">
        <f t="shared" si="12"/>
        <v>100</v>
      </c>
      <c r="X35" s="1808"/>
      <c r="Y35" s="3264"/>
      <c r="Z35" s="1809">
        <f t="shared" si="13"/>
        <v>111</v>
      </c>
      <c r="AA35" s="1806">
        <f t="shared" si="3"/>
        <v>1</v>
      </c>
      <c r="AB35" s="1806">
        <f t="shared" si="4"/>
        <v>1</v>
      </c>
      <c r="AC35" s="1806">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265" t="s">
        <v>2560</v>
      </c>
      <c r="Q36" s="1805">
        <f t="shared" si="8"/>
        <v>111</v>
      </c>
      <c r="R36" s="773" t="s">
        <v>17</v>
      </c>
      <c r="S36" s="774">
        <f t="shared" si="10"/>
        <v>100</v>
      </c>
      <c r="T36" s="773" t="s">
        <v>17</v>
      </c>
      <c r="U36" s="774">
        <f t="shared" si="11"/>
        <v>100</v>
      </c>
      <c r="V36" s="773" t="s">
        <v>17</v>
      </c>
      <c r="W36" s="774">
        <f t="shared" si="12"/>
        <v>100</v>
      </c>
      <c r="X36" s="1808"/>
      <c r="Y36" s="3266" t="s">
        <v>2560</v>
      </c>
      <c r="Z36" s="1809">
        <f t="shared" si="13"/>
        <v>111</v>
      </c>
      <c r="AA36" s="1806">
        <f t="shared" si="3"/>
        <v>1</v>
      </c>
      <c r="AB36" s="1806">
        <f t="shared" si="4"/>
        <v>1</v>
      </c>
      <c r="AC36" s="1806">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266"/>
      <c r="Q37" s="1805">
        <f t="shared" si="8"/>
        <v>111</v>
      </c>
      <c r="R37" s="776" t="s">
        <v>17</v>
      </c>
      <c r="S37" s="777">
        <f t="shared" si="10"/>
        <v>100</v>
      </c>
      <c r="T37" s="776" t="s">
        <v>17</v>
      </c>
      <c r="U37" s="777">
        <f t="shared" si="11"/>
        <v>100</v>
      </c>
      <c r="V37" s="776" t="s">
        <v>17</v>
      </c>
      <c r="W37" s="777">
        <f t="shared" si="12"/>
        <v>100</v>
      </c>
      <c r="X37" s="778"/>
      <c r="Y37" s="3266"/>
      <c r="Z37" s="779">
        <f t="shared" si="13"/>
        <v>111</v>
      </c>
      <c r="AA37" s="1806">
        <f t="shared" si="3"/>
        <v>1</v>
      </c>
      <c r="AB37" s="1806">
        <f t="shared" si="4"/>
        <v>1</v>
      </c>
      <c r="AC37" s="1806">
        <f t="shared" si="5"/>
        <v>1</v>
      </c>
    </row>
    <row r="38" spans="1:29" ht="15">
      <c r="A38" s="471" t="s">
        <v>2558</v>
      </c>
      <c r="B38" s="455" t="s">
        <v>2746</v>
      </c>
      <c r="C38" s="678">
        <v>136342.74</v>
      </c>
      <c r="D38" s="466">
        <v>100</v>
      </c>
      <c r="E38" s="678">
        <v>33130.730000000003</v>
      </c>
      <c r="F38" s="466">
        <f>LOOKUP(E38,117:117,118:118)-LOOKUP(C38,117:117,118:118)+100</f>
        <v>104</v>
      </c>
      <c r="G38" s="678">
        <v>53369.07</v>
      </c>
      <c r="H38" s="466">
        <f>LOOKUP(G38,117:117,118:118)-LOOKUP(C38,117:117,118:118)+100</f>
        <v>102</v>
      </c>
      <c r="I38" s="529">
        <v>13868.6</v>
      </c>
      <c r="J38" s="466">
        <f>LOOKUP(I38,117:117,118:118)-LOOKUP(C38,117:117,118:118)+100</f>
        <v>104</v>
      </c>
      <c r="K38" s="612"/>
      <c r="L38" s="1135"/>
      <c r="M38" s="1126"/>
      <c r="N38" s="1126"/>
      <c r="O38" s="1134"/>
      <c r="P38" s="3266"/>
      <c r="Q38" s="1805" t="str">
        <f>B38</f>
        <v>宗地面积</v>
      </c>
      <c r="R38" s="773" t="s">
        <v>17</v>
      </c>
      <c r="S38" s="774">
        <f t="shared" si="10"/>
        <v>104</v>
      </c>
      <c r="T38" s="773" t="s">
        <v>17</v>
      </c>
      <c r="U38" s="774">
        <f t="shared" si="11"/>
        <v>102</v>
      </c>
      <c r="V38" s="773" t="s">
        <v>17</v>
      </c>
      <c r="W38" s="774">
        <f t="shared" si="12"/>
        <v>104</v>
      </c>
      <c r="X38" s="1808"/>
      <c r="Y38" s="3266"/>
      <c r="Z38" s="1809" t="str">
        <f t="shared" si="13"/>
        <v>宗地面积</v>
      </c>
      <c r="AA38" s="1806">
        <f t="shared" si="3"/>
        <v>0.96153846153846156</v>
      </c>
      <c r="AB38" s="1806">
        <f t="shared" si="4"/>
        <v>0.98039215686274506</v>
      </c>
      <c r="AC38" s="1806">
        <f t="shared" si="5"/>
        <v>0.96153846153846156</v>
      </c>
    </row>
    <row r="39" spans="1:29" ht="15">
      <c r="A39" s="471"/>
      <c r="B39" s="421" t="s">
        <v>2747</v>
      </c>
      <c r="C39" s="2611" t="s">
        <v>3252</v>
      </c>
      <c r="D39" s="434">
        <v>100</v>
      </c>
      <c r="E39" s="2611" t="s">
        <v>3252</v>
      </c>
      <c r="F39" s="434">
        <f>SUMIF(119:119,E39,120:120)-SUMIF(119:119,C39,120:120)+100</f>
        <v>100</v>
      </c>
      <c r="G39" s="2611" t="s">
        <v>3252</v>
      </c>
      <c r="H39" s="434">
        <f>SUMIF(119:119,G39,120:120)-SUMIF(119:119,C39,120:120)+100</f>
        <v>100</v>
      </c>
      <c r="I39" s="2611" t="s">
        <v>3252</v>
      </c>
      <c r="J39" s="434">
        <f>SUMIF(119:119,I39,120:120)-SUMIF(119:119,C39,120:120)+100</f>
        <v>100</v>
      </c>
      <c r="K39" s="611">
        <v>3</v>
      </c>
      <c r="L39" s="1135"/>
      <c r="M39" s="1126"/>
      <c r="N39" s="1126"/>
      <c r="O39" s="1134"/>
      <c r="P39" s="3266"/>
      <c r="Q39" s="1805" t="str">
        <f t="shared" ref="Q39:Q45" si="14">B39</f>
        <v>宗地形状</v>
      </c>
      <c r="R39" s="773" t="s">
        <v>17</v>
      </c>
      <c r="S39" s="774">
        <f t="shared" si="10"/>
        <v>100</v>
      </c>
      <c r="T39" s="773" t="s">
        <v>17</v>
      </c>
      <c r="U39" s="774">
        <f t="shared" si="11"/>
        <v>100</v>
      </c>
      <c r="V39" s="773" t="s">
        <v>17</v>
      </c>
      <c r="W39" s="774">
        <f t="shared" si="12"/>
        <v>100</v>
      </c>
      <c r="X39" s="1808"/>
      <c r="Y39" s="3266"/>
      <c r="Z39" s="1809" t="str">
        <f t="shared" si="13"/>
        <v>宗地形状</v>
      </c>
      <c r="AA39" s="1806">
        <f t="shared" si="3"/>
        <v>1</v>
      </c>
      <c r="AB39" s="1806">
        <f t="shared" si="4"/>
        <v>1</v>
      </c>
      <c r="AC39" s="1806">
        <f t="shared" si="5"/>
        <v>1</v>
      </c>
    </row>
    <row r="40" spans="1:29" ht="15">
      <c r="A40" s="471"/>
      <c r="B40" s="421" t="s">
        <v>2748</v>
      </c>
      <c r="C40" s="2611" t="s">
        <v>3095</v>
      </c>
      <c r="D40" s="434">
        <v>100</v>
      </c>
      <c r="E40" s="2611" t="s">
        <v>3095</v>
      </c>
      <c r="F40" s="434">
        <f>SUMIF(121:121,E40,122:122)-SUMIF(121:121,C40,122:122)+100</f>
        <v>100</v>
      </c>
      <c r="G40" s="2611" t="s">
        <v>3095</v>
      </c>
      <c r="H40" s="434">
        <f>SUMIF(121:121,G40,122:122)-SUMIF(121:121,C40,122:122)+100</f>
        <v>100</v>
      </c>
      <c r="I40" s="2611" t="s">
        <v>3095</v>
      </c>
      <c r="J40" s="434">
        <f>SUMIF(121:121,I40,122:122)-SUMIF(121:121,C40,122:122)+100</f>
        <v>100</v>
      </c>
      <c r="K40" s="611">
        <v>1</v>
      </c>
      <c r="L40" s="1135"/>
      <c r="M40" s="1126"/>
      <c r="N40" s="1126"/>
      <c r="O40" s="1134"/>
      <c r="P40" s="3266"/>
      <c r="Q40" s="1805" t="str">
        <f t="shared" si="14"/>
        <v>临街宽度及深度</v>
      </c>
      <c r="R40" s="773" t="s">
        <v>17</v>
      </c>
      <c r="S40" s="774">
        <f t="shared" si="10"/>
        <v>100</v>
      </c>
      <c r="T40" s="773" t="s">
        <v>17</v>
      </c>
      <c r="U40" s="774">
        <f t="shared" si="11"/>
        <v>100</v>
      </c>
      <c r="V40" s="773" t="s">
        <v>17</v>
      </c>
      <c r="W40" s="774">
        <f t="shared" si="12"/>
        <v>100</v>
      </c>
      <c r="X40" s="1808"/>
      <c r="Y40" s="3266"/>
      <c r="Z40" s="1809" t="str">
        <f t="shared" si="13"/>
        <v>临街宽度及深度</v>
      </c>
      <c r="AA40" s="1806">
        <f t="shared" si="3"/>
        <v>1</v>
      </c>
      <c r="AB40" s="1806">
        <f t="shared" si="4"/>
        <v>1</v>
      </c>
      <c r="AC40" s="1806">
        <f t="shared" si="5"/>
        <v>1</v>
      </c>
    </row>
    <row r="41" spans="1:29" s="116" customFormat="1" ht="15">
      <c r="A41" s="472"/>
      <c r="B41" s="421" t="s">
        <v>2749</v>
      </c>
      <c r="C41" s="2698" t="s">
        <v>3097</v>
      </c>
      <c r="D41" s="135">
        <v>100</v>
      </c>
      <c r="E41" s="2698" t="s">
        <v>3177</v>
      </c>
      <c r="F41" s="434">
        <f>SUMIF(123:123,E41,124:124)-SUMIF(123:123,C41,124:124)+100</f>
        <v>97</v>
      </c>
      <c r="G41" s="2698" t="s">
        <v>3177</v>
      </c>
      <c r="H41" s="434">
        <f>SUMIF(123:123,G41,124:124)-SUMIF(123:123,C41,124:124)+100</f>
        <v>97</v>
      </c>
      <c r="I41" s="2698" t="s">
        <v>3177</v>
      </c>
      <c r="J41" s="434">
        <f>SUMIF(123:123,I41,124:124)-SUMIF(123:123,C41,124:124)+100</f>
        <v>97</v>
      </c>
      <c r="K41" s="611">
        <v>1</v>
      </c>
      <c r="L41" s="1127"/>
      <c r="M41" s="1128"/>
      <c r="N41" s="1128"/>
      <c r="O41" s="1129"/>
      <c r="P41" s="3266"/>
      <c r="Q41" s="1805" t="str">
        <f t="shared" si="14"/>
        <v>宗地开发程度</v>
      </c>
      <c r="R41" s="769" t="s">
        <v>17</v>
      </c>
      <c r="S41" s="770">
        <f t="shared" si="10"/>
        <v>97</v>
      </c>
      <c r="T41" s="769" t="s">
        <v>17</v>
      </c>
      <c r="U41" s="770">
        <f t="shared" si="11"/>
        <v>97</v>
      </c>
      <c r="V41" s="769" t="s">
        <v>17</v>
      </c>
      <c r="W41" s="770">
        <f t="shared" si="12"/>
        <v>97</v>
      </c>
      <c r="X41" s="771"/>
      <c r="Y41" s="3266"/>
      <c r="Z41" s="55" t="str">
        <f t="shared" si="13"/>
        <v>宗地开发程度</v>
      </c>
      <c r="AA41" s="772">
        <f t="shared" si="3"/>
        <v>1.0309278350515463</v>
      </c>
      <c r="AB41" s="772">
        <f t="shared" si="4"/>
        <v>1.0309278350515463</v>
      </c>
      <c r="AC41" s="772">
        <f t="shared" si="5"/>
        <v>1.0309278350515463</v>
      </c>
    </row>
    <row r="42" spans="1:29" ht="15">
      <c r="A42" s="471"/>
      <c r="B42" s="421" t="s">
        <v>2750</v>
      </c>
      <c r="C42" s="2611" t="s">
        <v>3067</v>
      </c>
      <c r="D42" s="434">
        <v>100</v>
      </c>
      <c r="E42" s="2611" t="s">
        <v>3067</v>
      </c>
      <c r="F42" s="434">
        <f>SUMIF(125:125,E42,126:126)-SUMIF(125:125,C42,126:126)+100</f>
        <v>100</v>
      </c>
      <c r="G42" s="2611" t="s">
        <v>3067</v>
      </c>
      <c r="H42" s="434">
        <f>SUMIF(125:125,G42,126:126)-SUMIF(125:125,C42,126:126)+100</f>
        <v>100</v>
      </c>
      <c r="I42" s="2611" t="s">
        <v>3067</v>
      </c>
      <c r="J42" s="434">
        <f>SUMIF(125:125,I42,126:126)-SUMIF(125:125,C42,126:126)+100</f>
        <v>100</v>
      </c>
      <c r="K42" s="611">
        <v>1</v>
      </c>
      <c r="L42" s="1135"/>
      <c r="M42" s="1126"/>
      <c r="N42" s="1126"/>
      <c r="O42" s="1134"/>
      <c r="P42" s="3266" t="s">
        <v>2560</v>
      </c>
      <c r="Q42" s="1805" t="str">
        <f t="shared" si="14"/>
        <v>工程地质条件</v>
      </c>
      <c r="R42" s="773" t="s">
        <v>17</v>
      </c>
      <c r="S42" s="774">
        <f t="shared" si="10"/>
        <v>100</v>
      </c>
      <c r="T42" s="773" t="s">
        <v>17</v>
      </c>
      <c r="U42" s="774">
        <f t="shared" si="11"/>
        <v>100</v>
      </c>
      <c r="V42" s="773" t="s">
        <v>17</v>
      </c>
      <c r="W42" s="774">
        <f t="shared" si="12"/>
        <v>100</v>
      </c>
      <c r="X42" s="1808"/>
      <c r="Y42" s="3266" t="s">
        <v>2560</v>
      </c>
      <c r="Z42" s="1809" t="str">
        <f t="shared" si="13"/>
        <v>工程地质条件</v>
      </c>
      <c r="AA42" s="1806">
        <f t="shared" si="3"/>
        <v>1</v>
      </c>
      <c r="AB42" s="1806">
        <f t="shared" si="4"/>
        <v>1</v>
      </c>
      <c r="AC42" s="1806">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266"/>
      <c r="Q43" s="1805">
        <f t="shared" si="14"/>
        <v>111</v>
      </c>
      <c r="R43" s="773" t="s">
        <v>17</v>
      </c>
      <c r="S43" s="774">
        <f t="shared" si="10"/>
        <v>100</v>
      </c>
      <c r="T43" s="773" t="s">
        <v>17</v>
      </c>
      <c r="U43" s="774">
        <f t="shared" si="11"/>
        <v>100</v>
      </c>
      <c r="V43" s="773" t="s">
        <v>17</v>
      </c>
      <c r="W43" s="774">
        <f t="shared" si="12"/>
        <v>100</v>
      </c>
      <c r="X43" s="1808"/>
      <c r="Y43" s="3266"/>
      <c r="Z43" s="1809">
        <f t="shared" si="13"/>
        <v>111</v>
      </c>
      <c r="AA43" s="1806">
        <f t="shared" si="3"/>
        <v>1</v>
      </c>
      <c r="AB43" s="1806">
        <f t="shared" si="4"/>
        <v>1</v>
      </c>
      <c r="AC43" s="1806">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266"/>
      <c r="Q44" s="1805">
        <f t="shared" si="14"/>
        <v>111</v>
      </c>
      <c r="R44" s="773" t="s">
        <v>17</v>
      </c>
      <c r="S44" s="774">
        <f t="shared" si="10"/>
        <v>100</v>
      </c>
      <c r="T44" s="773" t="s">
        <v>17</v>
      </c>
      <c r="U44" s="774">
        <f t="shared" si="11"/>
        <v>100</v>
      </c>
      <c r="V44" s="773" t="s">
        <v>17</v>
      </c>
      <c r="W44" s="774">
        <f t="shared" si="12"/>
        <v>100</v>
      </c>
      <c r="X44" s="1808"/>
      <c r="Y44" s="3266"/>
      <c r="Z44" s="1809">
        <f t="shared" si="13"/>
        <v>111</v>
      </c>
      <c r="AA44" s="1806">
        <f t="shared" si="3"/>
        <v>1</v>
      </c>
      <c r="AB44" s="1806">
        <f t="shared" si="4"/>
        <v>1</v>
      </c>
      <c r="AC44" s="1806">
        <f t="shared" si="5"/>
        <v>1</v>
      </c>
    </row>
    <row r="45" spans="1:29" s="470" customFormat="1" ht="15.75" thickBot="1">
      <c r="A45" s="467"/>
      <c r="B45" s="1382">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266"/>
      <c r="Q45" s="1805">
        <f t="shared" si="14"/>
        <v>111</v>
      </c>
      <c r="R45" s="776" t="s">
        <v>17</v>
      </c>
      <c r="S45" s="777">
        <f t="shared" si="10"/>
        <v>100</v>
      </c>
      <c r="T45" s="776" t="s">
        <v>17</v>
      </c>
      <c r="U45" s="777">
        <f t="shared" si="11"/>
        <v>100</v>
      </c>
      <c r="V45" s="776" t="s">
        <v>17</v>
      </c>
      <c r="W45" s="777">
        <f t="shared" si="12"/>
        <v>100</v>
      </c>
      <c r="X45" s="778"/>
      <c r="Y45" s="3266"/>
      <c r="Z45" s="779">
        <f t="shared" si="13"/>
        <v>111</v>
      </c>
      <c r="AA45" s="1806">
        <f t="shared" si="3"/>
        <v>1</v>
      </c>
      <c r="AB45" s="1806">
        <f t="shared" si="4"/>
        <v>1</v>
      </c>
      <c r="AC45" s="1806">
        <f t="shared" si="5"/>
        <v>1</v>
      </c>
    </row>
    <row r="46" spans="1:29" ht="15">
      <c r="A46" s="478" t="s">
        <v>2715</v>
      </c>
      <c r="B46" s="2700" t="s">
        <v>3333</v>
      </c>
      <c r="C46" s="681" t="s">
        <v>1</v>
      </c>
      <c r="D46" s="480"/>
      <c r="E46" s="481">
        <v>3861</v>
      </c>
      <c r="F46" s="482"/>
      <c r="G46" s="483">
        <v>4018</v>
      </c>
      <c r="H46" s="484"/>
      <c r="I46" s="481">
        <v>3005</v>
      </c>
      <c r="J46" s="484"/>
      <c r="K46" s="782"/>
      <c r="L46" s="1138"/>
      <c r="M46" s="1139"/>
      <c r="N46" s="1126"/>
      <c r="O46" s="1139"/>
      <c r="P46" s="3248" t="str">
        <f>A46</f>
        <v>成交单价</v>
      </c>
      <c r="Q46" s="3248"/>
      <c r="R46" s="3261">
        <f>E46</f>
        <v>3861</v>
      </c>
      <c r="S46" s="3261"/>
      <c r="T46" s="3261">
        <f>G46</f>
        <v>4018</v>
      </c>
      <c r="U46" s="3261"/>
      <c r="V46" s="3261">
        <f>I46</f>
        <v>3005</v>
      </c>
      <c r="W46" s="3261"/>
      <c r="X46" s="758"/>
      <c r="Y46" s="780"/>
      <c r="Z46" s="758"/>
      <c r="AA46" s="758"/>
      <c r="AB46" s="758"/>
      <c r="AC46" s="758"/>
    </row>
    <row r="47" spans="1:29" ht="15.75" thickBot="1">
      <c r="A47" s="485" t="s">
        <v>2664</v>
      </c>
      <c r="B47" s="682"/>
      <c r="C47" s="489">
        <f>R48</f>
        <v>3309</v>
      </c>
      <c r="D47" s="488"/>
      <c r="E47" s="489">
        <f>R47</f>
        <v>3247</v>
      </c>
      <c r="F47" s="490"/>
      <c r="G47" s="487">
        <f>T47</f>
        <v>3446</v>
      </c>
      <c r="H47" s="488"/>
      <c r="I47" s="489">
        <f>V47</f>
        <v>3234</v>
      </c>
      <c r="J47" s="488"/>
      <c r="K47" s="783"/>
      <c r="L47" s="1138"/>
      <c r="M47" s="1139"/>
      <c r="N47" s="1139"/>
      <c r="O47" s="1139"/>
      <c r="P47" s="3248" t="str">
        <f>A47</f>
        <v>比较价值（元/平方米）</v>
      </c>
      <c r="Q47" s="3248"/>
      <c r="R47" s="3267">
        <f>ROUND(PRODUCT(R46,AA7:AA45),0)</f>
        <v>3247</v>
      </c>
      <c r="S47" s="3267"/>
      <c r="T47" s="3267">
        <f>ROUND(PRODUCT(T46,AB7:AB45),0)</f>
        <v>3446</v>
      </c>
      <c r="U47" s="3267"/>
      <c r="V47" s="3267">
        <f>ROUND(PRODUCT(V46,AC7:AC45),0)</f>
        <v>3234</v>
      </c>
      <c r="W47" s="3267"/>
      <c r="X47" s="758"/>
      <c r="Y47" s="758"/>
      <c r="Z47" s="758"/>
      <c r="AA47" s="758"/>
      <c r="AB47" s="758"/>
      <c r="AC47" s="758"/>
    </row>
    <row r="48" spans="1:29" ht="15.75" thickBot="1">
      <c r="A48" s="491" t="s">
        <v>2751</v>
      </c>
      <c r="B48" s="492"/>
      <c r="C48" s="493">
        <f>R48</f>
        <v>3309</v>
      </c>
      <c r="D48" s="493"/>
      <c r="E48" s="493"/>
      <c r="F48" s="493"/>
      <c r="G48" s="493"/>
      <c r="H48" s="493"/>
      <c r="I48" s="493"/>
      <c r="J48" s="493"/>
      <c r="K48" s="784"/>
      <c r="L48" s="1138"/>
      <c r="M48" s="1139"/>
      <c r="N48" s="1139"/>
      <c r="O48" s="1139"/>
      <c r="P48" s="3268" t="str">
        <f>A48</f>
        <v>估价对象XX用房的比较价值（楼面单价，元/平方米）</v>
      </c>
      <c r="Q48" s="3269"/>
      <c r="R48" s="3270">
        <f>ROUND(AVERAGE(R47:V47),0)</f>
        <v>3309</v>
      </c>
      <c r="S48" s="3270"/>
      <c r="T48" s="3270"/>
      <c r="U48" s="3270"/>
      <c r="V48" s="3270"/>
      <c r="W48" s="3270"/>
      <c r="X48" s="758"/>
      <c r="Y48" s="758"/>
      <c r="Z48" s="758"/>
      <c r="AA48" s="758"/>
      <c r="AB48" s="758"/>
      <c r="AC48" s="758"/>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2666</v>
      </c>
      <c r="D51" s="497"/>
      <c r="E51" s="498">
        <f>IF(E46&lt;E47,E47/E46-1,E46/E47-1)</f>
        <v>0.18909762858022794</v>
      </c>
      <c r="F51" s="499" t="str">
        <f>IF(OR(E51&gt;=0.3,E51&lt;=-0.3),"超过30%","")</f>
        <v/>
      </c>
      <c r="G51" s="498">
        <f>IF(G46&lt;G47,G47/G46-1,G46/G47-1)</f>
        <v>0.16598955310504926</v>
      </c>
      <c r="H51" s="499" t="str">
        <f>IF(OR(G51&gt;=0.3,G51&lt;=-0.3),"超过30%","")</f>
        <v/>
      </c>
      <c r="I51" s="498">
        <f>IF(I46&lt;I47,I47/I46-1,I46/I47-1)</f>
        <v>7.6206322795341119E-2</v>
      </c>
      <c r="J51" s="499" t="str">
        <f>IF(OR(I51&gt;=0.3,I51&lt;=-0.3),"超过30%","")</f>
        <v/>
      </c>
      <c r="K51" s="1100"/>
      <c r="L51" s="1101"/>
      <c r="M51" s="1139"/>
      <c r="N51" s="1139"/>
      <c r="O51" s="1139"/>
    </row>
    <row r="52" spans="1:15" ht="13.5" customHeight="1">
      <c r="A52" s="1139"/>
      <c r="B52" s="1139"/>
      <c r="C52" s="496" t="s">
        <v>2667</v>
      </c>
      <c r="D52" s="500"/>
      <c r="E52" s="498">
        <f>IF(E47&lt;G47,G47/E47-1,E47/G47-1)</f>
        <v>6.1287342161995717E-2</v>
      </c>
      <c r="F52" s="499" t="str">
        <f>IF(OR(E52&gt;=0.2,E52&lt;=-0.2),"超过20%","")</f>
        <v/>
      </c>
      <c r="G52" s="498">
        <f>IF(G47&lt;I47,I47/G47-1,G47/I47-1)</f>
        <v>6.5553494124922729E-2</v>
      </c>
      <c r="H52" s="499" t="str">
        <f>IF(OR(G52&gt;=0.2,G52&lt;=-0.2),"超过20%","")</f>
        <v/>
      </c>
      <c r="I52" s="498">
        <f>IF(I47&lt;E47,E47/I47-1,I47/E47-1)</f>
        <v>4.0197897340754629E-3</v>
      </c>
      <c r="J52" s="499" t="str">
        <f>IF(OR(I52&gt;=0.2,I52&lt;=-0.2),"超过20%","")</f>
        <v/>
      </c>
      <c r="K52" s="1100"/>
      <c r="L52" s="1101"/>
      <c r="M52" s="1139"/>
      <c r="N52" s="1139"/>
      <c r="O52" s="1139"/>
    </row>
    <row r="53" spans="1:15" s="501" customFormat="1" ht="13.5" customHeight="1">
      <c r="A53" s="1140"/>
      <c r="B53" s="1140"/>
      <c r="C53" s="496" t="s">
        <v>2668</v>
      </c>
      <c r="D53" s="500"/>
      <c r="E53" s="498">
        <f>IF(E46&lt;G46,G46/E46-1,E46/G46-1)</f>
        <v>4.0663040663040606E-2</v>
      </c>
      <c r="F53" s="499" t="str">
        <f>IF(OR(E53&gt;=0.3,E53&lt;=-0.3),"超过30%","")</f>
        <v/>
      </c>
      <c r="G53" s="498">
        <f>IF(G46&lt;I46,I46/G46-1,G46/I46-1)</f>
        <v>0.33710482529118146</v>
      </c>
      <c r="H53" s="499" t="str">
        <f>IF(OR(G53&gt;=0.3,G53&lt;=-0.3),"超过30%","")</f>
        <v>超过30%</v>
      </c>
      <c r="I53" s="498">
        <f>IF(I46&lt;E46,E46/I46-1,I46/E46-1)</f>
        <v>0.2848585690515808</v>
      </c>
      <c r="J53" s="499" t="str">
        <f>IF(OR(I53&gt;=0.3,I53&lt;=-0.3),"超过30%","")</f>
        <v/>
      </c>
      <c r="K53" s="1143"/>
      <c r="L53" s="1144"/>
      <c r="M53" s="1140"/>
      <c r="N53" s="1140"/>
      <c r="O53" s="1140"/>
    </row>
    <row r="54" spans="1:15" s="501" customFormat="1" ht="15" thickBot="1">
      <c r="A54" s="1140"/>
      <c r="B54" s="1141"/>
      <c r="C54" s="761"/>
      <c r="D54" s="759"/>
      <c r="E54" s="759"/>
      <c r="F54" s="759"/>
      <c r="G54" s="759"/>
      <c r="H54" s="759"/>
      <c r="I54" s="759"/>
      <c r="J54" s="759"/>
      <c r="K54" s="1143"/>
      <c r="L54" s="1144"/>
      <c r="M54" s="1140"/>
      <c r="N54" s="1140"/>
      <c r="O54" s="1140"/>
    </row>
    <row r="55" spans="1:15" ht="27" customHeight="1">
      <c r="A55" s="683" t="s">
        <v>2752</v>
      </c>
      <c r="B55" s="684" t="s">
        <v>2753</v>
      </c>
      <c r="C55" s="2701" t="s">
        <v>2754</v>
      </c>
      <c r="D55" s="2702" t="s">
        <v>2755</v>
      </c>
      <c r="E55" s="685" t="s">
        <v>2756</v>
      </c>
      <c r="F55" s="1102" t="s">
        <v>2757</v>
      </c>
      <c r="G55" s="3249" t="s">
        <v>2758</v>
      </c>
      <c r="H55" s="3271"/>
      <c r="I55" s="143" t="s">
        <v>2759</v>
      </c>
      <c r="J55" s="2703">
        <f>项目基本情况!F35</f>
        <v>0</v>
      </c>
      <c r="K55" s="2704" t="s">
        <v>2760</v>
      </c>
      <c r="L55" s="1101"/>
      <c r="M55" s="1139"/>
      <c r="N55" s="1139"/>
      <c r="O55" s="1139"/>
    </row>
    <row r="56" spans="1:15" s="691" customFormat="1">
      <c r="A56" s="687" t="s">
        <v>2761</v>
      </c>
      <c r="B56" s="688">
        <f>C48</f>
        <v>3309</v>
      </c>
      <c r="C56" s="689">
        <v>1</v>
      </c>
      <c r="D56" s="1158">
        <v>1</v>
      </c>
      <c r="E56" s="689">
        <f>'数据-汇总表'!E8+'数据-汇总表'!E9</f>
        <v>71473.9099999998</v>
      </c>
      <c r="F56" s="1098">
        <f t="shared" ref="F56:F65" si="15">ROUND(B56*E56/10000,0)</f>
        <v>23651</v>
      </c>
      <c r="G56" s="3272"/>
      <c r="H56" s="3248"/>
      <c r="I56" s="1103">
        <v>1</v>
      </c>
      <c r="J56" s="1106">
        <v>1</v>
      </c>
      <c r="K56" s="1140"/>
      <c r="L56" s="936"/>
      <c r="M56" s="936"/>
      <c r="N56" s="936"/>
      <c r="O56" s="936"/>
    </row>
    <row r="57" spans="1:15" s="691" customFormat="1">
      <c r="A57" s="692" t="s">
        <v>2762</v>
      </c>
      <c r="B57" s="261">
        <f>ROUND($C$48*C57*D57,0)</f>
        <v>0</v>
      </c>
      <c r="C57" s="199">
        <f t="shared" ref="C57:C65" si="16">IF($C$55="北京市系数",I57,J57)</f>
        <v>0</v>
      </c>
      <c r="D57" s="1159">
        <v>0.25</v>
      </c>
      <c r="E57" s="693"/>
      <c r="F57" s="1098">
        <f t="shared" si="15"/>
        <v>0</v>
      </c>
      <c r="G57" s="3273" t="s">
        <v>2763</v>
      </c>
      <c r="H57" s="1099">
        <f>项目基本情况!B37</f>
        <v>0</v>
      </c>
      <c r="I57" s="1103">
        <f>SUMIF(修正!A45:A56,H57,修正!B45:B56)</f>
        <v>0</v>
      </c>
      <c r="J57" s="1107"/>
      <c r="K57" s="1139"/>
      <c r="L57" s="936"/>
      <c r="M57" s="936"/>
      <c r="N57" s="936"/>
      <c r="O57" s="936"/>
    </row>
    <row r="58" spans="1:15" s="691" customFormat="1">
      <c r="A58" s="692" t="s">
        <v>2764</v>
      </c>
      <c r="B58" s="261">
        <f t="shared" ref="B58:B65" si="17">ROUND($C$48*C58*D58,0)</f>
        <v>0</v>
      </c>
      <c r="C58" s="199">
        <f t="shared" si="16"/>
        <v>0</v>
      </c>
      <c r="D58" s="1159">
        <v>0.25</v>
      </c>
      <c r="E58" s="693"/>
      <c r="F58" s="1098">
        <f t="shared" si="15"/>
        <v>0</v>
      </c>
      <c r="G58" s="3273"/>
      <c r="H58" s="1099">
        <f>项目基本情况!B37</f>
        <v>0</v>
      </c>
      <c r="I58" s="1103">
        <f>SUMIF(修正!A45:A56,H58,修正!C45:C56)</f>
        <v>0</v>
      </c>
      <c r="J58" s="1107"/>
      <c r="K58" s="1140"/>
      <c r="L58" s="936"/>
      <c r="M58" s="936"/>
      <c r="N58" s="936"/>
      <c r="O58" s="936"/>
    </row>
    <row r="59" spans="1:15" s="691" customFormat="1">
      <c r="A59" s="692" t="s">
        <v>2765</v>
      </c>
      <c r="B59" s="261">
        <f t="shared" si="17"/>
        <v>0</v>
      </c>
      <c r="C59" s="199">
        <f t="shared" si="16"/>
        <v>0</v>
      </c>
      <c r="D59" s="1159">
        <v>0.25</v>
      </c>
      <c r="E59" s="693"/>
      <c r="F59" s="1098">
        <f t="shared" si="15"/>
        <v>0</v>
      </c>
      <c r="G59" s="3273"/>
      <c r="H59" s="1099">
        <f>项目基本情况!B37</f>
        <v>0</v>
      </c>
      <c r="I59" s="1103">
        <f>SUMIF(修正!A45:A56,H59,修正!D45:D56)</f>
        <v>0</v>
      </c>
      <c r="J59" s="1107"/>
      <c r="K59" s="1139"/>
      <c r="L59" s="936"/>
      <c r="M59" s="936"/>
      <c r="N59" s="936"/>
      <c r="O59" s="936"/>
    </row>
    <row r="60" spans="1:15" s="691" customFormat="1">
      <c r="A60" s="692" t="s">
        <v>2766</v>
      </c>
      <c r="B60" s="261">
        <f t="shared" si="17"/>
        <v>0</v>
      </c>
      <c r="C60" s="199">
        <f t="shared" si="16"/>
        <v>0</v>
      </c>
      <c r="D60" s="1159">
        <v>0.25</v>
      </c>
      <c r="E60" s="693"/>
      <c r="F60" s="1098">
        <f t="shared" si="15"/>
        <v>0</v>
      </c>
      <c r="G60" s="3273"/>
      <c r="H60" s="1099">
        <f>项目基本情况!B37</f>
        <v>0</v>
      </c>
      <c r="I60" s="1103">
        <f>SUMIF(修正!A45:A56,H60,修正!E45:E56)</f>
        <v>0</v>
      </c>
      <c r="J60" s="1107"/>
      <c r="K60" s="1140"/>
      <c r="L60" s="936"/>
      <c r="M60" s="936"/>
      <c r="N60" s="936"/>
      <c r="O60" s="936"/>
    </row>
    <row r="61" spans="1:15" s="691" customFormat="1">
      <c r="A61" s="692" t="s">
        <v>2767</v>
      </c>
      <c r="B61" s="261">
        <f t="shared" si="17"/>
        <v>0</v>
      </c>
      <c r="C61" s="199">
        <f t="shared" si="16"/>
        <v>0</v>
      </c>
      <c r="D61" s="1159">
        <v>0.25</v>
      </c>
      <c r="E61" s="260">
        <f>'数据-汇总表'!E11</f>
        <v>0</v>
      </c>
      <c r="F61" s="1098">
        <f t="shared" si="15"/>
        <v>0</v>
      </c>
      <c r="G61" s="2705" t="s">
        <v>2768</v>
      </c>
      <c r="H61" s="1099">
        <f>项目基本情况!C37</f>
        <v>0</v>
      </c>
      <c r="I61" s="1103">
        <f>SUMIF(修正!A45:A56,H61,修正!F45:F56)</f>
        <v>0</v>
      </c>
      <c r="J61" s="1107"/>
      <c r="K61" s="1139"/>
      <c r="L61" s="936"/>
      <c r="M61" s="936"/>
      <c r="N61" s="936"/>
      <c r="O61" s="936"/>
    </row>
    <row r="62" spans="1:15" s="691" customFormat="1">
      <c r="A62" s="692" t="s">
        <v>2769</v>
      </c>
      <c r="B62" s="261">
        <f t="shared" si="17"/>
        <v>0</v>
      </c>
      <c r="C62" s="199">
        <f t="shared" si="16"/>
        <v>0</v>
      </c>
      <c r="D62" s="1159">
        <v>0.25</v>
      </c>
      <c r="E62" s="260">
        <f>'数据-汇总表'!E12</f>
        <v>0</v>
      </c>
      <c r="F62" s="1098">
        <f t="shared" si="15"/>
        <v>0</v>
      </c>
      <c r="G62" s="1104" t="s">
        <v>2770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2771</v>
      </c>
      <c r="B63" s="261">
        <f t="shared" si="17"/>
        <v>0</v>
      </c>
      <c r="C63" s="199">
        <f t="shared" si="16"/>
        <v>0</v>
      </c>
      <c r="D63" s="1159">
        <v>0.25</v>
      </c>
      <c r="E63" s="260">
        <f>'数据-汇总表'!E13</f>
        <v>0</v>
      </c>
      <c r="F63" s="1098">
        <f t="shared" si="15"/>
        <v>0</v>
      </c>
      <c r="G63" s="1104" t="s">
        <v>2772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1" customFormat="1">
      <c r="A64" s="692" t="s">
        <v>2773</v>
      </c>
      <c r="B64" s="261">
        <f t="shared" si="17"/>
        <v>0</v>
      </c>
      <c r="C64" s="199">
        <f t="shared" si="16"/>
        <v>0</v>
      </c>
      <c r="D64" s="1159">
        <v>0.25</v>
      </c>
      <c r="E64" s="260">
        <f>'数据-汇总表'!E14</f>
        <v>0</v>
      </c>
      <c r="F64" s="1098">
        <f t="shared" si="15"/>
        <v>0</v>
      </c>
      <c r="G64" s="2705" t="s">
        <v>2763</v>
      </c>
      <c r="H64" s="1099">
        <f>项目基本情况!B37</f>
        <v>0</v>
      </c>
      <c r="I64" s="1103">
        <f>SUMIF(修正!A45:A56,H64,修正!H45:H56)</f>
        <v>0</v>
      </c>
      <c r="J64" s="1107"/>
      <c r="K64" s="1140"/>
      <c r="L64" s="936"/>
      <c r="M64" s="936"/>
      <c r="N64" s="936"/>
      <c r="O64" s="936"/>
    </row>
    <row r="65" spans="1:17" s="691" customFormat="1" ht="15" thickBot="1">
      <c r="A65" s="692" t="s">
        <v>2774</v>
      </c>
      <c r="B65" s="261">
        <f t="shared" si="17"/>
        <v>0</v>
      </c>
      <c r="C65" s="199">
        <f t="shared" si="16"/>
        <v>0</v>
      </c>
      <c r="D65" s="1159">
        <v>0.25</v>
      </c>
      <c r="E65" s="260">
        <f>'数据-汇总表'!E15</f>
        <v>0</v>
      </c>
      <c r="F65" s="1098">
        <f t="shared" si="15"/>
        <v>0</v>
      </c>
      <c r="G65" s="2706" t="s">
        <v>2768</v>
      </c>
      <c r="H65" s="1109">
        <f>项目基本情况!C37</f>
        <v>0</v>
      </c>
      <c r="I65" s="1105">
        <f>SUMIF(修正!A45:A56,H65,修正!H45:H56)</f>
        <v>0</v>
      </c>
      <c r="J65" s="1108"/>
      <c r="K65" s="1139"/>
      <c r="L65" s="936"/>
      <c r="M65" s="936"/>
      <c r="N65" s="936"/>
      <c r="O65" s="936"/>
    </row>
    <row r="66" spans="1:17" s="691" customFormat="1" ht="13.5" thickBot="1">
      <c r="A66" s="694" t="s">
        <v>2775</v>
      </c>
      <c r="B66" s="695" t="s">
        <v>28</v>
      </c>
      <c r="C66" s="695" t="s">
        <v>29</v>
      </c>
      <c r="D66" s="695" t="s">
        <v>1026</v>
      </c>
      <c r="E66" s="695">
        <f>IF(B46="楼面地价",SUM(E56:E65),'数据-汇总表'!D3)</f>
        <v>71473.9099999998</v>
      </c>
      <c r="F66" s="696">
        <f>IF(B46="楼面地价",SUM(F56:F65),ROUND(C48*E66/10000,0))</f>
        <v>23651</v>
      </c>
      <c r="G66" s="786"/>
      <c r="H66" s="786"/>
      <c r="I66" s="786"/>
      <c r="J66" s="786"/>
      <c r="K66" s="1153"/>
      <c r="L66" s="936"/>
      <c r="M66" s="936"/>
      <c r="N66" s="936"/>
      <c r="O66" s="936"/>
    </row>
    <row r="67" spans="1:17">
      <c r="A67" s="758"/>
      <c r="B67" s="760"/>
      <c r="C67" s="761"/>
      <c r="D67" s="758"/>
      <c r="E67" s="758"/>
      <c r="F67" s="758"/>
      <c r="G67" s="758"/>
      <c r="H67" s="758"/>
      <c r="I67" s="758"/>
      <c r="J67" s="1139"/>
      <c r="K67" s="1100"/>
      <c r="L67" s="1101"/>
      <c r="M67" s="1139"/>
      <c r="N67" s="1139"/>
      <c r="O67" s="1139"/>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2669</v>
      </c>
      <c r="B69" s="758"/>
      <c r="C69" s="763"/>
      <c r="D69" s="763"/>
      <c r="E69" s="763"/>
      <c r="F69" s="764"/>
      <c r="G69" s="764"/>
      <c r="H69" s="763"/>
      <c r="I69" s="763"/>
      <c r="J69" s="1154"/>
      <c r="K69" s="1155"/>
      <c r="L69" s="1156"/>
      <c r="M69" s="1154"/>
      <c r="N69" s="1154"/>
      <c r="O69" s="1154"/>
      <c r="P69" s="502"/>
      <c r="Q69" s="503"/>
    </row>
    <row r="70" spans="1:17" s="507" customFormat="1" ht="15">
      <c r="A70" s="2707" t="s">
        <v>2776</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6"/>
    </row>
    <row r="71" spans="1:17" s="116" customFormat="1" ht="30" customHeight="1">
      <c r="A71" s="2708" t="s">
        <v>2777</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1563"/>
      <c r="P71" s="503"/>
    </row>
    <row r="72" spans="1:17" s="116" customFormat="1" ht="15.75" thickBot="1">
      <c r="A72" s="514" t="s">
        <v>2580</v>
      </c>
      <c r="B72" s="515"/>
      <c r="C72" s="516"/>
      <c r="D72" s="517">
        <v>1.64</v>
      </c>
      <c r="E72" s="517">
        <v>2.17</v>
      </c>
      <c r="F72" s="517">
        <v>2.42</v>
      </c>
      <c r="G72" s="517"/>
      <c r="H72" s="517"/>
      <c r="I72" s="517"/>
      <c r="J72" s="517"/>
      <c r="K72" s="517"/>
      <c r="L72" s="517"/>
      <c r="M72" s="518"/>
      <c r="N72" s="517"/>
      <c r="O72" s="1157"/>
      <c r="P72" s="503"/>
      <c r="Q72" s="503"/>
    </row>
    <row r="73" spans="1:17" s="116" customFormat="1" ht="15">
      <c r="A73" s="520" t="s">
        <v>2545</v>
      </c>
      <c r="B73" s="509"/>
      <c r="C73" s="521" t="s">
        <v>2647</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2583</v>
      </c>
      <c r="B75" s="527" t="s">
        <v>2549</v>
      </c>
      <c r="C75" s="2956" t="s">
        <v>3093</v>
      </c>
      <c r="D75" s="529"/>
      <c r="E75" s="529"/>
      <c r="F75" s="529"/>
      <c r="G75" s="529"/>
      <c r="H75" s="529"/>
      <c r="I75" s="529"/>
      <c r="J75" s="529"/>
      <c r="K75" s="530"/>
      <c r="L75" s="531"/>
      <c r="M75" s="532"/>
      <c r="N75" s="1147"/>
      <c r="O75" s="1147"/>
      <c r="P75" s="45"/>
      <c r="Q75" s="503"/>
    </row>
    <row r="76" spans="1:17" ht="15.75" thickBot="1">
      <c r="A76" s="533"/>
      <c r="B76" s="534"/>
      <c r="C76" s="535">
        <v>100</v>
      </c>
      <c r="D76" s="535"/>
      <c r="E76" s="535"/>
      <c r="F76" s="535"/>
      <c r="G76" s="535"/>
      <c r="H76" s="535"/>
      <c r="I76" s="535"/>
      <c r="J76" s="535"/>
      <c r="K76" s="535"/>
      <c r="L76" s="535"/>
      <c r="M76" s="536"/>
      <c r="N76" s="1148"/>
      <c r="O76" s="1148"/>
      <c r="P76" s="45"/>
      <c r="Q76" s="503"/>
    </row>
    <row r="77" spans="1:17" ht="27.75" thickTop="1">
      <c r="A77" s="533"/>
      <c r="B77" s="537" t="s">
        <v>2552</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2553</v>
      </c>
      <c r="C79" s="546" t="str">
        <f>C80&amp;"（含）"&amp;"-"&amp;D80</f>
        <v>1（含）-2</v>
      </c>
      <c r="D79" s="546" t="str">
        <f t="shared" ref="D79:L79" si="20">D80&amp;"（含）"&amp;"-"&amp;E80</f>
        <v>2（含）-3</v>
      </c>
      <c r="E79" s="546" t="str">
        <f t="shared" si="20"/>
        <v>3（含）-4</v>
      </c>
      <c r="F79" s="546" t="str">
        <f t="shared" si="20"/>
        <v>4（含）-5</v>
      </c>
      <c r="G79" s="546" t="str">
        <f t="shared" si="20"/>
        <v>5（含）-6</v>
      </c>
      <c r="H79" s="546" t="str">
        <f t="shared" si="20"/>
        <v>6（含）-7</v>
      </c>
      <c r="I79" s="546" t="str">
        <f t="shared" si="20"/>
        <v>7（含）-8</v>
      </c>
      <c r="J79" s="546" t="str">
        <f t="shared" si="20"/>
        <v>8（含）-9</v>
      </c>
      <c r="K79" s="546" t="str">
        <f t="shared" si="20"/>
        <v>9（含）-10</v>
      </c>
      <c r="L79" s="546" t="str">
        <f t="shared" si="20"/>
        <v>10（含）-11</v>
      </c>
      <c r="M79" s="447" t="str">
        <f>M80&amp;"（含）"&amp;"-"&amp;P80</f>
        <v>11（含）-</v>
      </c>
      <c r="N79" s="1148"/>
      <c r="O79" s="1148"/>
      <c r="P79" s="45"/>
      <c r="Q79" s="503"/>
    </row>
    <row r="80" spans="1:17" ht="15">
      <c r="A80" s="533"/>
      <c r="B80" s="547"/>
      <c r="C80" s="548">
        <v>1</v>
      </c>
      <c r="D80" s="548">
        <v>2</v>
      </c>
      <c r="E80" s="548">
        <v>3</v>
      </c>
      <c r="F80" s="548">
        <v>4</v>
      </c>
      <c r="G80" s="548">
        <v>5</v>
      </c>
      <c r="H80" s="548">
        <v>6</v>
      </c>
      <c r="I80" s="548">
        <v>7</v>
      </c>
      <c r="J80" s="548">
        <v>8</v>
      </c>
      <c r="K80" s="548">
        <v>9</v>
      </c>
      <c r="L80" s="548">
        <v>10</v>
      </c>
      <c r="M80" s="548">
        <v>11</v>
      </c>
      <c r="N80" s="548">
        <v>12</v>
      </c>
      <c r="O80" s="1147"/>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7"/>
      <c r="O88" s="1147"/>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8"/>
      <c r="O89" s="1148"/>
      <c r="P89" s="45"/>
      <c r="Q89" s="503"/>
    </row>
    <row r="90" spans="1:17" ht="15.75" thickTop="1">
      <c r="A90" s="533"/>
      <c r="B90" s="537" t="s">
        <v>2778</v>
      </c>
      <c r="C90" s="577" t="s">
        <v>2592</v>
      </c>
      <c r="D90" s="577" t="s">
        <v>2593</v>
      </c>
      <c r="E90" s="577" t="s">
        <v>2594</v>
      </c>
      <c r="F90" s="577" t="s">
        <v>2595</v>
      </c>
      <c r="G90" s="577" t="s">
        <v>2596</v>
      </c>
      <c r="H90" s="538"/>
      <c r="I90" s="538"/>
      <c r="J90" s="538"/>
      <c r="K90" s="539"/>
      <c r="L90" s="540"/>
      <c r="M90" s="541"/>
      <c r="N90" s="1147"/>
      <c r="O90" s="1147"/>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48"/>
      <c r="O91" s="1148"/>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7"/>
      <c r="O94" s="1147"/>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48"/>
      <c r="O95" s="1148"/>
      <c r="P95" s="45"/>
      <c r="Q95" s="503"/>
    </row>
    <row r="96" spans="1:17" s="116" customFormat="1" ht="15.75" thickTop="1">
      <c r="A96" s="578"/>
      <c r="B96" s="537" t="s">
        <v>2779</v>
      </c>
      <c r="C96" s="577" t="s">
        <v>2592</v>
      </c>
      <c r="D96" s="577" t="s">
        <v>2593</v>
      </c>
      <c r="E96" s="577" t="s">
        <v>2594</v>
      </c>
      <c r="F96" s="577" t="s">
        <v>2595</v>
      </c>
      <c r="G96" s="577" t="s">
        <v>2596</v>
      </c>
      <c r="H96" s="577"/>
      <c r="I96" s="577"/>
      <c r="J96" s="577"/>
      <c r="K96" s="577"/>
      <c r="L96" s="697"/>
      <c r="M96" s="621"/>
      <c r="N96" s="1146"/>
      <c r="O96" s="1146"/>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48"/>
      <c r="O97" s="1148"/>
      <c r="P97" s="45"/>
      <c r="Q97" s="503"/>
    </row>
    <row r="98" spans="1:17" s="116" customFormat="1" ht="27.75" thickTop="1">
      <c r="A98" s="578"/>
      <c r="B98" s="537" t="s">
        <v>2780</v>
      </c>
      <c r="C98" s="572" t="s">
        <v>2592</v>
      </c>
      <c r="D98" s="572" t="s">
        <v>2593</v>
      </c>
      <c r="E98" s="572" t="s">
        <v>2594</v>
      </c>
      <c r="F98" s="572" t="s">
        <v>2595</v>
      </c>
      <c r="G98" s="572" t="s">
        <v>2596</v>
      </c>
      <c r="H98" s="577"/>
      <c r="I98" s="577"/>
      <c r="J98" s="577"/>
      <c r="K98" s="577"/>
      <c r="L98" s="577"/>
      <c r="M98" s="621"/>
      <c r="N98" s="1146"/>
      <c r="O98" s="1146"/>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48"/>
      <c r="O99" s="1148"/>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49"/>
      <c r="O100" s="1149"/>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49"/>
      <c r="O101" s="1149"/>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0"/>
      <c r="N102" s="1149"/>
      <c r="O102" s="1149"/>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0"/>
      <c r="N103" s="1149"/>
      <c r="O103" s="1149"/>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2686</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2745</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ht="28.5">
      <c r="A116" s="526" t="s">
        <v>2558</v>
      </c>
      <c r="B116" s="527" t="s">
        <v>2785</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v>0</v>
      </c>
      <c r="D117" s="594">
        <v>50000</v>
      </c>
      <c r="E117" s="594">
        <v>100000</v>
      </c>
      <c r="F117" s="594">
        <v>150000</v>
      </c>
      <c r="G117" s="594">
        <v>200000</v>
      </c>
      <c r="H117" s="594">
        <v>250000</v>
      </c>
      <c r="I117" s="594"/>
      <c r="J117" s="595"/>
      <c r="K117" s="595"/>
      <c r="L117" s="596"/>
      <c r="M117" s="597"/>
      <c r="N117" s="1147"/>
      <c r="O117" s="1147"/>
      <c r="P117" s="45"/>
      <c r="Q117" s="503"/>
    </row>
    <row r="118" spans="1:17" ht="15.75" thickBot="1">
      <c r="A118" s="533"/>
      <c r="B118" s="542"/>
      <c r="C118" s="569">
        <v>100</v>
      </c>
      <c r="D118" s="590">
        <v>98</v>
      </c>
      <c r="E118" s="569">
        <v>96</v>
      </c>
      <c r="F118" s="569">
        <v>94</v>
      </c>
      <c r="G118" s="590">
        <v>92</v>
      </c>
      <c r="H118" s="569">
        <v>90</v>
      </c>
      <c r="I118" s="569">
        <v>88</v>
      </c>
      <c r="J118" s="590"/>
      <c r="K118" s="590"/>
      <c r="L118" s="590"/>
      <c r="M118" s="591"/>
      <c r="N118" s="1148"/>
      <c r="O118" s="1148"/>
      <c r="P118" s="45"/>
      <c r="Q118" s="503"/>
    </row>
    <row r="119" spans="1:17" ht="15" thickTop="1">
      <c r="A119" s="598"/>
      <c r="B119" s="537" t="s">
        <v>2786</v>
      </c>
      <c r="C119" s="2958" t="s">
        <v>3094</v>
      </c>
      <c r="D119" s="2958" t="s">
        <v>3253</v>
      </c>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48"/>
      <c r="O120" s="1148"/>
      <c r="P120" s="45"/>
      <c r="Q120" s="503"/>
    </row>
    <row r="121" spans="1:17" ht="15" thickTop="1">
      <c r="A121" s="598"/>
      <c r="B121" s="537" t="s">
        <v>2787</v>
      </c>
      <c r="C121" s="2957" t="s">
        <v>3096</v>
      </c>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48"/>
      <c r="O122" s="1148"/>
      <c r="P122" s="45"/>
      <c r="Q122" s="503"/>
    </row>
    <row r="123" spans="1:17" s="470" customFormat="1" ht="15" thickTop="1">
      <c r="A123" s="592"/>
      <c r="B123" s="537" t="s">
        <v>2788</v>
      </c>
      <c r="C123" s="2957" t="s">
        <v>3098</v>
      </c>
      <c r="D123" s="553"/>
      <c r="E123" s="553"/>
      <c r="F123" s="2957" t="s">
        <v>3178</v>
      </c>
      <c r="G123" s="2957"/>
      <c r="H123" s="582"/>
      <c r="I123" s="582"/>
      <c r="J123" s="582"/>
      <c r="K123" s="583"/>
      <c r="L123" s="584"/>
      <c r="M123" s="585"/>
      <c r="N123" s="1149"/>
      <c r="O123" s="1149"/>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49"/>
      <c r="O124" s="1149"/>
      <c r="P124" s="557"/>
      <c r="Q124" s="558"/>
    </row>
    <row r="125" spans="1:17" ht="15" thickTop="1">
      <c r="A125" s="598"/>
      <c r="B125" s="537" t="s">
        <v>2789</v>
      </c>
      <c r="C125" s="2957" t="s">
        <v>3099</v>
      </c>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zoomScaleNormal="100" workbookViewId="0">
      <selection activeCell="N53" sqref="N53"/>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7" customWidth="1"/>
    <col min="2" max="2" width="25.75" style="947" customWidth="1"/>
    <col min="3" max="3" width="10.375" style="990" customWidth="1"/>
    <col min="4" max="4" width="9.875" style="947" customWidth="1"/>
    <col min="5" max="5" width="9.5" style="797"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2457</v>
      </c>
      <c r="B1" s="1576"/>
      <c r="C1" s="1577"/>
      <c r="D1" s="1575"/>
      <c r="E1" s="319"/>
      <c r="F1" s="319"/>
      <c r="G1" s="1576"/>
      <c r="H1" s="319"/>
      <c r="I1" s="319"/>
      <c r="J1" s="319"/>
      <c r="K1" s="319">
        <f>MATCH(C1,'数据-取费表'!A6:A16,0)+5</f>
        <v>9</v>
      </c>
    </row>
    <row r="2" spans="1:33" ht="18" customHeight="1">
      <c r="A2" s="244" t="s">
        <v>2325</v>
      </c>
      <c r="B2" s="247">
        <f ca="1">C32</f>
        <v>65958</v>
      </c>
      <c r="C2" s="319" t="s">
        <v>2458</v>
      </c>
      <c r="D2" s="319"/>
      <c r="E2" s="319"/>
      <c r="F2" s="319"/>
      <c r="G2" s="319"/>
      <c r="H2" s="319"/>
      <c r="I2" s="319"/>
      <c r="J2" s="319"/>
      <c r="K2" s="319"/>
    </row>
    <row r="3" spans="1:33" ht="18" customHeight="1" thickBot="1">
      <c r="A3" s="246" t="s">
        <v>2327</v>
      </c>
      <c r="B3" s="247">
        <f ca="1">ROUND(B2*10000/IF(C1="",'数据-汇总表'!E3,INDIRECT("'数据-取费表'!K"&amp;$K$1)),0)</f>
        <v>9228</v>
      </c>
      <c r="C3" s="319" t="s">
        <v>2459</v>
      </c>
      <c r="D3" s="319"/>
      <c r="E3" s="319"/>
      <c r="F3" s="319"/>
      <c r="G3" s="319"/>
      <c r="H3" s="319"/>
      <c r="I3" s="319"/>
      <c r="J3" s="319"/>
      <c r="K3" s="319"/>
    </row>
    <row r="4" spans="1:33" s="951" customFormat="1" ht="16.5" customHeight="1">
      <c r="A4" s="948" t="s">
        <v>2460</v>
      </c>
      <c r="B4" s="949"/>
      <c r="C4" s="991">
        <f ca="1">SUM(C8:K8)</f>
        <v>98854</v>
      </c>
      <c r="D4" s="949"/>
      <c r="E4" s="949"/>
      <c r="F4" s="949"/>
      <c r="G4" s="949"/>
      <c r="H4" s="949"/>
      <c r="I4" s="949"/>
      <c r="J4" s="949"/>
      <c r="K4" s="950"/>
    </row>
    <row r="5" spans="1:33" s="955" customFormat="1" ht="15">
      <c r="A5" s="952" t="s">
        <v>2461</v>
      </c>
      <c r="B5" s="953" t="s">
        <v>2462</v>
      </c>
      <c r="C5" s="2553" t="s">
        <v>3061</v>
      </c>
      <c r="D5" s="2553" t="s">
        <v>3090</v>
      </c>
      <c r="E5" s="2553" t="s">
        <v>3105</v>
      </c>
      <c r="F5" s="2553"/>
      <c r="G5" s="2553"/>
      <c r="H5" s="2553"/>
      <c r="I5" s="2553"/>
      <c r="J5" s="2553"/>
      <c r="K5" s="2553"/>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2463</v>
      </c>
      <c r="C6" s="957">
        <f>'比较法-住宅'!B3</f>
        <v>14127</v>
      </c>
      <c r="D6" s="957">
        <f ca="1">收益法!B3</f>
        <v>12215</v>
      </c>
      <c r="E6" s="957">
        <f ca="1">收益法会所!B3</f>
        <v>9177</v>
      </c>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2464</v>
      </c>
      <c r="B7" s="139" t="s">
        <v>2465</v>
      </c>
      <c r="C7" s="320">
        <f>SUMIF('数据-汇总表'!$C19:$C33,假设开发法!C5,'数据-汇总表'!$E19:$E33)</f>
        <v>63909.9099999998</v>
      </c>
      <c r="D7" s="320">
        <f>SUMIF('数据-汇总表'!$C19:$C33,假设开发法!D5,'数据-汇总表'!$E19:$E33)</f>
        <v>5353.1299999999992</v>
      </c>
      <c r="E7" s="320">
        <f>SUMIF('数据-汇总表'!$C19:$C33,假设开发法!E5,'数据-汇总表'!$E19:$E33)</f>
        <v>2210.87</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4" t="s">
        <v>2466</v>
      </c>
      <c r="B8" s="176" t="s">
        <v>2467</v>
      </c>
      <c r="C8" s="992">
        <f>'比较法-住宅'!B2</f>
        <v>90286</v>
      </c>
      <c r="D8" s="992">
        <f ca="1">收益法!B2</f>
        <v>6539</v>
      </c>
      <c r="E8" s="992">
        <f ca="1">收益法会所!B2</f>
        <v>2029</v>
      </c>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2468</v>
      </c>
      <c r="B9" s="949"/>
      <c r="C9" s="949"/>
      <c r="D9" s="949"/>
      <c r="E9" s="949"/>
      <c r="F9" s="949"/>
      <c r="G9" s="949"/>
      <c r="H9" s="949"/>
      <c r="I9" s="949"/>
      <c r="J9" s="949"/>
      <c r="K9" s="950"/>
    </row>
    <row r="10" spans="1:33" s="965" customFormat="1" ht="13.5" customHeight="1">
      <c r="A10" s="952" t="s">
        <v>2469</v>
      </c>
      <c r="B10" s="8" t="s">
        <v>2470</v>
      </c>
      <c r="C10" s="961" t="s">
        <v>2471</v>
      </c>
      <c r="D10" s="962" t="s">
        <v>2472</v>
      </c>
      <c r="E10" s="962" t="s">
        <v>2473</v>
      </c>
      <c r="F10" s="962" t="s">
        <v>2474</v>
      </c>
      <c r="G10" s="8"/>
      <c r="H10" s="963"/>
      <c r="I10" s="963"/>
      <c r="J10" s="963"/>
      <c r="K10" s="964"/>
    </row>
    <row r="11" spans="1:33" s="970" customFormat="1" ht="13.5" customHeight="1">
      <c r="A11" s="966" t="s">
        <v>1330</v>
      </c>
      <c r="B11" s="967" t="s">
        <v>2475</v>
      </c>
      <c r="C11" s="322">
        <f ca="1">IF(C1="",'数据-取费表'!P16,INDIRECT("'数据-取费表'!p"&amp;$K$1)+INDIRECT("'数据-取费表'!ar"&amp;$K$1))</f>
        <v>7737</v>
      </c>
      <c r="D11" s="968"/>
      <c r="E11" s="374"/>
      <c r="F11" s="969">
        <f ca="1">1-IF('数据-取费表'!B24=0,1,IF(C1="",'数据-取费表'!N16,INDIRECT("'数据-取费表'!n"&amp;$K$1)))</f>
        <v>0.34099999999999997</v>
      </c>
      <c r="G11" s="8"/>
      <c r="H11" s="963"/>
      <c r="I11" s="963"/>
      <c r="J11" s="963"/>
      <c r="K11" s="964"/>
    </row>
    <row r="12" spans="1:33" s="970" customFormat="1" ht="13.5" customHeight="1">
      <c r="A12" s="966" t="s">
        <v>1331</v>
      </c>
      <c r="B12" s="967" t="s">
        <v>2476</v>
      </c>
      <c r="C12" s="24">
        <f ca="1">ROUND(C11*F12,0)</f>
        <v>387</v>
      </c>
      <c r="D12" s="968"/>
      <c r="E12" s="374"/>
      <c r="F12" s="971">
        <f>'数据-取费表'!B33</f>
        <v>0.05</v>
      </c>
      <c r="G12" s="8" t="s">
        <v>2477</v>
      </c>
      <c r="H12" s="963"/>
      <c r="I12" s="963"/>
      <c r="J12" s="963"/>
      <c r="K12" s="964"/>
    </row>
    <row r="13" spans="1:33" s="970" customFormat="1" ht="13.5" customHeight="1">
      <c r="A13" s="966" t="s">
        <v>1332</v>
      </c>
      <c r="B13" s="967" t="s">
        <v>2478</v>
      </c>
      <c r="C13" s="24">
        <f ca="1">ROUND(IF(C1="",SUMIF('数据-取费表'!C:C,"住宅",'数据-取费表'!P:P)*F13,IF(INDIRECT("'数据-取费表'!c"&amp;$K$1)="住宅",INDIRECT("'数据-取费表'!P"&amp;$K$1)*F13,0)),0)</f>
        <v>716</v>
      </c>
      <c r="D13" s="1028"/>
      <c r="E13" s="374"/>
      <c r="F13" s="971">
        <f>'数据-取费表'!B34</f>
        <v>0.1</v>
      </c>
      <c r="G13" s="8" t="s">
        <v>2479</v>
      </c>
      <c r="H13" s="963"/>
      <c r="I13" s="963"/>
      <c r="J13" s="963"/>
      <c r="K13" s="964"/>
    </row>
    <row r="14" spans="1:33" s="972" customFormat="1" ht="13.5" customHeight="1">
      <c r="A14" s="966" t="s">
        <v>1333</v>
      </c>
      <c r="B14" s="967" t="s">
        <v>2480</v>
      </c>
      <c r="C14" s="24">
        <f ca="1">ROUND(D14*E14*F11/10000,0)</f>
        <v>487</v>
      </c>
      <c r="D14" s="1028">
        <f ca="1">IF(C1="",'数据-汇总表'!E3,INDIRECT("'数据-取费表'!K"&amp;$K$1)+INDIRECT("'数据-取费表'!S"&amp;$K$1))</f>
        <v>71473.9099999998</v>
      </c>
      <c r="E14" s="24">
        <f>'数据-取费表'!B35</f>
        <v>200</v>
      </c>
      <c r="F14" s="971"/>
      <c r="G14" s="8" t="s">
        <v>2481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2482</v>
      </c>
      <c r="C15" s="978">
        <f ca="1">ROUND(C11*F15,0)</f>
        <v>116</v>
      </c>
      <c r="D15" s="973"/>
      <c r="E15" s="978"/>
      <c r="F15" s="979">
        <f>'数据-取费表'!B36</f>
        <v>1.4999999999999999E-2</v>
      </c>
      <c r="G15" s="139" t="s">
        <v>2483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2484</v>
      </c>
      <c r="C16" s="978">
        <f ca="1">SUM(C11:C15)</f>
        <v>9443</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2485</v>
      </c>
      <c r="C17" s="24">
        <f ca="1">ROUND(D17*E17/10000,0)</f>
        <v>0</v>
      </c>
      <c r="D17" s="1028">
        <f ca="1">D14</f>
        <v>71473.9099999998</v>
      </c>
      <c r="E17" s="24">
        <f>'数据-取费表'!B32</f>
        <v>0</v>
      </c>
      <c r="F17" s="973"/>
      <c r="G17" s="139" t="s">
        <v>2486</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2487</v>
      </c>
      <c r="C18" s="24">
        <f ca="1">C19+C20-IF(C1="",'数据-取费表'!B29,IF(G18="已全部缴纳",C19+C20,H18))</f>
        <v>1572</v>
      </c>
      <c r="D18" s="1028"/>
      <c r="E18" s="24"/>
      <c r="F18" s="971"/>
      <c r="G18" s="2555"/>
      <c r="H18" s="1572"/>
      <c r="I18" s="2556" t="s">
        <v>2488</v>
      </c>
      <c r="J18" s="974"/>
      <c r="K18" s="975"/>
    </row>
    <row r="19" spans="1:33" s="970" customFormat="1" ht="13.5" customHeight="1">
      <c r="A19" s="966" t="s">
        <v>805</v>
      </c>
      <c r="B19" s="967" t="s">
        <v>2489</v>
      </c>
      <c r="C19" s="24">
        <f ca="1">ROUND(D19*E19/10000,0)</f>
        <v>1406</v>
      </c>
      <c r="D19" s="1028">
        <f ca="1">IF(C1="",'数据-汇总表'!E5,IF(INDIRECT("'数据-取费表'!c"&amp;$K$1)="住宅",INDIRECT("'数据-取费表'!k"&amp;$K$1),0))</f>
        <v>63909.9099999998</v>
      </c>
      <c r="E19" s="24">
        <f>'数据-取费表'!B27</f>
        <v>220</v>
      </c>
      <c r="F19" s="971"/>
      <c r="G19" s="15"/>
      <c r="H19" s="1574"/>
      <c r="I19" s="976"/>
      <c r="J19" s="976"/>
      <c r="K19" s="977"/>
    </row>
    <row r="20" spans="1:33" s="970" customFormat="1" ht="13.5" customHeight="1">
      <c r="A20" s="966" t="s">
        <v>806</v>
      </c>
      <c r="B20" s="967" t="s">
        <v>2490</v>
      </c>
      <c r="C20" s="24">
        <f ca="1">ROUND(D20*E20/10000,0)</f>
        <v>166</v>
      </c>
      <c r="D20" s="1028">
        <f ca="1">IF(C1="",'数据-汇总表'!E6,IF(INDIRECT("'数据-取费表'!c"&amp;$K$1)="住宅",INDIRECT("'数据-取费表'!s"&amp;$K$1),INDIRECT("'数据-取费表'!k"&amp;$K$1)+INDIRECT("'数据-取费表'!s"&amp;$K$1)))</f>
        <v>7564</v>
      </c>
      <c r="E20" s="24">
        <f>'数据-取费表'!B28</f>
        <v>220</v>
      </c>
      <c r="F20" s="971"/>
      <c r="G20" s="15"/>
      <c r="H20" s="976"/>
      <c r="I20" s="976"/>
      <c r="J20" s="976"/>
      <c r="K20" s="977"/>
    </row>
    <row r="21" spans="1:33" s="970" customFormat="1" ht="13.5" customHeight="1">
      <c r="A21" s="956" t="s">
        <v>802</v>
      </c>
      <c r="B21" s="980" t="s">
        <v>2491</v>
      </c>
      <c r="C21" s="981">
        <f ca="1">C16+C17+C18</f>
        <v>11015</v>
      </c>
      <c r="D21" s="982"/>
      <c r="E21" s="324"/>
      <c r="F21" s="324"/>
      <c r="G21" s="139" t="s">
        <v>2492</v>
      </c>
      <c r="H21" s="974"/>
      <c r="I21" s="974"/>
      <c r="J21" s="974"/>
      <c r="K21" s="975"/>
    </row>
    <row r="22" spans="1:33" s="970" customFormat="1" ht="13.5" customHeight="1">
      <c r="A22" s="956" t="s">
        <v>2464</v>
      </c>
      <c r="B22" s="980" t="s">
        <v>2493</v>
      </c>
      <c r="C22" s="981">
        <f ca="1">ROUND(C21*F22,0)</f>
        <v>330</v>
      </c>
      <c r="D22" s="324"/>
      <c r="E22" s="324"/>
      <c r="F22" s="983">
        <f>'数据-取费表'!B37</f>
        <v>0.03</v>
      </c>
      <c r="G22" s="8" t="s">
        <v>2494</v>
      </c>
      <c r="H22" s="963"/>
      <c r="I22" s="963"/>
      <c r="J22" s="963"/>
      <c r="K22" s="964"/>
    </row>
    <row r="23" spans="1:33" s="970" customFormat="1" ht="13.5" customHeight="1">
      <c r="A23" s="956" t="s">
        <v>2466</v>
      </c>
      <c r="B23" s="980" t="s">
        <v>2495</v>
      </c>
      <c r="C23" s="981">
        <f ca="1">ROUND(C4*F23*F11,0)</f>
        <v>1011</v>
      </c>
      <c r="D23" s="324"/>
      <c r="E23" s="324"/>
      <c r="F23" s="983">
        <f>'数据-取费表'!B38</f>
        <v>0.03</v>
      </c>
      <c r="G23" s="8" t="s">
        <v>2496</v>
      </c>
      <c r="H23" s="963"/>
      <c r="I23" s="963"/>
      <c r="J23" s="963"/>
      <c r="K23" s="964"/>
    </row>
    <row r="24" spans="1:33" s="970" customFormat="1" ht="13.5" customHeight="1">
      <c r="A24" s="956" t="s">
        <v>2497</v>
      </c>
      <c r="B24" s="980" t="s">
        <v>2498</v>
      </c>
      <c r="C24" s="323">
        <f>ROUND(F24/(1+'数据-取费表'!C42),4)</f>
        <v>2.9000000000000001E-2</v>
      </c>
      <c r="D24" s="324" t="s">
        <v>15</v>
      </c>
      <c r="E24" s="324"/>
      <c r="F24" s="983">
        <f>'数据-取费表'!B48+'数据-取费表'!B49</f>
        <v>3.0499999999999999E-2</v>
      </c>
      <c r="G24" s="8" t="s">
        <v>2499</v>
      </c>
      <c r="H24" s="985"/>
      <c r="I24" s="985"/>
      <c r="J24" s="985"/>
      <c r="K24" s="986"/>
    </row>
    <row r="25" spans="1:33" s="970" customFormat="1" ht="13.5" customHeight="1">
      <c r="A25" s="956" t="s">
        <v>2500</v>
      </c>
      <c r="B25" s="982" t="s">
        <v>2501</v>
      </c>
      <c r="C25" s="1351">
        <f ca="1">C27</f>
        <v>261</v>
      </c>
      <c r="D25" s="323">
        <f ca="1">C26</f>
        <v>4.3900000000000002E-2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2502</v>
      </c>
      <c r="C26" s="1352">
        <f ca="1">ROUND(IF('数据-取费表'!B22&lt;=1,(1+C24)*F25*'数据-取费表'!B24,(1+C24)*(POWER((1+F25),'数据-取费表'!B24)-1)),4)</f>
        <v>4.3900000000000002E-2</v>
      </c>
      <c r="D26" s="327"/>
      <c r="E26" s="328"/>
      <c r="F26" s="329"/>
      <c r="G26" s="2557"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2503</v>
      </c>
      <c r="C27" s="1353">
        <f ca="1">ROUND(IF('数据-取费表'!B22&lt;=1,(C21+C22+C23)*F25*'数据-取费表'!B24/2,(C21+C22+C23)*(POWER((1+F25),'数据-取费表'!B24/2)-1)),0)</f>
        <v>261</v>
      </c>
      <c r="D27" s="327"/>
      <c r="E27" s="328"/>
      <c r="F27" s="329"/>
      <c r="G27" s="2557" t="str">
        <f>IF('数据-取费表'!B22&lt;=1,"（1）-（3）项×年利率×建设期÷2","（1）-（3）项×((1+年利率)^(建设期÷2)-1)")</f>
        <v>（1）-（3）项×((1+年利率)^(建设期÷2)-1)</v>
      </c>
      <c r="H27" s="974"/>
      <c r="I27" s="974"/>
      <c r="J27" s="974"/>
      <c r="K27" s="975"/>
    </row>
    <row r="28" spans="1:33" s="332" customFormat="1" ht="13.5" customHeight="1">
      <c r="A28" s="956" t="s">
        <v>2504</v>
      </c>
      <c r="B28" s="2558" t="s">
        <v>2505</v>
      </c>
      <c r="C28" s="330">
        <f ca="1">C30</f>
        <v>2965</v>
      </c>
      <c r="D28" s="323">
        <f ca="1">C29</f>
        <v>0.1111</v>
      </c>
      <c r="E28" s="325" t="s">
        <v>15</v>
      </c>
      <c r="F28" s="331">
        <f ca="1">IF(C1="",'数据-取费表'!Q16,INDIRECT("'数据-取费表'!q"&amp;$K$1))</f>
        <v>0.24</v>
      </c>
      <c r="G28" s="984"/>
      <c r="H28" s="985"/>
      <c r="I28" s="985"/>
      <c r="J28" s="985"/>
      <c r="K28" s="986"/>
    </row>
    <row r="29" spans="1:33" s="334" customFormat="1" ht="13.5" customHeight="1">
      <c r="A29" s="966" t="s">
        <v>803</v>
      </c>
      <c r="B29" s="989" t="s">
        <v>2506</v>
      </c>
      <c r="C29" s="327">
        <f ca="1">ROUND((1+C24)*F28*'数据-取费表'!B24/'数据-取费表'!B20,4)</f>
        <v>0.1111</v>
      </c>
      <c r="D29" s="327"/>
      <c r="E29" s="328"/>
      <c r="F29" s="333"/>
      <c r="G29" s="139" t="s">
        <v>2507</v>
      </c>
      <c r="H29" s="974"/>
      <c r="I29" s="974"/>
      <c r="J29" s="974"/>
      <c r="K29" s="975"/>
    </row>
    <row r="30" spans="1:33" s="334" customFormat="1" ht="13.5" customHeight="1">
      <c r="A30" s="966" t="s">
        <v>804</v>
      </c>
      <c r="B30" s="989" t="s">
        <v>2508</v>
      </c>
      <c r="C30" s="335">
        <f ca="1">ROUND((C21+C22+C23)*F28,0)</f>
        <v>2965</v>
      </c>
      <c r="D30" s="327"/>
      <c r="E30" s="328"/>
      <c r="F30" s="333"/>
      <c r="G30" s="139"/>
      <c r="H30" s="974"/>
      <c r="I30" s="974"/>
      <c r="J30" s="974"/>
      <c r="K30" s="975"/>
    </row>
    <row r="31" spans="1:33" s="970" customFormat="1" ht="13.5" customHeight="1" thickBot="1">
      <c r="A31" s="2559" t="s">
        <v>2509</v>
      </c>
      <c r="B31" s="1000" t="s">
        <v>2510</v>
      </c>
      <c r="C31" s="1001">
        <f ca="1">ROUND(C4*F31/(1+'数据-取费表'!C42),0)</f>
        <v>5178</v>
      </c>
      <c r="D31" s="1002"/>
      <c r="E31" s="1003"/>
      <c r="F31" s="1004">
        <f>'数据-取费表'!B41</f>
        <v>5.5000000000000007E-2</v>
      </c>
      <c r="G31" s="1005" t="s">
        <v>2511</v>
      </c>
      <c r="H31" s="1006"/>
      <c r="I31" s="1006"/>
      <c r="J31" s="1006"/>
      <c r="K31" s="1007"/>
    </row>
    <row r="32" spans="1:33" s="965" customFormat="1" ht="13.5" customHeight="1" thickBot="1">
      <c r="A32" s="995" t="s">
        <v>2512</v>
      </c>
      <c r="B32" s="996"/>
      <c r="C32" s="997">
        <f ca="1">ROUND((C4-C21-C22-C23-C25-C28-C31)/(1+C24+D25+D28),0)</f>
        <v>65958</v>
      </c>
      <c r="D32" s="996"/>
      <c r="E32" s="996"/>
      <c r="F32" s="996"/>
      <c r="G32" s="998" t="s">
        <v>2513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581" t="s">
        <v>2524</v>
      </c>
      <c r="C1" s="1629" t="s">
        <v>2525</v>
      </c>
      <c r="D1" s="1616" t="s">
        <v>3061</v>
      </c>
      <c r="E1" s="2582"/>
      <c r="F1" s="2583" t="s">
        <v>2526</v>
      </c>
      <c r="G1" s="1626" t="s">
        <v>2527</v>
      </c>
      <c r="H1" s="1625"/>
      <c r="I1" s="1625"/>
      <c r="J1" s="1625"/>
      <c r="K1" s="1627"/>
      <c r="L1" s="1628"/>
      <c r="M1" s="1629"/>
      <c r="N1" s="1629"/>
      <c r="O1" s="1629"/>
      <c r="P1" s="2584"/>
      <c r="Q1" s="1615"/>
      <c r="R1" s="1615"/>
      <c r="S1" s="1615"/>
      <c r="T1" s="1615"/>
      <c r="U1" s="1615"/>
      <c r="V1" s="1615"/>
      <c r="W1" s="1615"/>
      <c r="X1" s="1615"/>
      <c r="Y1" s="1615"/>
      <c r="Z1" s="1615"/>
      <c r="AA1" s="1615"/>
      <c r="AB1" s="1615"/>
      <c r="AC1" s="1623"/>
    </row>
    <row r="2" spans="1:29" s="392" customFormat="1" ht="28.5" customHeight="1" thickTop="1">
      <c r="A2" s="1612" t="s">
        <v>1390</v>
      </c>
      <c r="B2" s="1413">
        <f>IF(C2="——",ROUND(C49*D3/10000,0),ROUND(C49*D3/10000,0)-D2)</f>
        <v>90286</v>
      </c>
      <c r="C2" s="2585" t="s">
        <v>70</v>
      </c>
      <c r="D2" s="1360">
        <f ca="1">SUMIF(INDIRECT("'"&amp;F2&amp;"'"&amp;"!A:A"),"承租人权益价值",INDIRECT("'"&amp;F2&amp;"'"&amp;"!c:c"))</f>
        <v>0</v>
      </c>
      <c r="E2" s="2586" t="s">
        <v>2528</v>
      </c>
      <c r="F2" s="2587" t="s">
        <v>3180</v>
      </c>
      <c r="G2" s="1119"/>
      <c r="H2" s="1119"/>
      <c r="I2" s="1119"/>
      <c r="J2" s="1119"/>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f>IF(C2="——",C49,ROUND(B2*10000/D3,0))</f>
        <v>14127</v>
      </c>
      <c r="C3" s="399" t="s">
        <v>2529</v>
      </c>
      <c r="D3" s="398">
        <f>IF(D1="",'数据-汇总表'!E3,SUMIF('数据-汇总表'!$C19:$C33,D1,'数据-汇总表'!$E19:$E33))</f>
        <v>63909.9099999998</v>
      </c>
      <c r="E3" s="1119"/>
      <c r="F3" s="2594"/>
      <c r="G3" s="1119"/>
      <c r="H3" s="1119"/>
      <c r="I3" s="1119"/>
      <c r="J3" s="1119"/>
      <c r="K3" s="2588"/>
      <c r="L3" s="2589"/>
      <c r="M3" s="2590"/>
      <c r="N3" s="2590"/>
      <c r="O3" s="2590"/>
      <c r="P3" s="2591"/>
      <c r="Q3" s="2592"/>
      <c r="R3" s="2592"/>
      <c r="S3" s="2592"/>
      <c r="T3" s="2592"/>
      <c r="U3" s="2592"/>
      <c r="V3" s="2592"/>
      <c r="W3" s="2592"/>
      <c r="X3" s="2592"/>
      <c r="Y3" s="2592"/>
      <c r="Z3" s="2592"/>
      <c r="AA3" s="2592"/>
      <c r="AB3" s="2592"/>
      <c r="AC3" s="1277"/>
    </row>
    <row r="4" spans="1:29" ht="15">
      <c r="A4" s="400" t="s">
        <v>2530</v>
      </c>
      <c r="B4" s="401"/>
      <c r="C4" s="3249" t="s">
        <v>2531</v>
      </c>
      <c r="D4" s="3250"/>
      <c r="E4" s="3251" t="s">
        <v>2532</v>
      </c>
      <c r="F4" s="3252"/>
      <c r="G4" s="3249" t="s">
        <v>2533</v>
      </c>
      <c r="H4" s="3250"/>
      <c r="I4" s="3249" t="s">
        <v>2534</v>
      </c>
      <c r="J4" s="3250"/>
      <c r="K4" s="2595" t="s">
        <v>2535</v>
      </c>
      <c r="L4" s="1125"/>
      <c r="M4" s="1126"/>
      <c r="N4" s="1126"/>
      <c r="O4" s="1126"/>
      <c r="P4" s="3253" t="s">
        <v>2536</v>
      </c>
      <c r="Q4" s="3254"/>
      <c r="R4" s="3234" t="s">
        <v>2532</v>
      </c>
      <c r="S4" s="3235"/>
      <c r="T4" s="3234" t="s">
        <v>2533</v>
      </c>
      <c r="U4" s="3235"/>
      <c r="V4" s="3261" t="s">
        <v>2534</v>
      </c>
      <c r="W4" s="3261"/>
      <c r="X4" s="1808"/>
      <c r="Y4" s="3234" t="s">
        <v>2536</v>
      </c>
      <c r="Z4" s="3235"/>
      <c r="AA4" s="3229" t="s">
        <v>2532</v>
      </c>
      <c r="AB4" s="3229" t="s">
        <v>2533</v>
      </c>
      <c r="AC4" s="3229" t="s">
        <v>2534</v>
      </c>
    </row>
    <row r="5" spans="1:29" ht="15">
      <c r="A5" s="403"/>
      <c r="B5" s="404"/>
      <c r="C5" s="3240" t="s">
        <v>2537</v>
      </c>
      <c r="D5" s="3241"/>
      <c r="E5" s="3238" t="s">
        <v>3080</v>
      </c>
      <c r="F5" s="3239"/>
      <c r="G5" s="3244" t="s">
        <v>3082</v>
      </c>
      <c r="H5" s="3241"/>
      <c r="I5" s="3244" t="s">
        <v>3181</v>
      </c>
      <c r="J5" s="3241"/>
      <c r="K5" s="2596"/>
      <c r="L5" s="1125"/>
      <c r="M5" s="1126"/>
      <c r="N5" s="1126"/>
      <c r="O5" s="1126"/>
      <c r="P5" s="3255"/>
      <c r="Q5" s="3256"/>
      <c r="R5" s="3236"/>
      <c r="S5" s="3237"/>
      <c r="T5" s="3236"/>
      <c r="U5" s="3237"/>
      <c r="V5" s="3261"/>
      <c r="W5" s="3261"/>
      <c r="X5" s="1808"/>
      <c r="Y5" s="3236"/>
      <c r="Z5" s="3237"/>
      <c r="AA5" s="3230"/>
      <c r="AB5" s="3230"/>
      <c r="AC5" s="3230"/>
    </row>
    <row r="6" spans="1:29" ht="32.25" customHeight="1" thickBot="1">
      <c r="A6" s="405"/>
      <c r="B6" s="406"/>
      <c r="C6" s="3242" t="s">
        <v>2541</v>
      </c>
      <c r="D6" s="3243"/>
      <c r="E6" s="3245" t="s">
        <v>3081</v>
      </c>
      <c r="F6" s="3246"/>
      <c r="G6" s="3247" t="s">
        <v>3083</v>
      </c>
      <c r="H6" s="3243"/>
      <c r="I6" s="3247" t="s">
        <v>3182</v>
      </c>
      <c r="J6" s="3243"/>
      <c r="K6" s="2596" t="s">
        <v>2542</v>
      </c>
      <c r="L6" s="1125"/>
      <c r="M6" s="1126"/>
      <c r="N6" s="1126"/>
      <c r="O6" s="1126"/>
      <c r="P6" s="3257"/>
      <c r="Q6" s="3258"/>
      <c r="R6" s="3236"/>
      <c r="S6" s="3237"/>
      <c r="T6" s="3259"/>
      <c r="U6" s="3260"/>
      <c r="V6" s="3261"/>
      <c r="W6" s="3261"/>
      <c r="X6" s="1808"/>
      <c r="Y6" s="3259"/>
      <c r="Z6" s="3260"/>
      <c r="AA6" s="3231"/>
      <c r="AB6" s="3231"/>
      <c r="AC6" s="3231"/>
    </row>
    <row r="7" spans="1:29" s="116" customFormat="1" ht="15.75" thickBot="1">
      <c r="A7" s="407" t="s">
        <v>2543</v>
      </c>
      <c r="B7" s="408"/>
      <c r="C7" s="409">
        <f>'数据-取费表'!B2</f>
        <v>43758</v>
      </c>
      <c r="D7" s="410">
        <v>100</v>
      </c>
      <c r="E7" s="411">
        <v>43617</v>
      </c>
      <c r="F7" s="412">
        <f>SUMIF(58:58,YEAR(E7)&amp;"-"&amp;MONTH(E7),59:59)</f>
        <v>100</v>
      </c>
      <c r="G7" s="411">
        <v>43617</v>
      </c>
      <c r="H7" s="410">
        <f>SUMIF(58:58,YEAR(G7)&amp;"-"&amp;MONTH(G7),59:59)</f>
        <v>100</v>
      </c>
      <c r="I7" s="411">
        <v>43617</v>
      </c>
      <c r="J7" s="410">
        <f>SUMIF(58:58,YEAR(I7)&amp;"-"&amp;MONTH(I7),59:59)</f>
        <v>100</v>
      </c>
      <c r="K7" s="2597"/>
      <c r="L7" s="1127"/>
      <c r="M7" s="1128"/>
      <c r="N7" s="1128"/>
      <c r="O7" s="1128"/>
      <c r="P7" s="3232" t="s">
        <v>2544</v>
      </c>
      <c r="Q7" s="3262"/>
      <c r="R7" s="769" t="s">
        <v>23</v>
      </c>
      <c r="S7" s="770">
        <f t="shared" ref="S7:S15" si="0">F7</f>
        <v>100</v>
      </c>
      <c r="T7" s="769" t="s">
        <v>23</v>
      </c>
      <c r="U7" s="770">
        <f t="shared" ref="U7:U15" si="1">H7</f>
        <v>100</v>
      </c>
      <c r="V7" s="769" t="s">
        <v>23</v>
      </c>
      <c r="W7" s="770">
        <f t="shared" ref="W7:W15" si="2">J7</f>
        <v>100</v>
      </c>
      <c r="X7" s="771"/>
      <c r="Y7" s="3232" t="s">
        <v>2544</v>
      </c>
      <c r="Z7" s="3233"/>
      <c r="AA7" s="772">
        <f>D7/F7</f>
        <v>1</v>
      </c>
      <c r="AB7" s="772">
        <f>D7/H7</f>
        <v>1</v>
      </c>
      <c r="AC7" s="772">
        <f>D7/J7</f>
        <v>1</v>
      </c>
    </row>
    <row r="8" spans="1:29" s="116" customFormat="1" ht="15.75" thickBot="1">
      <c r="A8" s="407" t="s">
        <v>2545</v>
      </c>
      <c r="B8" s="408"/>
      <c r="C8" s="413" t="s">
        <v>2546</v>
      </c>
      <c r="D8" s="410">
        <v>100</v>
      </c>
      <c r="E8" s="413" t="s">
        <v>2546</v>
      </c>
      <c r="F8" s="412">
        <f>SUMIF(61:61,E8,62:62)-SUMIF(61:61,C8,62:62)+100</f>
        <v>100</v>
      </c>
      <c r="G8" s="413" t="s">
        <v>2546</v>
      </c>
      <c r="H8" s="410">
        <f>SUMIF(61:61,G8,62:62)-SUMIF(61:61,C8,62:62)+100</f>
        <v>100</v>
      </c>
      <c r="I8" s="413" t="s">
        <v>2546</v>
      </c>
      <c r="J8" s="410">
        <f>SUMIF(61:61,I8,62:62)-SUMIF(61:61,C8,62:62)+100</f>
        <v>100</v>
      </c>
      <c r="K8" s="2597"/>
      <c r="L8" s="1127"/>
      <c r="M8" s="1128"/>
      <c r="N8" s="1128"/>
      <c r="O8" s="1128"/>
      <c r="P8" s="3232" t="s">
        <v>2547</v>
      </c>
      <c r="Q8" s="3233"/>
      <c r="R8" s="769" t="s">
        <v>23</v>
      </c>
      <c r="S8" s="770">
        <f t="shared" si="0"/>
        <v>100</v>
      </c>
      <c r="T8" s="769" t="s">
        <v>23</v>
      </c>
      <c r="U8" s="770">
        <f t="shared" si="1"/>
        <v>100</v>
      </c>
      <c r="V8" s="769" t="s">
        <v>23</v>
      </c>
      <c r="W8" s="770">
        <f t="shared" si="2"/>
        <v>100</v>
      </c>
      <c r="X8" s="771"/>
      <c r="Y8" s="3232" t="s">
        <v>2547</v>
      </c>
      <c r="Z8" s="3233"/>
      <c r="AA8" s="772">
        <f t="shared" ref="AA8:AA19" si="3">D8/F8</f>
        <v>1</v>
      </c>
      <c r="AB8" s="772">
        <f t="shared" ref="AB8:AB19" si="4">D8/H8</f>
        <v>1</v>
      </c>
      <c r="AC8" s="772">
        <f t="shared" ref="AC8:AC19" si="5">D8/J8</f>
        <v>1</v>
      </c>
    </row>
    <row r="9" spans="1:29" s="116" customFormat="1">
      <c r="A9" s="414" t="s">
        <v>2548</v>
      </c>
      <c r="B9" s="71" t="s">
        <v>2549</v>
      </c>
      <c r="C9" s="2955" t="s">
        <v>3056</v>
      </c>
      <c r="D9" s="134">
        <v>100</v>
      </c>
      <c r="E9" s="2955" t="s">
        <v>3056</v>
      </c>
      <c r="F9" s="417">
        <f>SUMIF(63:63,E9,64:64)-SUMIF(63:63,C9,64:64)+100</f>
        <v>100</v>
      </c>
      <c r="G9" s="2955" t="s">
        <v>3056</v>
      </c>
      <c r="H9" s="134">
        <f>SUMIF(63:63,G9,64:64)-SUMIF(63:63,C9,64:64)+100</f>
        <v>100</v>
      </c>
      <c r="I9" s="2955" t="s">
        <v>3056</v>
      </c>
      <c r="J9" s="134">
        <f>SUMIF(63:63,I9,64:64)-SUMIF(63:63,C9,64:64)+100</f>
        <v>100</v>
      </c>
      <c r="K9" s="2597"/>
      <c r="L9" s="1127"/>
      <c r="M9" s="1128"/>
      <c r="N9" s="1128"/>
      <c r="O9" s="1128"/>
      <c r="P9" s="3272"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772">
        <f t="shared" si="5"/>
        <v>1</v>
      </c>
    </row>
    <row r="10" spans="1:29" s="426" customFormat="1" ht="27">
      <c r="A10" s="420"/>
      <c r="B10" s="421" t="s">
        <v>2552</v>
      </c>
      <c r="C10" s="422" t="s">
        <v>3057</v>
      </c>
      <c r="D10" s="135">
        <v>100</v>
      </c>
      <c r="E10" s="422" t="s">
        <v>3057</v>
      </c>
      <c r="F10" s="424">
        <f>SUMIF(65:65,E10,66:66)-SUMIF(65:65,C10,66:66)+100</f>
        <v>100</v>
      </c>
      <c r="G10" s="422" t="s">
        <v>3057</v>
      </c>
      <c r="H10" s="135">
        <f>SUMIF(65:65,G10,66:66)-SUMIF(65:65,C10,66:66)+100</f>
        <v>100</v>
      </c>
      <c r="I10" s="422" t="s">
        <v>3057</v>
      </c>
      <c r="J10" s="135">
        <f>SUMIF(65:65,I10,66:66)-SUMIF(65:65,C10,66:66)+100</f>
        <v>100</v>
      </c>
      <c r="K10" s="425">
        <v>1</v>
      </c>
      <c r="L10" s="1130"/>
      <c r="M10" s="1131"/>
      <c r="N10" s="1131"/>
      <c r="O10" s="1131"/>
      <c r="P10" s="3272"/>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421" t="s">
        <v>2553</v>
      </c>
      <c r="C11" s="428">
        <f>'土地比较法-住宅、综合'!C11</f>
        <v>1.1200000000000001</v>
      </c>
      <c r="D11" s="135">
        <v>100</v>
      </c>
      <c r="E11" s="428">
        <v>1.2</v>
      </c>
      <c r="F11" s="424">
        <f>LOOKUP(E11,68:68,69:69)-LOOKUP(C11,68:68,69:69)+100</f>
        <v>100</v>
      </c>
      <c r="G11" s="428">
        <v>2</v>
      </c>
      <c r="H11" s="135">
        <f>LOOKUP(G11,68:68,69:69)-LOOKUP(C11,68:68,69:69)+100</f>
        <v>97</v>
      </c>
      <c r="I11" s="428">
        <v>1.32</v>
      </c>
      <c r="J11" s="135">
        <f>LOOKUP(I11,68:68,69:69)-LOOKUP(C11,68:68,69:69)+100</f>
        <v>100</v>
      </c>
      <c r="K11" s="425">
        <v>3</v>
      </c>
      <c r="L11" s="1133"/>
      <c r="M11" s="1126"/>
      <c r="N11" s="1126"/>
      <c r="O11" s="1126"/>
      <c r="P11" s="3272"/>
      <c r="Q11" s="1790" t="str">
        <f t="shared" si="6"/>
        <v>容积率</v>
      </c>
      <c r="R11" s="769" t="s">
        <v>21</v>
      </c>
      <c r="S11" s="770">
        <f t="shared" si="0"/>
        <v>100</v>
      </c>
      <c r="T11" s="769" t="s">
        <v>21</v>
      </c>
      <c r="U11" s="770">
        <f t="shared" si="1"/>
        <v>97</v>
      </c>
      <c r="V11" s="769" t="s">
        <v>21</v>
      </c>
      <c r="W11" s="770">
        <f t="shared" si="2"/>
        <v>100</v>
      </c>
      <c r="X11" s="771"/>
      <c r="Y11" s="3102"/>
      <c r="Z11" s="55" t="str">
        <f t="shared" si="7"/>
        <v>容积率</v>
      </c>
      <c r="AA11" s="772">
        <f t="shared" si="3"/>
        <v>1</v>
      </c>
      <c r="AB11" s="772">
        <f t="shared" si="4"/>
        <v>1.0309278350515463</v>
      </c>
      <c r="AC11" s="772">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7"/>
      <c r="M12" s="1128"/>
      <c r="N12" s="1128"/>
      <c r="O12" s="1128"/>
      <c r="P12" s="3272"/>
      <c r="Q12" s="1790">
        <f t="shared" si="6"/>
        <v>111</v>
      </c>
      <c r="R12" s="769" t="s">
        <v>21</v>
      </c>
      <c r="S12" s="770">
        <f t="shared" si="0"/>
        <v>100</v>
      </c>
      <c r="T12" s="769" t="s">
        <v>21</v>
      </c>
      <c r="U12" s="770">
        <f t="shared" si="1"/>
        <v>100</v>
      </c>
      <c r="V12" s="769" t="s">
        <v>21</v>
      </c>
      <c r="W12" s="770">
        <f t="shared" si="2"/>
        <v>100</v>
      </c>
      <c r="X12" s="771"/>
      <c r="Y12" s="3102"/>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5"/>
      <c r="M13" s="1126"/>
      <c r="N13" s="1126"/>
      <c r="O13" s="1126"/>
      <c r="P13" s="3272"/>
      <c r="Q13" s="1790">
        <f t="shared" si="6"/>
        <v>111</v>
      </c>
      <c r="R13" s="769" t="s">
        <v>21</v>
      </c>
      <c r="S13" s="770">
        <f t="shared" si="0"/>
        <v>100</v>
      </c>
      <c r="T13" s="769" t="s">
        <v>21</v>
      </c>
      <c r="U13" s="770">
        <f t="shared" si="1"/>
        <v>100</v>
      </c>
      <c r="V13" s="769" t="s">
        <v>21</v>
      </c>
      <c r="W13" s="770">
        <f t="shared" si="2"/>
        <v>100</v>
      </c>
      <c r="X13" s="771"/>
      <c r="Y13" s="3102"/>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5"/>
      <c r="M14" s="1126"/>
      <c r="N14" s="1126"/>
      <c r="O14" s="1126"/>
      <c r="P14" s="3272"/>
      <c r="Q14" s="1790">
        <f t="shared" si="6"/>
        <v>111</v>
      </c>
      <c r="R14" s="769" t="s">
        <v>21</v>
      </c>
      <c r="S14" s="770">
        <f t="shared" si="0"/>
        <v>100</v>
      </c>
      <c r="T14" s="769" t="s">
        <v>21</v>
      </c>
      <c r="U14" s="770">
        <f t="shared" si="1"/>
        <v>100</v>
      </c>
      <c r="V14" s="769" t="s">
        <v>21</v>
      </c>
      <c r="W14" s="770">
        <f t="shared" si="2"/>
        <v>100</v>
      </c>
      <c r="X14" s="771"/>
      <c r="Y14" s="3102"/>
      <c r="Z14" s="55">
        <f t="shared" si="7"/>
        <v>111</v>
      </c>
      <c r="AA14" s="772">
        <f t="shared" si="3"/>
        <v>1</v>
      </c>
      <c r="AB14" s="772">
        <f t="shared" si="4"/>
        <v>1</v>
      </c>
      <c r="AC14" s="772">
        <f t="shared" si="5"/>
        <v>1</v>
      </c>
    </row>
    <row r="15" spans="1:29" ht="99.75">
      <c r="A15" s="439" t="s">
        <v>2554</v>
      </c>
      <c r="B15" s="69" t="s">
        <v>2085</v>
      </c>
      <c r="C15" s="2601"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100</v>
      </c>
      <c r="I15" s="443"/>
      <c r="J15" s="440">
        <f>SUMIF(76:76,I16,77:77)-SUMIF(76:76,C16,77:77)+100</f>
        <v>100</v>
      </c>
      <c r="K15" s="444">
        <v>3</v>
      </c>
      <c r="L15" s="1135"/>
      <c r="M15" s="1126"/>
      <c r="N15" s="1126"/>
      <c r="O15" s="1126"/>
      <c r="P15" s="3280" t="s">
        <v>2555</v>
      </c>
      <c r="Q15" s="1805" t="str">
        <f t="shared" si="6"/>
        <v>居住社区成熟度</v>
      </c>
      <c r="R15" s="773" t="s">
        <v>21</v>
      </c>
      <c r="S15" s="774">
        <f t="shared" si="0"/>
        <v>100</v>
      </c>
      <c r="T15" s="773" t="s">
        <v>21</v>
      </c>
      <c r="U15" s="774">
        <f t="shared" si="1"/>
        <v>100</v>
      </c>
      <c r="V15" s="773" t="s">
        <v>21</v>
      </c>
      <c r="W15" s="774">
        <f t="shared" si="2"/>
        <v>100</v>
      </c>
      <c r="X15" s="1808"/>
      <c r="Y15" s="3263" t="s">
        <v>2555</v>
      </c>
      <c r="Z15" s="1809" t="str">
        <f t="shared" si="7"/>
        <v>居住社区成熟度</v>
      </c>
      <c r="AA15" s="1806">
        <f t="shared" si="3"/>
        <v>1</v>
      </c>
      <c r="AB15" s="1806">
        <f t="shared" si="4"/>
        <v>1</v>
      </c>
      <c r="AC15" s="1806">
        <f t="shared" si="5"/>
        <v>1</v>
      </c>
    </row>
    <row r="16" spans="1:29" ht="15">
      <c r="A16" s="427"/>
      <c r="B16" s="445"/>
      <c r="C16" s="446" t="s">
        <v>3058</v>
      </c>
      <c r="D16" s="447"/>
      <c r="E16" s="2602" t="s">
        <v>3058</v>
      </c>
      <c r="F16" s="447"/>
      <c r="G16" s="2602" t="s">
        <v>3058</v>
      </c>
      <c r="H16" s="449"/>
      <c r="I16" s="2602" t="s">
        <v>3058</v>
      </c>
      <c r="J16" s="447"/>
      <c r="K16" s="2604"/>
      <c r="L16" s="1135"/>
      <c r="M16" s="1126"/>
      <c r="N16" s="1126"/>
      <c r="O16" s="1126"/>
      <c r="P16" s="3281"/>
      <c r="Q16" s="1805"/>
      <c r="R16" s="773"/>
      <c r="S16" s="774"/>
      <c r="T16" s="773"/>
      <c r="U16" s="774"/>
      <c r="V16" s="773"/>
      <c r="W16" s="774"/>
      <c r="X16" s="1808"/>
      <c r="Y16" s="3264"/>
      <c r="Z16" s="1809"/>
      <c r="AA16" s="1806">
        <v>1</v>
      </c>
      <c r="AB16" s="1806">
        <v>1</v>
      </c>
      <c r="AC16" s="1806">
        <v>1</v>
      </c>
    </row>
    <row r="17" spans="1:29" ht="85.5">
      <c r="A17" s="427"/>
      <c r="B17" s="450" t="s">
        <v>2097</v>
      </c>
      <c r="C17" s="2605"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100</v>
      </c>
      <c r="I17" s="453"/>
      <c r="J17" s="454">
        <f>SUMIF(78:78,I18,79:79)-SUMIF(78:78,C18,79:79)+100</f>
        <v>100</v>
      </c>
      <c r="K17" s="444">
        <v>3</v>
      </c>
      <c r="L17" s="1135"/>
      <c r="M17" s="1126"/>
      <c r="N17" s="1126"/>
      <c r="O17" s="1126"/>
      <c r="P17" s="3281"/>
      <c r="Q17" s="1805" t="str">
        <f>B17</f>
        <v>交通便捷度</v>
      </c>
      <c r="R17" s="773" t="s">
        <v>21</v>
      </c>
      <c r="S17" s="774">
        <f>F17</f>
        <v>100</v>
      </c>
      <c r="T17" s="773" t="s">
        <v>21</v>
      </c>
      <c r="U17" s="774">
        <f>H17</f>
        <v>100</v>
      </c>
      <c r="V17" s="773" t="s">
        <v>21</v>
      </c>
      <c r="W17" s="774">
        <f>J17</f>
        <v>100</v>
      </c>
      <c r="X17" s="1808"/>
      <c r="Y17" s="3264"/>
      <c r="Z17" s="1809" t="str">
        <f>Q17</f>
        <v>交通便捷度</v>
      </c>
      <c r="AA17" s="1806">
        <f t="shared" si="3"/>
        <v>1</v>
      </c>
      <c r="AB17" s="1806">
        <f t="shared" si="4"/>
        <v>1</v>
      </c>
      <c r="AC17" s="1806">
        <f t="shared" si="5"/>
        <v>1</v>
      </c>
    </row>
    <row r="18" spans="1:29" ht="15">
      <c r="A18" s="427"/>
      <c r="B18" s="455"/>
      <c r="C18" s="2606" t="s">
        <v>3058</v>
      </c>
      <c r="D18" s="449"/>
      <c r="E18" s="2607" t="s">
        <v>3058</v>
      </c>
      <c r="F18" s="449"/>
      <c r="G18" s="2607" t="s">
        <v>3058</v>
      </c>
      <c r="H18" s="447"/>
      <c r="I18" s="2607" t="s">
        <v>3058</v>
      </c>
      <c r="J18" s="447"/>
      <c r="K18" s="2604"/>
      <c r="L18" s="1135"/>
      <c r="M18" s="1126"/>
      <c r="N18" s="1126"/>
      <c r="O18" s="1126"/>
      <c r="P18" s="3281"/>
      <c r="Q18" s="1805"/>
      <c r="R18" s="773"/>
      <c r="S18" s="774"/>
      <c r="T18" s="773"/>
      <c r="U18" s="774"/>
      <c r="V18" s="773"/>
      <c r="W18" s="774"/>
      <c r="X18" s="1808"/>
      <c r="Y18" s="3264"/>
      <c r="Z18" s="1809"/>
      <c r="AA18" s="1806">
        <v>1</v>
      </c>
      <c r="AB18" s="1806">
        <v>1</v>
      </c>
      <c r="AC18" s="1806">
        <v>1</v>
      </c>
    </row>
    <row r="19" spans="1:29" ht="42.75">
      <c r="A19" s="427"/>
      <c r="B19" s="450" t="s">
        <v>2095</v>
      </c>
      <c r="C19" s="2605" t="str">
        <f>估价对象房地状况!C7</f>
        <v>估价对象所在区域公共配套设施齐备情况</v>
      </c>
      <c r="D19" s="454">
        <v>100</v>
      </c>
      <c r="E19" s="458"/>
      <c r="F19" s="454">
        <f>SUMIF(80:80,E20,81:81)-SUMIF(80:80,C20,81:81)+100</f>
        <v>100</v>
      </c>
      <c r="G19" s="458"/>
      <c r="H19" s="449">
        <f>SUMIF(80:80,G20,81:81)-SUMIF(80:80,C20,81:81)+100</f>
        <v>100</v>
      </c>
      <c r="I19" s="458"/>
      <c r="J19" s="449">
        <f>SUMIF(80:80,I20,81:81)-SUMIF(80:80,C20,81:81)+100</f>
        <v>100</v>
      </c>
      <c r="K19" s="444">
        <v>3</v>
      </c>
      <c r="L19" s="1135"/>
      <c r="M19" s="1126"/>
      <c r="N19" s="1126"/>
      <c r="O19" s="1126"/>
      <c r="P19" s="3281"/>
      <c r="Q19" s="1805" t="str">
        <f>B19</f>
        <v>公共配套设施</v>
      </c>
      <c r="R19" s="773" t="s">
        <v>21</v>
      </c>
      <c r="S19" s="774">
        <f>F19</f>
        <v>100</v>
      </c>
      <c r="T19" s="773" t="s">
        <v>21</v>
      </c>
      <c r="U19" s="774">
        <f>H19</f>
        <v>100</v>
      </c>
      <c r="V19" s="773" t="s">
        <v>21</v>
      </c>
      <c r="W19" s="774">
        <f>J19</f>
        <v>100</v>
      </c>
      <c r="X19" s="1808"/>
      <c r="Y19" s="3264"/>
      <c r="Z19" s="1809" t="str">
        <f>Q19</f>
        <v>公共配套设施</v>
      </c>
      <c r="AA19" s="1806">
        <f t="shared" si="3"/>
        <v>1</v>
      </c>
      <c r="AB19" s="1806">
        <f t="shared" si="4"/>
        <v>1</v>
      </c>
      <c r="AC19" s="1806">
        <f t="shared" si="5"/>
        <v>1</v>
      </c>
    </row>
    <row r="20" spans="1:29" ht="15">
      <c r="A20" s="427"/>
      <c r="B20" s="455"/>
      <c r="C20" s="446" t="s">
        <v>3058</v>
      </c>
      <c r="D20" s="447"/>
      <c r="E20" s="2602" t="s">
        <v>3058</v>
      </c>
      <c r="F20" s="447"/>
      <c r="G20" s="2602" t="s">
        <v>3058</v>
      </c>
      <c r="H20" s="447"/>
      <c r="I20" s="2602" t="s">
        <v>3058</v>
      </c>
      <c r="J20" s="447"/>
      <c r="K20" s="2604"/>
      <c r="L20" s="1135"/>
      <c r="M20" s="1126"/>
      <c r="N20" s="1126"/>
      <c r="O20" s="1126"/>
      <c r="P20" s="3281"/>
      <c r="Q20" s="1805"/>
      <c r="R20" s="773"/>
      <c r="S20" s="774"/>
      <c r="T20" s="773"/>
      <c r="U20" s="774"/>
      <c r="V20" s="773"/>
      <c r="W20" s="774"/>
      <c r="X20" s="1808"/>
      <c r="Y20" s="3264"/>
      <c r="Z20" s="1809"/>
      <c r="AA20" s="1806">
        <v>1</v>
      </c>
      <c r="AB20" s="1806">
        <v>1</v>
      </c>
      <c r="AC20" s="1806">
        <v>1</v>
      </c>
    </row>
    <row r="21" spans="1:29" ht="28.5">
      <c r="A21" s="427"/>
      <c r="B21" s="1379" t="s">
        <v>2098</v>
      </c>
      <c r="C21" s="2605"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35"/>
      <c r="M21" s="1126"/>
      <c r="N21" s="1126"/>
      <c r="O21" s="1126"/>
      <c r="P21" s="3281"/>
      <c r="Q21" s="1805" t="str">
        <f>B21</f>
        <v>基础设施水平</v>
      </c>
      <c r="R21" s="773" t="s">
        <v>17</v>
      </c>
      <c r="S21" s="774">
        <f>F21</f>
        <v>100</v>
      </c>
      <c r="T21" s="773" t="s">
        <v>17</v>
      </c>
      <c r="U21" s="774">
        <f>H21</f>
        <v>100</v>
      </c>
      <c r="V21" s="773" t="s">
        <v>17</v>
      </c>
      <c r="W21" s="774">
        <f>J21</f>
        <v>100</v>
      </c>
      <c r="X21" s="1808"/>
      <c r="Y21" s="3264"/>
      <c r="Z21" s="1809" t="str">
        <f>Q21</f>
        <v>基础设施水平</v>
      </c>
      <c r="AA21" s="1806">
        <f t="shared" ref="AA21" si="8">D21/F21</f>
        <v>1</v>
      </c>
      <c r="AB21" s="1806">
        <f t="shared" ref="AB21" si="9">D21/H21</f>
        <v>1</v>
      </c>
      <c r="AC21" s="1806">
        <f t="shared" ref="AC21" si="10">D21/J21</f>
        <v>1</v>
      </c>
    </row>
    <row r="22" spans="1:29" ht="15">
      <c r="A22" s="427"/>
      <c r="B22" s="1379"/>
      <c r="C22" s="2606" t="s">
        <v>3059</v>
      </c>
      <c r="D22" s="447"/>
      <c r="E22" s="446" t="s">
        <v>3059</v>
      </c>
      <c r="F22" s="447"/>
      <c r="G22" s="446" t="s">
        <v>3059</v>
      </c>
      <c r="H22" s="447"/>
      <c r="I22" s="446" t="s">
        <v>3059</v>
      </c>
      <c r="J22" s="447"/>
      <c r="K22" s="2610"/>
      <c r="L22" s="1135"/>
      <c r="M22" s="1126"/>
      <c r="N22" s="1126"/>
      <c r="O22" s="1126"/>
      <c r="P22" s="3281"/>
      <c r="Q22" s="1805"/>
      <c r="R22" s="773"/>
      <c r="S22" s="774"/>
      <c r="T22" s="773"/>
      <c r="U22" s="774"/>
      <c r="V22" s="773"/>
      <c r="W22" s="774"/>
      <c r="X22" s="1808"/>
      <c r="Y22" s="3264"/>
      <c r="Z22" s="1809"/>
      <c r="AA22" s="1806">
        <v>1</v>
      </c>
      <c r="AB22" s="1806">
        <v>1</v>
      </c>
      <c r="AC22" s="1806">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3"/>
      <c r="H23" s="449">
        <f>SUMIF(84:84,G24,85:85)-SUMIF(84:84,C24,85:85)+100</f>
        <v>95</v>
      </c>
      <c r="I23" s="453"/>
      <c r="J23" s="449">
        <f>SUMIF(84:84,I24,85:85)-SUMIF(84:84,C24,85:85)+100</f>
        <v>100</v>
      </c>
      <c r="K23" s="444">
        <v>5</v>
      </c>
      <c r="L23" s="1135"/>
      <c r="M23" s="1126"/>
      <c r="N23" s="1126"/>
      <c r="O23" s="1126"/>
      <c r="P23" s="3281"/>
      <c r="Q23" s="1805" t="str">
        <f>B23</f>
        <v>自然及人文环境</v>
      </c>
      <c r="R23" s="773" t="s">
        <v>21</v>
      </c>
      <c r="S23" s="774">
        <f>F23</f>
        <v>100</v>
      </c>
      <c r="T23" s="773" t="s">
        <v>21</v>
      </c>
      <c r="U23" s="774">
        <f>H23</f>
        <v>95</v>
      </c>
      <c r="V23" s="773" t="s">
        <v>21</v>
      </c>
      <c r="W23" s="774">
        <f>J23</f>
        <v>100</v>
      </c>
      <c r="X23" s="1808"/>
      <c r="Y23" s="3264"/>
      <c r="Z23" s="1809" t="str">
        <f>Q23</f>
        <v>自然及人文环境</v>
      </c>
      <c r="AA23" s="1806">
        <f>D23/F23</f>
        <v>1</v>
      </c>
      <c r="AB23" s="1806">
        <f>D23/H23</f>
        <v>1.0526315789473684</v>
      </c>
      <c r="AC23" s="1806">
        <f>D23/J23</f>
        <v>1</v>
      </c>
    </row>
    <row r="24" spans="1:29" ht="15">
      <c r="A24" s="427"/>
      <c r="B24" s="455"/>
      <c r="C24" s="446" t="s">
        <v>3060</v>
      </c>
      <c r="D24" s="447"/>
      <c r="E24" s="2602" t="s">
        <v>3060</v>
      </c>
      <c r="F24" s="447"/>
      <c r="G24" s="2602" t="s">
        <v>3058</v>
      </c>
      <c r="H24" s="447"/>
      <c r="I24" s="2602" t="s">
        <v>3060</v>
      </c>
      <c r="J24" s="447"/>
      <c r="K24" s="2604"/>
      <c r="L24" s="1135"/>
      <c r="M24" s="1126"/>
      <c r="N24" s="1126"/>
      <c r="O24" s="1126"/>
      <c r="P24" s="3281"/>
      <c r="Q24" s="1805"/>
      <c r="R24" s="773"/>
      <c r="S24" s="774"/>
      <c r="T24" s="773"/>
      <c r="U24" s="774"/>
      <c r="V24" s="773"/>
      <c r="W24" s="774"/>
      <c r="X24" s="1808"/>
      <c r="Y24" s="3264"/>
      <c r="Z24" s="1809"/>
      <c r="AA24" s="1806">
        <v>1</v>
      </c>
      <c r="AB24" s="1806">
        <v>1</v>
      </c>
      <c r="AC24" s="1806">
        <v>1</v>
      </c>
    </row>
    <row r="25" spans="1:29" ht="15">
      <c r="A25" s="427"/>
      <c r="B25" s="421" t="s">
        <v>2556</v>
      </c>
      <c r="C25" s="459"/>
      <c r="D25" s="434">
        <v>100</v>
      </c>
      <c r="E25" s="2611"/>
      <c r="F25" s="434">
        <f>SUMIF(86:86,E25,87:87)-SUMIF(86:86,C25,87:87)+100</f>
        <v>100</v>
      </c>
      <c r="G25" s="2612"/>
      <c r="H25" s="434">
        <f>SUMIF(86:86,G25,87:87)-SUMIF(86:86,C25,87:87)+100</f>
        <v>100</v>
      </c>
      <c r="I25" s="2612"/>
      <c r="J25" s="434">
        <f>SUMIF(86:86,I25,87:87)-SUMIF(86:86,C25,87:87)+100</f>
        <v>100</v>
      </c>
      <c r="K25" s="425"/>
      <c r="L25" s="1135"/>
      <c r="M25" s="1126"/>
      <c r="N25" s="1126"/>
      <c r="O25" s="1126"/>
      <c r="P25" s="3281"/>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64"/>
      <c r="Z25" s="1809" t="str">
        <f>Q25</f>
        <v>楼层-1</v>
      </c>
      <c r="AA25" s="1806">
        <f t="shared" ref="AA25:AA46" si="15">D25/F25</f>
        <v>1</v>
      </c>
      <c r="AB25" s="1806">
        <f t="shared" ref="AB25:AB46" si="16">D25/H25</f>
        <v>1</v>
      </c>
      <c r="AC25" s="1806">
        <f t="shared" ref="AC25:AC46" si="17">D25/J25</f>
        <v>1</v>
      </c>
    </row>
    <row r="26" spans="1:29" ht="15">
      <c r="A26" s="427"/>
      <c r="B26" s="421" t="s">
        <v>2557</v>
      </c>
      <c r="C26" s="459"/>
      <c r="D26" s="434">
        <v>100</v>
      </c>
      <c r="E26" s="2611"/>
      <c r="F26" s="434">
        <f>SUMIF(88:88,E26,89:89)-SUMIF(88:88,C26,89:89)+100</f>
        <v>100</v>
      </c>
      <c r="G26" s="2612"/>
      <c r="H26" s="434">
        <f>SUMIF(88:88,G26,89:89)-SUMIF(88:88,C26,89:89)+100</f>
        <v>100</v>
      </c>
      <c r="I26" s="2612"/>
      <c r="J26" s="434">
        <f>SUMIF(88:88,I26,89:89)-SUMIF(88:88,C26,89:89)+100</f>
        <v>100</v>
      </c>
      <c r="K26" s="425"/>
      <c r="L26" s="1135"/>
      <c r="M26" s="1126"/>
      <c r="N26" s="1126"/>
      <c r="O26" s="1126"/>
      <c r="P26" s="3281"/>
      <c r="Q26" s="1805" t="str">
        <f t="shared" si="11"/>
        <v>朝向</v>
      </c>
      <c r="R26" s="773" t="s">
        <v>21</v>
      </c>
      <c r="S26" s="774">
        <f t="shared" si="12"/>
        <v>100</v>
      </c>
      <c r="T26" s="773" t="s">
        <v>21</v>
      </c>
      <c r="U26" s="774">
        <f t="shared" si="13"/>
        <v>100</v>
      </c>
      <c r="V26" s="773" t="s">
        <v>21</v>
      </c>
      <c r="W26" s="774">
        <f t="shared" si="14"/>
        <v>100</v>
      </c>
      <c r="X26" s="1808"/>
      <c r="Y26" s="3264"/>
      <c r="Z26" s="1809" t="str">
        <f>Q26</f>
        <v>朝向</v>
      </c>
      <c r="AA26" s="1806">
        <f t="shared" si="15"/>
        <v>1</v>
      </c>
      <c r="AB26" s="1806">
        <f t="shared" si="16"/>
        <v>1</v>
      </c>
      <c r="AC26" s="1806">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9"/>
      <c r="L27" s="1127"/>
      <c r="M27" s="1128"/>
      <c r="N27" s="1128"/>
      <c r="O27" s="1128"/>
      <c r="P27" s="3281"/>
      <c r="Q27" s="1790">
        <f t="shared" si="11"/>
        <v>111</v>
      </c>
      <c r="R27" s="769" t="s">
        <v>21</v>
      </c>
      <c r="S27" s="770">
        <f t="shared" si="12"/>
        <v>100</v>
      </c>
      <c r="T27" s="769" t="s">
        <v>21</v>
      </c>
      <c r="U27" s="770">
        <f t="shared" si="13"/>
        <v>100</v>
      </c>
      <c r="V27" s="769" t="s">
        <v>21</v>
      </c>
      <c r="W27" s="770">
        <f t="shared" si="14"/>
        <v>100</v>
      </c>
      <c r="X27" s="771"/>
      <c r="Y27" s="3264"/>
      <c r="Z27" s="55">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13"/>
      <c r="H28" s="434">
        <f>SUMIF(92:92,G28,93:93)-SUMIF(92:92,C28,93:93)+100</f>
        <v>100</v>
      </c>
      <c r="I28" s="433"/>
      <c r="J28" s="434">
        <f>SUMIF(92:92,I28,93:93)-SUMIF(92:92,C28,93:93)+100</f>
        <v>100</v>
      </c>
      <c r="K28" s="2599"/>
      <c r="L28" s="1135"/>
      <c r="M28" s="1126"/>
      <c r="N28" s="1126"/>
      <c r="O28" s="1126"/>
      <c r="P28" s="3281"/>
      <c r="Q28" s="1805">
        <f t="shared" si="11"/>
        <v>111</v>
      </c>
      <c r="R28" s="773" t="s">
        <v>21</v>
      </c>
      <c r="S28" s="774">
        <f t="shared" si="12"/>
        <v>100</v>
      </c>
      <c r="T28" s="773" t="s">
        <v>21</v>
      </c>
      <c r="U28" s="774">
        <f t="shared" si="13"/>
        <v>100</v>
      </c>
      <c r="V28" s="773" t="s">
        <v>21</v>
      </c>
      <c r="W28" s="774">
        <f t="shared" si="14"/>
        <v>100</v>
      </c>
      <c r="X28" s="1808"/>
      <c r="Y28" s="3264"/>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13"/>
      <c r="H29" s="434">
        <f>SUMIF(94:94,G29,95:95)-SUMIF(94:94,C29,95:95)+100</f>
        <v>100</v>
      </c>
      <c r="I29" s="433"/>
      <c r="J29" s="434">
        <f>SUMIF(94:94,I29,95:95)-SUMIF(94:94,C29,95:95)+100</f>
        <v>100</v>
      </c>
      <c r="K29" s="2599"/>
      <c r="L29" s="1135"/>
      <c r="M29" s="1126"/>
      <c r="N29" s="1126"/>
      <c r="O29" s="1126"/>
      <c r="P29" s="3281"/>
      <c r="Q29" s="1805">
        <f t="shared" si="11"/>
        <v>111</v>
      </c>
      <c r="R29" s="773" t="s">
        <v>21</v>
      </c>
      <c r="S29" s="774">
        <f t="shared" si="12"/>
        <v>100</v>
      </c>
      <c r="T29" s="773" t="s">
        <v>21</v>
      </c>
      <c r="U29" s="774">
        <f t="shared" si="13"/>
        <v>100</v>
      </c>
      <c r="V29" s="773" t="s">
        <v>21</v>
      </c>
      <c r="W29" s="774">
        <f t="shared" si="14"/>
        <v>100</v>
      </c>
      <c r="X29" s="1808"/>
      <c r="Y29" s="3264"/>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13"/>
      <c r="H30" s="434">
        <f>SUMIF(96:96,G30,97:97)-SUMIF(96:96,C30,97:97)+100</f>
        <v>100</v>
      </c>
      <c r="I30" s="433"/>
      <c r="J30" s="434">
        <f>SUMIF(96:96,I30,97:97)-SUMIF(96:96,C30,97:97)+100</f>
        <v>100</v>
      </c>
      <c r="K30" s="2599"/>
      <c r="L30" s="1135"/>
      <c r="M30" s="1126"/>
      <c r="N30" s="1126"/>
      <c r="O30" s="1126"/>
      <c r="P30" s="3281"/>
      <c r="Q30" s="1805">
        <f t="shared" si="11"/>
        <v>111</v>
      </c>
      <c r="R30" s="773" t="s">
        <v>21</v>
      </c>
      <c r="S30" s="774">
        <f t="shared" si="12"/>
        <v>100</v>
      </c>
      <c r="T30" s="773" t="s">
        <v>21</v>
      </c>
      <c r="U30" s="774">
        <f t="shared" si="13"/>
        <v>100</v>
      </c>
      <c r="V30" s="773" t="s">
        <v>21</v>
      </c>
      <c r="W30" s="774">
        <f t="shared" si="14"/>
        <v>100</v>
      </c>
      <c r="X30" s="1808"/>
      <c r="Y30" s="3264"/>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14"/>
      <c r="H31" s="437">
        <f>SUMIF(98:98,G31,99:99)-SUMIF(98:98,C31,99:99)+100</f>
        <v>100</v>
      </c>
      <c r="I31" s="436"/>
      <c r="J31" s="437">
        <f>SUMIF(98:98,I31,99:99)-SUMIF(98:98,C31,99:99)+100</f>
        <v>100</v>
      </c>
      <c r="K31" s="2599"/>
      <c r="L31" s="1135"/>
      <c r="M31" s="1126"/>
      <c r="N31" s="1126"/>
      <c r="O31" s="1126"/>
      <c r="P31" s="3281"/>
      <c r="Q31" s="1805">
        <f t="shared" si="11"/>
        <v>111</v>
      </c>
      <c r="R31" s="773" t="s">
        <v>21</v>
      </c>
      <c r="S31" s="774">
        <f t="shared" si="12"/>
        <v>100</v>
      </c>
      <c r="T31" s="773" t="s">
        <v>21</v>
      </c>
      <c r="U31" s="774">
        <f t="shared" si="13"/>
        <v>100</v>
      </c>
      <c r="V31" s="773" t="s">
        <v>21</v>
      </c>
      <c r="W31" s="774">
        <f t="shared" si="14"/>
        <v>100</v>
      </c>
      <c r="X31" s="1808"/>
      <c r="Y31" s="3264"/>
      <c r="Z31" s="1809">
        <f t="shared" si="18"/>
        <v>111</v>
      </c>
      <c r="AA31" s="1806">
        <f t="shared" si="15"/>
        <v>1</v>
      </c>
      <c r="AB31" s="1806">
        <f t="shared" si="16"/>
        <v>1</v>
      </c>
      <c r="AC31" s="1806">
        <f t="shared" si="17"/>
        <v>1</v>
      </c>
    </row>
    <row r="32" spans="1:29" ht="15">
      <c r="A32" s="439" t="s">
        <v>2558</v>
      </c>
      <c r="B32" s="71" t="s">
        <v>2559</v>
      </c>
      <c r="C32" s="2615" t="s">
        <v>3061</v>
      </c>
      <c r="D32" s="466">
        <v>100</v>
      </c>
      <c r="E32" s="2615" t="s">
        <v>3061</v>
      </c>
      <c r="F32" s="460">
        <f>SUMIF(100:100,E32,101:101)-SUMIF(100:100,C32,101:101)+100</f>
        <v>100</v>
      </c>
      <c r="G32" s="2615" t="s">
        <v>3063</v>
      </c>
      <c r="H32" s="466">
        <f>SUMIF(100:100,G32,101:101)-SUMIF(100:100,C32,101:101)+100</f>
        <v>90</v>
      </c>
      <c r="I32" s="2615" t="s">
        <v>3063</v>
      </c>
      <c r="J32" s="434">
        <f>SUMIF(100:100,I32,101:101)-SUMIF(100:100,C32,101:101)+100</f>
        <v>90</v>
      </c>
      <c r="K32" s="425">
        <v>10</v>
      </c>
      <c r="L32" s="1135"/>
      <c r="M32" s="1126"/>
      <c r="N32" s="1126"/>
      <c r="O32" s="1126"/>
      <c r="P32" s="3276" t="s">
        <v>2560</v>
      </c>
      <c r="Q32" s="1805" t="str">
        <f t="shared" si="11"/>
        <v>建筑类型</v>
      </c>
      <c r="R32" s="773" t="s">
        <v>21</v>
      </c>
      <c r="S32" s="774">
        <f t="shared" si="12"/>
        <v>100</v>
      </c>
      <c r="T32" s="773" t="s">
        <v>21</v>
      </c>
      <c r="U32" s="774">
        <f t="shared" si="13"/>
        <v>90</v>
      </c>
      <c r="V32" s="773" t="s">
        <v>21</v>
      </c>
      <c r="W32" s="774">
        <f t="shared" si="14"/>
        <v>90</v>
      </c>
      <c r="X32" s="1808"/>
      <c r="Y32" s="3266" t="s">
        <v>2560</v>
      </c>
      <c r="Z32" s="1809" t="str">
        <f t="shared" si="18"/>
        <v>建筑类型</v>
      </c>
      <c r="AA32" s="1806">
        <f t="shared" si="15"/>
        <v>1</v>
      </c>
      <c r="AB32" s="1806">
        <f t="shared" si="16"/>
        <v>1.1111111111111112</v>
      </c>
      <c r="AC32" s="1806">
        <f t="shared" si="17"/>
        <v>1.1111111111111112</v>
      </c>
    </row>
    <row r="33" spans="1:29" s="470" customFormat="1" ht="15">
      <c r="A33" s="467"/>
      <c r="B33" s="421" t="s">
        <v>2561</v>
      </c>
      <c r="C33" s="468"/>
      <c r="D33" s="135">
        <v>100</v>
      </c>
      <c r="E33" s="468"/>
      <c r="F33" s="424">
        <f>LOOKUP(E33,103:103,104:104)-LOOKUP(C33,103:103,104:104)+100</f>
        <v>100</v>
      </c>
      <c r="G33" s="468"/>
      <c r="H33" s="135">
        <f>LOOKUP(G33,103:103,104:104)-LOOKUP(C33,103:103,104:104)+100</f>
        <v>100</v>
      </c>
      <c r="I33" s="468"/>
      <c r="J33" s="135">
        <f>LOOKUP(I33,103:103,104:104)-LOOKUP(C33,103:103,104:104)+100</f>
        <v>100</v>
      </c>
      <c r="K33" s="2599"/>
      <c r="L33" s="1133"/>
      <c r="M33" s="1136"/>
      <c r="N33" s="1136"/>
      <c r="O33" s="1136"/>
      <c r="P33" s="3277"/>
      <c r="Q33" s="775" t="str">
        <f t="shared" si="11"/>
        <v>项目建筑规模</v>
      </c>
      <c r="R33" s="776" t="s">
        <v>21</v>
      </c>
      <c r="S33" s="777">
        <f t="shared" si="12"/>
        <v>100</v>
      </c>
      <c r="T33" s="776" t="s">
        <v>21</v>
      </c>
      <c r="U33" s="777">
        <f t="shared" si="13"/>
        <v>100</v>
      </c>
      <c r="V33" s="776" t="s">
        <v>21</v>
      </c>
      <c r="W33" s="777">
        <f t="shared" si="14"/>
        <v>100</v>
      </c>
      <c r="X33" s="778"/>
      <c r="Y33" s="3266"/>
      <c r="Z33" s="779" t="str">
        <f t="shared" si="18"/>
        <v>项目建筑规模</v>
      </c>
      <c r="AA33" s="1806">
        <f t="shared" si="15"/>
        <v>1</v>
      </c>
      <c r="AB33" s="1806">
        <f t="shared" si="16"/>
        <v>1</v>
      </c>
      <c r="AC33" s="1806">
        <f t="shared" si="17"/>
        <v>1</v>
      </c>
    </row>
    <row r="34" spans="1:29" ht="15">
      <c r="A34" s="471"/>
      <c r="B34" s="421" t="s">
        <v>2562</v>
      </c>
      <c r="C34" s="2616" t="s">
        <v>3065</v>
      </c>
      <c r="D34" s="434">
        <v>100</v>
      </c>
      <c r="E34" s="2616" t="s">
        <v>3065</v>
      </c>
      <c r="F34" s="460">
        <f>SUMIF(105:105,E34,106:106)-SUMIF(105:105,C34,106:106)+100</f>
        <v>100</v>
      </c>
      <c r="G34" s="2616" t="s">
        <v>3065</v>
      </c>
      <c r="H34" s="434">
        <f>SUMIF(105:105,G34,106:106)-SUMIF(105:105,C34,106:106)+100</f>
        <v>100</v>
      </c>
      <c r="I34" s="2616" t="s">
        <v>3065</v>
      </c>
      <c r="J34" s="434">
        <f>SUMIF(105:105,I34,106:106)-SUMIF(105:105,C34,106:106)+100</f>
        <v>100</v>
      </c>
      <c r="K34" s="425">
        <v>5</v>
      </c>
      <c r="L34" s="1135"/>
      <c r="M34" s="1126"/>
      <c r="N34" s="1126"/>
      <c r="O34" s="1126"/>
      <c r="P34" s="3277"/>
      <c r="Q34" s="1805" t="str">
        <f t="shared" si="11"/>
        <v>建筑结构</v>
      </c>
      <c r="R34" s="773" t="s">
        <v>21</v>
      </c>
      <c r="S34" s="774">
        <f t="shared" si="12"/>
        <v>100</v>
      </c>
      <c r="T34" s="773" t="s">
        <v>21</v>
      </c>
      <c r="U34" s="774">
        <f t="shared" si="13"/>
        <v>100</v>
      </c>
      <c r="V34" s="773" t="s">
        <v>21</v>
      </c>
      <c r="W34" s="774">
        <f t="shared" si="14"/>
        <v>100</v>
      </c>
      <c r="X34" s="1808"/>
      <c r="Y34" s="3266"/>
      <c r="Z34" s="1809" t="str">
        <f t="shared" si="18"/>
        <v>建筑结构</v>
      </c>
      <c r="AA34" s="1806">
        <f t="shared" si="15"/>
        <v>1</v>
      </c>
      <c r="AB34" s="1806">
        <f t="shared" si="16"/>
        <v>1</v>
      </c>
      <c r="AC34" s="1806">
        <f t="shared" si="17"/>
        <v>1</v>
      </c>
    </row>
    <row r="35" spans="1:29" ht="15">
      <c r="A35" s="471"/>
      <c r="B35" s="421" t="s">
        <v>2563</v>
      </c>
      <c r="C35" s="2611" t="s">
        <v>3067</v>
      </c>
      <c r="D35" s="434">
        <v>100</v>
      </c>
      <c r="E35" s="2611" t="s">
        <v>3067</v>
      </c>
      <c r="F35" s="460">
        <f>SUMIF(107:107,E35,108:108)-SUMIF(107:107,C35,108:108)+100</f>
        <v>100</v>
      </c>
      <c r="G35" s="2611" t="s">
        <v>3067</v>
      </c>
      <c r="H35" s="434">
        <f>SUMIF(107:107,G35,108:108)-SUMIF(107:107,C35,108:108)+100</f>
        <v>100</v>
      </c>
      <c r="I35" s="2611" t="s">
        <v>3067</v>
      </c>
      <c r="J35" s="434">
        <f>SUMIF(107:107,I35,108:108)-SUMIF(107:107,C35,108:108)+100</f>
        <v>100</v>
      </c>
      <c r="K35" s="425">
        <v>5</v>
      </c>
      <c r="L35" s="1135"/>
      <c r="M35" s="1126"/>
      <c r="N35" s="1126"/>
      <c r="O35" s="1126"/>
      <c r="P35" s="3277"/>
      <c r="Q35" s="1805" t="str">
        <f t="shared" si="11"/>
        <v>建筑品质</v>
      </c>
      <c r="R35" s="773" t="s">
        <v>21</v>
      </c>
      <c r="S35" s="774">
        <f t="shared" si="12"/>
        <v>100</v>
      </c>
      <c r="T35" s="773" t="s">
        <v>21</v>
      </c>
      <c r="U35" s="774">
        <f t="shared" si="13"/>
        <v>100</v>
      </c>
      <c r="V35" s="773" t="s">
        <v>21</v>
      </c>
      <c r="W35" s="774">
        <f t="shared" si="14"/>
        <v>100</v>
      </c>
      <c r="X35" s="1808"/>
      <c r="Y35" s="3266"/>
      <c r="Z35" s="1809" t="str">
        <f t="shared" si="18"/>
        <v>建筑品质</v>
      </c>
      <c r="AA35" s="1806">
        <f t="shared" si="15"/>
        <v>1</v>
      </c>
      <c r="AB35" s="1806">
        <f t="shared" si="16"/>
        <v>1</v>
      </c>
      <c r="AC35" s="1806">
        <f t="shared" si="17"/>
        <v>1</v>
      </c>
    </row>
    <row r="36" spans="1:29" ht="15">
      <c r="A36" s="471"/>
      <c r="B36" s="421" t="s">
        <v>2564</v>
      </c>
      <c r="C36" s="2611" t="s">
        <v>3069</v>
      </c>
      <c r="D36" s="434">
        <v>100</v>
      </c>
      <c r="E36" s="2611" t="s">
        <v>3069</v>
      </c>
      <c r="F36" s="460">
        <f>SUMIF(109:109,E36,110:110)-SUMIF(109:109,C36,110:110)+100</f>
        <v>100</v>
      </c>
      <c r="G36" s="2611" t="s">
        <v>3069</v>
      </c>
      <c r="H36" s="434">
        <f>SUMIF(109:109,G36,110:110)-SUMIF(109:109,C36,110:110)+100</f>
        <v>100</v>
      </c>
      <c r="I36" s="2611" t="s">
        <v>3069</v>
      </c>
      <c r="J36" s="434">
        <f>SUMIF(109:109,I36,110:110)-SUMIF(109:109,C36,110:110)+100</f>
        <v>100</v>
      </c>
      <c r="K36" s="425">
        <v>2</v>
      </c>
      <c r="L36" s="1135"/>
      <c r="M36" s="1126"/>
      <c r="N36" s="1126"/>
      <c r="O36" s="1126"/>
      <c r="P36" s="3277"/>
      <c r="Q36" s="1805" t="str">
        <f t="shared" si="11"/>
        <v>公共部分装修</v>
      </c>
      <c r="R36" s="773" t="s">
        <v>21</v>
      </c>
      <c r="S36" s="774">
        <f t="shared" si="12"/>
        <v>100</v>
      </c>
      <c r="T36" s="773" t="s">
        <v>21</v>
      </c>
      <c r="U36" s="774">
        <f t="shared" si="13"/>
        <v>100</v>
      </c>
      <c r="V36" s="773" t="s">
        <v>21</v>
      </c>
      <c r="W36" s="774">
        <f t="shared" si="14"/>
        <v>100</v>
      </c>
      <c r="X36" s="1808"/>
      <c r="Y36" s="3266"/>
      <c r="Z36" s="1809" t="str">
        <f t="shared" si="18"/>
        <v>公共部分装修</v>
      </c>
      <c r="AA36" s="1806">
        <f t="shared" si="15"/>
        <v>1</v>
      </c>
      <c r="AB36" s="1806">
        <f t="shared" si="16"/>
        <v>1</v>
      </c>
      <c r="AC36" s="1806">
        <f t="shared" si="17"/>
        <v>1</v>
      </c>
    </row>
    <row r="37" spans="1:29" s="116" customFormat="1" ht="15">
      <c r="A37" s="472"/>
      <c r="B37" s="421" t="s">
        <v>2565</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7"/>
      <c r="M37" s="1128"/>
      <c r="N37" s="1128"/>
      <c r="O37" s="1128"/>
      <c r="P37" s="3277"/>
      <c r="Q37" s="1790" t="str">
        <f t="shared" si="11"/>
        <v>成新度</v>
      </c>
      <c r="R37" s="769" t="s">
        <v>21</v>
      </c>
      <c r="S37" s="770">
        <f t="shared" si="12"/>
        <v>100</v>
      </c>
      <c r="T37" s="769" t="s">
        <v>21</v>
      </c>
      <c r="U37" s="770">
        <f t="shared" si="13"/>
        <v>100</v>
      </c>
      <c r="V37" s="769" t="s">
        <v>21</v>
      </c>
      <c r="W37" s="770">
        <f t="shared" si="14"/>
        <v>100</v>
      </c>
      <c r="X37" s="771"/>
      <c r="Y37" s="3266"/>
      <c r="Z37" s="55" t="str">
        <f t="shared" si="18"/>
        <v>成新度</v>
      </c>
      <c r="AA37" s="772">
        <f t="shared" si="15"/>
        <v>1</v>
      </c>
      <c r="AB37" s="772">
        <f t="shared" si="16"/>
        <v>1</v>
      </c>
      <c r="AC37" s="772">
        <f t="shared" si="17"/>
        <v>1</v>
      </c>
    </row>
    <row r="38" spans="1:29" ht="15">
      <c r="A38" s="471"/>
      <c r="B38" s="421" t="s">
        <v>2566</v>
      </c>
      <c r="C38" s="2611" t="s">
        <v>3071</v>
      </c>
      <c r="D38" s="434">
        <v>100</v>
      </c>
      <c r="E38" s="2611" t="s">
        <v>3073</v>
      </c>
      <c r="F38" s="460">
        <f>SUMIF(114:114,E38,115:115)-SUMIF(114:114,C38,115:115)+100</f>
        <v>95</v>
      </c>
      <c r="G38" s="2611" t="s">
        <v>3071</v>
      </c>
      <c r="H38" s="434">
        <f>SUMIF(114:114,G38,115:115)-SUMIF(114:114,C38,115:115)+100</f>
        <v>100</v>
      </c>
      <c r="I38" s="2611" t="s">
        <v>3073</v>
      </c>
      <c r="J38" s="434">
        <f>SUMIF(114:114,I38,115:115)-SUMIF(114:114,C38,115:115)+100</f>
        <v>95</v>
      </c>
      <c r="K38" s="425">
        <v>5</v>
      </c>
      <c r="L38" s="1135"/>
      <c r="M38" s="1126"/>
      <c r="N38" s="1126"/>
      <c r="O38" s="1126"/>
      <c r="P38" s="3277" t="s">
        <v>2560</v>
      </c>
      <c r="Q38" s="1805" t="str">
        <f t="shared" si="11"/>
        <v>物业管理</v>
      </c>
      <c r="R38" s="773" t="s">
        <v>21</v>
      </c>
      <c r="S38" s="774">
        <f t="shared" si="12"/>
        <v>95</v>
      </c>
      <c r="T38" s="773" t="s">
        <v>21</v>
      </c>
      <c r="U38" s="774">
        <f t="shared" si="13"/>
        <v>100</v>
      </c>
      <c r="V38" s="773" t="s">
        <v>21</v>
      </c>
      <c r="W38" s="774">
        <f t="shared" si="14"/>
        <v>95</v>
      </c>
      <c r="X38" s="1808"/>
      <c r="Y38" s="3266" t="s">
        <v>2560</v>
      </c>
      <c r="Z38" s="1809" t="str">
        <f t="shared" si="18"/>
        <v>物业管理</v>
      </c>
      <c r="AA38" s="1806">
        <f t="shared" si="15"/>
        <v>1.0526315789473684</v>
      </c>
      <c r="AB38" s="1806">
        <f t="shared" si="16"/>
        <v>1</v>
      </c>
      <c r="AC38" s="1806">
        <f t="shared" si="17"/>
        <v>1.0526315789473684</v>
      </c>
    </row>
    <row r="39" spans="1:29" ht="15">
      <c r="A39" s="471"/>
      <c r="B39" s="421" t="s">
        <v>2567</v>
      </c>
      <c r="C39" s="2611" t="s">
        <v>3059</v>
      </c>
      <c r="D39" s="434">
        <v>100</v>
      </c>
      <c r="E39" s="2611" t="s">
        <v>3059</v>
      </c>
      <c r="F39" s="460">
        <f>SUMIF(116:116,E39,117:117)-SUMIF(116:116,C39,117:117)+100</f>
        <v>100</v>
      </c>
      <c r="G39" s="2611" t="s">
        <v>3059</v>
      </c>
      <c r="H39" s="434">
        <f>SUMIF(116:116,G39,117:117)-SUMIF(116:116,C39,117:117)+100</f>
        <v>100</v>
      </c>
      <c r="I39" s="2611" t="s">
        <v>3059</v>
      </c>
      <c r="J39" s="434">
        <f>SUMIF(116:116,I39,117:117)-SUMIF(116:116,C39,117:117)+100</f>
        <v>100</v>
      </c>
      <c r="K39" s="425">
        <v>1</v>
      </c>
      <c r="L39" s="1135"/>
      <c r="M39" s="1126"/>
      <c r="N39" s="1126"/>
      <c r="O39" s="1126"/>
      <c r="P39" s="3277"/>
      <c r="Q39" s="1805" t="str">
        <f t="shared" si="11"/>
        <v>市政基础设施</v>
      </c>
      <c r="R39" s="773" t="s">
        <v>21</v>
      </c>
      <c r="S39" s="774">
        <f t="shared" si="12"/>
        <v>100</v>
      </c>
      <c r="T39" s="773" t="s">
        <v>21</v>
      </c>
      <c r="U39" s="774">
        <f t="shared" si="13"/>
        <v>100</v>
      </c>
      <c r="V39" s="773" t="s">
        <v>21</v>
      </c>
      <c r="W39" s="774">
        <f t="shared" si="14"/>
        <v>100</v>
      </c>
      <c r="X39" s="1808"/>
      <c r="Y39" s="3266"/>
      <c r="Z39" s="1809" t="str">
        <f t="shared" si="18"/>
        <v>市政基础设施</v>
      </c>
      <c r="AA39" s="1806">
        <f t="shared" si="15"/>
        <v>1</v>
      </c>
      <c r="AB39" s="1806">
        <f t="shared" si="16"/>
        <v>1</v>
      </c>
      <c r="AC39" s="1806">
        <f t="shared" si="17"/>
        <v>1</v>
      </c>
    </row>
    <row r="40" spans="1:29" ht="15">
      <c r="A40" s="471"/>
      <c r="B40" s="421" t="s">
        <v>2568</v>
      </c>
      <c r="C40" s="2611" t="s">
        <v>3076</v>
      </c>
      <c r="D40" s="434">
        <v>100</v>
      </c>
      <c r="E40" s="2611" t="s">
        <v>3076</v>
      </c>
      <c r="F40" s="460">
        <f>SUMIF(118:118,E40,119:119)-SUMIF(118:118,C40,119:119)+100</f>
        <v>100</v>
      </c>
      <c r="G40" s="2611" t="s">
        <v>3076</v>
      </c>
      <c r="H40" s="434">
        <f>SUMIF(118:118,G40,119:119)-SUMIF(118:118,C40,119:119)+100</f>
        <v>100</v>
      </c>
      <c r="I40" s="2611" t="s">
        <v>3076</v>
      </c>
      <c r="J40" s="434">
        <f>SUMIF(118:118,I40,119:119)-SUMIF(118:118,C40,119:119)+100</f>
        <v>100</v>
      </c>
      <c r="K40" s="425">
        <v>3</v>
      </c>
      <c r="L40" s="1135"/>
      <c r="M40" s="1126"/>
      <c r="N40" s="1126"/>
      <c r="O40" s="1126"/>
      <c r="P40" s="3277"/>
      <c r="Q40" s="1805" t="str">
        <f t="shared" si="11"/>
        <v>房型</v>
      </c>
      <c r="R40" s="773" t="s">
        <v>21</v>
      </c>
      <c r="S40" s="774">
        <f t="shared" si="12"/>
        <v>100</v>
      </c>
      <c r="T40" s="773" t="s">
        <v>21</v>
      </c>
      <c r="U40" s="774">
        <f t="shared" si="13"/>
        <v>100</v>
      </c>
      <c r="V40" s="773" t="s">
        <v>21</v>
      </c>
      <c r="W40" s="774">
        <f t="shared" si="14"/>
        <v>100</v>
      </c>
      <c r="X40" s="1808"/>
      <c r="Y40" s="3266"/>
      <c r="Z40" s="1809" t="str">
        <f t="shared" si="18"/>
        <v>房型</v>
      </c>
      <c r="AA40" s="1806">
        <f t="shared" si="15"/>
        <v>1</v>
      </c>
      <c r="AB40" s="1806">
        <f t="shared" si="16"/>
        <v>1</v>
      </c>
      <c r="AC40" s="1806">
        <f t="shared" si="17"/>
        <v>1</v>
      </c>
    </row>
    <row r="41" spans="1:29" s="470" customFormat="1" ht="28.5">
      <c r="A41" s="467"/>
      <c r="B41" s="421" t="s">
        <v>2569</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9"/>
      <c r="L41" s="1133"/>
      <c r="M41" s="1136"/>
      <c r="N41" s="1136"/>
      <c r="O41" s="1136"/>
      <c r="P41" s="3277"/>
      <c r="Q41" s="775" t="str">
        <f t="shared" si="11"/>
        <v>单套/主力户型建筑面积</v>
      </c>
      <c r="R41" s="776" t="s">
        <v>21</v>
      </c>
      <c r="S41" s="777">
        <f t="shared" si="12"/>
        <v>100</v>
      </c>
      <c r="T41" s="776" t="s">
        <v>21</v>
      </c>
      <c r="U41" s="777">
        <f t="shared" si="13"/>
        <v>100</v>
      </c>
      <c r="V41" s="776" t="s">
        <v>21</v>
      </c>
      <c r="W41" s="777">
        <f t="shared" si="14"/>
        <v>100</v>
      </c>
      <c r="X41" s="778"/>
      <c r="Y41" s="3266"/>
      <c r="Z41" s="779" t="str">
        <f t="shared" si="18"/>
        <v>单套/主力户型建筑面积</v>
      </c>
      <c r="AA41" s="1806">
        <f t="shared" si="15"/>
        <v>1</v>
      </c>
      <c r="AB41" s="1806">
        <f t="shared" si="16"/>
        <v>1</v>
      </c>
      <c r="AC41" s="1806">
        <f t="shared" si="17"/>
        <v>1</v>
      </c>
    </row>
    <row r="42" spans="1:29" ht="15">
      <c r="A42" s="471"/>
      <c r="B42" s="421" t="s">
        <v>2570</v>
      </c>
      <c r="C42" s="2611" t="s">
        <v>3069</v>
      </c>
      <c r="D42" s="434">
        <v>100</v>
      </c>
      <c r="E42" s="2611" t="s">
        <v>3069</v>
      </c>
      <c r="F42" s="460">
        <f>SUMIF(122:122,E42,123:123)-SUMIF(122:122,C42,123:123)+100</f>
        <v>100</v>
      </c>
      <c r="G42" s="2611" t="s">
        <v>3078</v>
      </c>
      <c r="H42" s="434">
        <f>SUMIF(122:122,G42,123:123)-SUMIF(122:122,C42,123:123)+100</f>
        <v>94</v>
      </c>
      <c r="I42" s="2611" t="s">
        <v>3078</v>
      </c>
      <c r="J42" s="434">
        <f>SUMIF(122:122,I42,123:123)-SUMIF(122:122,C42,123:123)+100</f>
        <v>94</v>
      </c>
      <c r="K42" s="425">
        <v>2</v>
      </c>
      <c r="L42" s="1135"/>
      <c r="M42" s="1126"/>
      <c r="N42" s="1126"/>
      <c r="O42" s="1126"/>
      <c r="P42" s="3277"/>
      <c r="Q42" s="1805" t="str">
        <f t="shared" si="11"/>
        <v>内部装修</v>
      </c>
      <c r="R42" s="773" t="s">
        <v>21</v>
      </c>
      <c r="S42" s="774">
        <f t="shared" si="12"/>
        <v>100</v>
      </c>
      <c r="T42" s="773" t="s">
        <v>21</v>
      </c>
      <c r="U42" s="774">
        <f t="shared" si="13"/>
        <v>94</v>
      </c>
      <c r="V42" s="773" t="s">
        <v>21</v>
      </c>
      <c r="W42" s="774">
        <f t="shared" si="14"/>
        <v>94</v>
      </c>
      <c r="X42" s="1808"/>
      <c r="Y42" s="3266"/>
      <c r="Z42" s="1809" t="str">
        <f t="shared" si="18"/>
        <v>内部装修</v>
      </c>
      <c r="AA42" s="1806">
        <f t="shared" si="15"/>
        <v>1</v>
      </c>
      <c r="AB42" s="1806">
        <f t="shared" si="16"/>
        <v>1.0638297872340425</v>
      </c>
      <c r="AC42" s="1806">
        <f t="shared" si="17"/>
        <v>1.0638297872340425</v>
      </c>
    </row>
    <row r="43" spans="1:29" ht="15">
      <c r="A43" s="471"/>
      <c r="B43" s="421" t="s">
        <v>2571</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5"/>
      <c r="M43" s="1126"/>
      <c r="N43" s="1126"/>
      <c r="O43" s="1126"/>
      <c r="P43" s="3277"/>
      <c r="Q43" s="1805" t="str">
        <f t="shared" si="11"/>
        <v>内部装修维护情况</v>
      </c>
      <c r="R43" s="773" t="s">
        <v>21</v>
      </c>
      <c r="S43" s="774">
        <f t="shared" si="12"/>
        <v>100</v>
      </c>
      <c r="T43" s="773" t="s">
        <v>21</v>
      </c>
      <c r="U43" s="774">
        <f t="shared" si="13"/>
        <v>100</v>
      </c>
      <c r="V43" s="773" t="s">
        <v>21</v>
      </c>
      <c r="W43" s="774">
        <f t="shared" si="14"/>
        <v>100</v>
      </c>
      <c r="X43" s="1808"/>
      <c r="Y43" s="3266"/>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7"/>
      <c r="M44" s="1128"/>
      <c r="N44" s="1128"/>
      <c r="O44" s="1128"/>
      <c r="P44" s="3277"/>
      <c r="Q44" s="1790">
        <f t="shared" si="11"/>
        <v>111</v>
      </c>
      <c r="R44" s="769" t="s">
        <v>21</v>
      </c>
      <c r="S44" s="770">
        <f t="shared" si="12"/>
        <v>100</v>
      </c>
      <c r="T44" s="769" t="s">
        <v>21</v>
      </c>
      <c r="U44" s="770">
        <f t="shared" si="13"/>
        <v>100</v>
      </c>
      <c r="V44" s="769" t="s">
        <v>21</v>
      </c>
      <c r="W44" s="770">
        <f t="shared" si="14"/>
        <v>100</v>
      </c>
      <c r="X44" s="771"/>
      <c r="Y44" s="3266"/>
      <c r="Z44" s="55">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5"/>
      <c r="M45" s="1126"/>
      <c r="N45" s="1126"/>
      <c r="O45" s="1126"/>
      <c r="P45" s="3277"/>
      <c r="Q45" s="1805">
        <f t="shared" si="11"/>
        <v>111</v>
      </c>
      <c r="R45" s="773" t="s">
        <v>21</v>
      </c>
      <c r="S45" s="774">
        <f t="shared" si="12"/>
        <v>100</v>
      </c>
      <c r="T45" s="773" t="s">
        <v>21</v>
      </c>
      <c r="U45" s="774">
        <f t="shared" si="13"/>
        <v>100</v>
      </c>
      <c r="V45" s="773" t="s">
        <v>21</v>
      </c>
      <c r="W45" s="774">
        <f t="shared" si="14"/>
        <v>100</v>
      </c>
      <c r="X45" s="1808"/>
      <c r="Y45" s="3266"/>
      <c r="Z45" s="1809">
        <f t="shared" si="18"/>
        <v>111</v>
      </c>
      <c r="AA45" s="1806">
        <f t="shared" si="15"/>
        <v>1</v>
      </c>
      <c r="AB45" s="1806">
        <f t="shared" si="16"/>
        <v>1</v>
      </c>
      <c r="AC45" s="1806">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5"/>
      <c r="M46" s="1126"/>
      <c r="N46" s="1126"/>
      <c r="O46" s="1126"/>
      <c r="P46" s="3278"/>
      <c r="Q46" s="1805">
        <f t="shared" si="11"/>
        <v>111</v>
      </c>
      <c r="R46" s="773" t="s">
        <v>20</v>
      </c>
      <c r="S46" s="774">
        <f t="shared" si="12"/>
        <v>100</v>
      </c>
      <c r="T46" s="773" t="s">
        <v>20</v>
      </c>
      <c r="U46" s="774">
        <f t="shared" si="13"/>
        <v>100</v>
      </c>
      <c r="V46" s="773" t="s">
        <v>20</v>
      </c>
      <c r="W46" s="774">
        <f t="shared" si="14"/>
        <v>100</v>
      </c>
      <c r="X46" s="1808"/>
      <c r="Y46" s="3279"/>
      <c r="Z46" s="1809">
        <f t="shared" si="18"/>
        <v>111</v>
      </c>
      <c r="AA46" s="1806">
        <f t="shared" si="15"/>
        <v>1</v>
      </c>
      <c r="AB46" s="1806">
        <f t="shared" si="16"/>
        <v>1</v>
      </c>
      <c r="AC46" s="1806">
        <f t="shared" si="17"/>
        <v>1</v>
      </c>
    </row>
    <row r="47" spans="1:29" ht="15">
      <c r="A47" s="478" t="s">
        <v>2572</v>
      </c>
      <c r="B47" s="479"/>
      <c r="C47" s="1402" t="s">
        <v>19</v>
      </c>
      <c r="D47" s="1403"/>
      <c r="E47" s="1404">
        <v>13500</v>
      </c>
      <c r="F47" s="1405"/>
      <c r="G47" s="1406">
        <v>11000</v>
      </c>
      <c r="H47" s="1407"/>
      <c r="I47" s="1404">
        <v>11300</v>
      </c>
      <c r="J47" s="1407"/>
      <c r="K47" s="2617"/>
      <c r="L47" s="1138"/>
      <c r="M47" s="1139"/>
      <c r="N47" s="1126"/>
      <c r="O47" s="1139"/>
      <c r="P47" s="3248" t="str">
        <f>A47</f>
        <v>成交单价（元/平方米）</v>
      </c>
      <c r="Q47" s="3248"/>
      <c r="R47" s="3275">
        <f>E47</f>
        <v>13500</v>
      </c>
      <c r="S47" s="3275"/>
      <c r="T47" s="3275">
        <f>G47</f>
        <v>11000</v>
      </c>
      <c r="U47" s="3275"/>
      <c r="V47" s="3275">
        <f>I47</f>
        <v>11300</v>
      </c>
      <c r="W47" s="3275"/>
      <c r="X47" s="758"/>
      <c r="Y47" s="780"/>
      <c r="Z47" s="758"/>
      <c r="AA47" s="758"/>
      <c r="AB47" s="758"/>
      <c r="AC47" s="758"/>
    </row>
    <row r="48" spans="1:29" ht="15.75" thickBot="1">
      <c r="A48" s="485" t="s">
        <v>2573</v>
      </c>
      <c r="B48" s="486"/>
      <c r="C48" s="1408">
        <f>R49</f>
        <v>14127</v>
      </c>
      <c r="D48" s="1409"/>
      <c r="E48" s="1410">
        <f>R48</f>
        <v>14211</v>
      </c>
      <c r="F48" s="1410"/>
      <c r="G48" s="1408">
        <f>T48</f>
        <v>14110</v>
      </c>
      <c r="H48" s="1409"/>
      <c r="I48" s="1410">
        <f>V48</f>
        <v>14060</v>
      </c>
      <c r="J48" s="1409"/>
      <c r="K48" s="2618"/>
      <c r="L48" s="1138"/>
      <c r="M48" s="1139"/>
      <c r="N48" s="1139"/>
      <c r="O48" s="1139"/>
      <c r="P48" s="3248" t="str">
        <f>A48</f>
        <v>比较价值（元/平方米）</v>
      </c>
      <c r="Q48" s="3248"/>
      <c r="R48" s="3275">
        <f>IF(F1="售价",ROUND(PRODUCT(R47,AA7:AA46),0),ROUND(PRODUCT(R47,AA7:AA46),1))</f>
        <v>14211</v>
      </c>
      <c r="S48" s="3275"/>
      <c r="T48" s="3275">
        <f>IF(F1="售价",ROUND(PRODUCT(T47,AB7:AB46),0),ROUND(PRODUCT(T47,AB7:AB46),1))</f>
        <v>14110</v>
      </c>
      <c r="U48" s="3275"/>
      <c r="V48" s="3275">
        <f>IF(F1="售价",ROUND(PRODUCT(V47,AC7:AC46),0),ROUND(PRODUCT(V47,AC7:AC46),1))</f>
        <v>14060</v>
      </c>
      <c r="W48" s="3275"/>
      <c r="X48" s="758"/>
      <c r="Y48" s="758"/>
      <c r="Z48" s="758"/>
      <c r="AA48" s="758"/>
      <c r="AB48" s="758"/>
      <c r="AC48" s="758"/>
    </row>
    <row r="49" spans="1:29" ht="15.75" thickBot="1">
      <c r="A49" s="491" t="s">
        <v>2574</v>
      </c>
      <c r="B49" s="492"/>
      <c r="C49" s="1411">
        <f>R49</f>
        <v>14127</v>
      </c>
      <c r="D49" s="1412"/>
      <c r="E49" s="1412"/>
      <c r="F49" s="1412"/>
      <c r="G49" s="1412"/>
      <c r="H49" s="1412"/>
      <c r="I49" s="1412"/>
      <c r="J49" s="1412"/>
      <c r="K49" s="2619"/>
      <c r="L49" s="1138"/>
      <c r="M49" s="1139"/>
      <c r="N49" s="1139"/>
      <c r="O49" s="1139"/>
      <c r="P49" s="3268" t="str">
        <f>A49</f>
        <v>估价对象XX用房的比较价值（楼面单价，元/平方米）</v>
      </c>
      <c r="Q49" s="3269"/>
      <c r="R49" s="3274">
        <f>IF(F1="售价",ROUND(AVERAGE(R48:V48),0),ROUND(AVERAGE(R48:V48),1))</f>
        <v>14127</v>
      </c>
      <c r="S49" s="3274"/>
      <c r="T49" s="3274"/>
      <c r="U49" s="3274"/>
      <c r="V49" s="3274"/>
      <c r="W49" s="3274"/>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2575</v>
      </c>
      <c r="D52" s="497"/>
      <c r="E52" s="498">
        <f>IF(E47&lt;E48,E48/E47-1,E47/E48-1)</f>
        <v>5.2666666666666639E-2</v>
      </c>
      <c r="F52" s="499" t="str">
        <f>IF(OR(E52&gt;=0.3,E52&lt;=-0.3),"超过30%","")</f>
        <v/>
      </c>
      <c r="G52" s="498">
        <f>IF(G47&lt;G48,G48/G47-1,G47/G48-1)</f>
        <v>0.28272727272727272</v>
      </c>
      <c r="H52" s="499" t="str">
        <f>IF(OR(G52&gt;=0.3,G52&lt;=-0.3),"超过30%","")</f>
        <v/>
      </c>
      <c r="I52" s="498">
        <f>IF(I47&lt;I48,I48/I47-1,I47/I48-1)</f>
        <v>0.24424778761061949</v>
      </c>
      <c r="J52" s="499" t="str">
        <f>IF(OR(I52&gt;=0.3,I52&lt;=-0.3),"超过30%","")</f>
        <v/>
      </c>
      <c r="K52" s="1100"/>
      <c r="L52" s="1101"/>
      <c r="M52" s="1139"/>
      <c r="N52" s="1139"/>
      <c r="O52" s="1139"/>
    </row>
    <row r="53" spans="1:29" ht="13.5" customHeight="1">
      <c r="A53" s="1139"/>
      <c r="B53" s="1139"/>
      <c r="C53" s="496" t="s">
        <v>2576</v>
      </c>
      <c r="D53" s="500"/>
      <c r="E53" s="498">
        <f>IF(E48&lt;G48,G48/E48-1,E48/G48-1)</f>
        <v>7.1580439404677065E-3</v>
      </c>
      <c r="F53" s="499" t="str">
        <f>IF(OR(E53&gt;=0.2,E53&lt;=-0.2),"超过20%","")</f>
        <v/>
      </c>
      <c r="G53" s="498">
        <f>IF(G48&lt;I48,I48/G48-1,G48/I48-1)</f>
        <v>3.5561877667140696E-3</v>
      </c>
      <c r="H53" s="499" t="str">
        <f>IF(OR(G53&gt;=0.2,G53&lt;=-0.2),"超过20%","")</f>
        <v/>
      </c>
      <c r="I53" s="498">
        <f>IF(I48&lt;E48,E48/I48-1,I48/E48-1)</f>
        <v>1.0739687055476566E-2</v>
      </c>
      <c r="J53" s="499" t="str">
        <f>IF(OR(I53&gt;=0.2,I53&lt;=-0.2),"超过20%","")</f>
        <v/>
      </c>
      <c r="K53" s="1100"/>
      <c r="L53" s="1101"/>
      <c r="M53" s="1139"/>
      <c r="N53" s="1139"/>
      <c r="O53" s="1139"/>
    </row>
    <row r="54" spans="1:29" s="501" customFormat="1" ht="13.5" customHeight="1">
      <c r="A54" s="1140"/>
      <c r="B54" s="1140"/>
      <c r="C54" s="496" t="s">
        <v>2577</v>
      </c>
      <c r="D54" s="500"/>
      <c r="E54" s="498">
        <f>IF(E47&lt;G47,G47/E47-1,E47/G47-1)</f>
        <v>0.22727272727272729</v>
      </c>
      <c r="F54" s="499" t="str">
        <f>IF(OR(E54&gt;=0.3,E54&lt;=-0.3),"超过30%","")</f>
        <v/>
      </c>
      <c r="G54" s="498">
        <f>IF(G47&lt;I47,I47/G47-1,G47/I47-1)</f>
        <v>2.7272727272727337E-2</v>
      </c>
      <c r="H54" s="499" t="str">
        <f>IF(OR(G54&gt;=0.3,G54&lt;=-0.3),"超过30%","")</f>
        <v/>
      </c>
      <c r="I54" s="498">
        <f>IF(I47&lt;E47,E47/I47-1,I47/E47-1)</f>
        <v>0.19469026548672574</v>
      </c>
      <c r="J54" s="499" t="str">
        <f>IF(OR(I54&gt;=0.3,I54&lt;=-0.3),"超过30%","")</f>
        <v/>
      </c>
      <c r="K54" s="1143"/>
      <c r="L54" s="1144"/>
      <c r="M54" s="1140"/>
      <c r="N54" s="1140"/>
      <c r="O54" s="1140"/>
      <c r="P54" s="2621"/>
    </row>
    <row r="55" spans="1:29" s="501" customFormat="1">
      <c r="A55" s="1140"/>
      <c r="B55" s="1141"/>
      <c r="C55" s="1145"/>
      <c r="D55" s="1140"/>
      <c r="E55" s="1140"/>
      <c r="F55" s="1140"/>
      <c r="G55" s="1140"/>
      <c r="H55" s="1140"/>
      <c r="I55" s="1140"/>
      <c r="J55" s="1140"/>
      <c r="K55" s="1143"/>
      <c r="L55" s="1144"/>
      <c r="M55" s="1140"/>
      <c r="N55" s="1140"/>
      <c r="O55" s="1140"/>
      <c r="P55" s="2621"/>
    </row>
    <row r="56" spans="1:29">
      <c r="A56" s="1139"/>
      <c r="B56" s="1141"/>
      <c r="C56" s="1145"/>
      <c r="D56" s="1139"/>
      <c r="E56" s="1139"/>
      <c r="F56" s="1139"/>
      <c r="G56" s="1139"/>
      <c r="H56" s="1139"/>
      <c r="I56" s="1139"/>
      <c r="J56" s="1139"/>
      <c r="K56" s="1100"/>
      <c r="L56" s="1101"/>
      <c r="M56" s="1139"/>
      <c r="N56" s="1139"/>
      <c r="O56" s="1139"/>
    </row>
    <row r="57" spans="1:29" ht="21.75" thickBot="1">
      <c r="A57" s="762" t="s">
        <v>2578</v>
      </c>
      <c r="B57" s="758"/>
      <c r="C57" s="763"/>
      <c r="D57" s="763"/>
      <c r="E57" s="763"/>
      <c r="F57" s="764"/>
      <c r="G57" s="764"/>
      <c r="H57" s="763"/>
      <c r="I57" s="763"/>
      <c r="J57" s="763"/>
      <c r="K57" s="1155"/>
      <c r="L57" s="1156"/>
      <c r="M57" s="1154"/>
      <c r="N57" s="1154"/>
      <c r="O57" s="1154"/>
      <c r="P57" s="2622"/>
      <c r="Q57" s="503"/>
    </row>
    <row r="58" spans="1:29" s="507" customFormat="1" ht="15">
      <c r="A58" s="504" t="s">
        <v>2579</v>
      </c>
      <c r="B58" s="505"/>
      <c r="C58" s="1571" t="str">
        <f>YEAR(C7)&amp;"-"&amp;MONTH(C7)</f>
        <v>2019-10</v>
      </c>
      <c r="D58" s="1570">
        <f>EDATE(C58,-1)</f>
        <v>43709</v>
      </c>
      <c r="E58" s="1570">
        <f>EDATE(D58,-1)</f>
        <v>43678</v>
      </c>
      <c r="F58" s="1570">
        <f t="shared" ref="F58:O58" si="19">EDATE(E58,-1)</f>
        <v>43647</v>
      </c>
      <c r="G58" s="1570">
        <f t="shared" si="19"/>
        <v>43617</v>
      </c>
      <c r="H58" s="1570">
        <f t="shared" si="19"/>
        <v>43586</v>
      </c>
      <c r="I58" s="1570">
        <f t="shared" si="19"/>
        <v>43556</v>
      </c>
      <c r="J58" s="1570">
        <f t="shared" si="19"/>
        <v>43525</v>
      </c>
      <c r="K58" s="1570">
        <f t="shared" si="19"/>
        <v>43497</v>
      </c>
      <c r="L58" s="1570">
        <f t="shared" si="19"/>
        <v>43466</v>
      </c>
      <c r="M58" s="1570">
        <f t="shared" si="19"/>
        <v>43435</v>
      </c>
      <c r="N58" s="1570">
        <f t="shared" si="19"/>
        <v>43405</v>
      </c>
      <c r="O58" s="1570">
        <f t="shared" si="19"/>
        <v>43374</v>
      </c>
      <c r="P58" s="1565"/>
    </row>
    <row r="59" spans="1:29" s="116" customFormat="1" ht="15">
      <c r="A59" s="508"/>
      <c r="B59" s="2623"/>
      <c r="C59" s="1568">
        <v>100</v>
      </c>
      <c r="D59" s="510">
        <v>100</v>
      </c>
      <c r="E59" s="511">
        <v>100</v>
      </c>
      <c r="F59" s="510">
        <v>100</v>
      </c>
      <c r="G59" s="511">
        <v>100</v>
      </c>
      <c r="H59" s="510">
        <v>100</v>
      </c>
      <c r="I59" s="511">
        <v>100</v>
      </c>
      <c r="J59" s="511"/>
      <c r="K59" s="511"/>
      <c r="L59" s="511"/>
      <c r="M59" s="512"/>
      <c r="N59" s="511"/>
      <c r="O59" s="512"/>
      <c r="P59" s="2624"/>
    </row>
    <row r="60" spans="1:29" s="116" customFormat="1" ht="15.75" thickBot="1">
      <c r="A60" s="514" t="s">
        <v>2580</v>
      </c>
      <c r="B60" s="515"/>
      <c r="C60" s="516"/>
      <c r="D60" s="517"/>
      <c r="E60" s="517"/>
      <c r="F60" s="517"/>
      <c r="G60" s="517"/>
      <c r="H60" s="517"/>
      <c r="I60" s="517"/>
      <c r="J60" s="517"/>
      <c r="K60" s="517"/>
      <c r="L60" s="517"/>
      <c r="M60" s="518"/>
      <c r="N60" s="517"/>
      <c r="O60" s="518"/>
      <c r="P60" s="2624"/>
      <c r="Q60" s="503"/>
    </row>
    <row r="61" spans="1:29" s="116" customFormat="1" ht="15">
      <c r="A61" s="520" t="s">
        <v>2581</v>
      </c>
      <c r="B61" s="509"/>
      <c r="C61" s="521" t="s">
        <v>2582</v>
      </c>
      <c r="D61" s="522"/>
      <c r="E61" s="522"/>
      <c r="F61" s="522"/>
      <c r="G61" s="522"/>
      <c r="H61" s="522"/>
      <c r="I61" s="522"/>
      <c r="J61" s="522"/>
      <c r="K61" s="522"/>
      <c r="L61" s="523"/>
      <c r="M61" s="524"/>
      <c r="N61" s="1146"/>
      <c r="O61" s="1146"/>
      <c r="P61" s="2625"/>
      <c r="Q61" s="503"/>
    </row>
    <row r="62" spans="1:29" s="116" customFormat="1" ht="15.75" thickBot="1">
      <c r="A62" s="520"/>
      <c r="B62" s="509"/>
      <c r="C62" s="510">
        <v>100</v>
      </c>
      <c r="D62" s="511"/>
      <c r="E62" s="511"/>
      <c r="F62" s="511"/>
      <c r="G62" s="511"/>
      <c r="H62" s="511"/>
      <c r="I62" s="511"/>
      <c r="J62" s="511"/>
      <c r="K62" s="511"/>
      <c r="L62" s="511"/>
      <c r="M62" s="513"/>
      <c r="N62" s="1146"/>
      <c r="O62" s="1146"/>
      <c r="P62" s="2624"/>
      <c r="Q62" s="503"/>
    </row>
    <row r="63" spans="1:29">
      <c r="A63" s="526" t="s">
        <v>2583</v>
      </c>
      <c r="B63" s="527" t="s">
        <v>2549</v>
      </c>
      <c r="C63" s="528" t="str">
        <f>C9</f>
        <v>住宅</v>
      </c>
      <c r="D63" s="529"/>
      <c r="E63" s="529"/>
      <c r="F63" s="529"/>
      <c r="G63" s="529"/>
      <c r="H63" s="529"/>
      <c r="I63" s="529"/>
      <c r="J63" s="529"/>
      <c r="K63" s="530"/>
      <c r="L63" s="531"/>
      <c r="M63" s="532"/>
      <c r="N63" s="1147"/>
      <c r="O63" s="1147"/>
      <c r="P63" s="2626"/>
      <c r="Q63" s="503"/>
    </row>
    <row r="64" spans="1:29" ht="15.75" thickBot="1">
      <c r="A64" s="533"/>
      <c r="B64" s="534"/>
      <c r="C64" s="535">
        <v>100</v>
      </c>
      <c r="D64" s="535"/>
      <c r="E64" s="535"/>
      <c r="F64" s="535"/>
      <c r="G64" s="535"/>
      <c r="H64" s="535"/>
      <c r="I64" s="535"/>
      <c r="J64" s="535"/>
      <c r="K64" s="535"/>
      <c r="L64" s="535"/>
      <c r="M64" s="536"/>
      <c r="N64" s="1148"/>
      <c r="O64" s="1148"/>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7"/>
      <c r="O65" s="1147"/>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6"/>
      <c r="Q66" s="503"/>
    </row>
    <row r="67" spans="1:17" ht="15.75" thickTop="1">
      <c r="A67" s="533"/>
      <c r="B67" s="545" t="s">
        <v>2553</v>
      </c>
      <c r="C67" s="546" t="str">
        <f>C68&amp;"（含）"&amp;"-"&amp;D68</f>
        <v>1（含）-2</v>
      </c>
      <c r="D67" s="546" t="str">
        <f t="shared" ref="D67:L67" si="21">D68&amp;"（含）"&amp;"-"&amp;E68</f>
        <v>2（含）-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6"/>
      <c r="Q67" s="503"/>
    </row>
    <row r="68" spans="1:17" ht="15">
      <c r="A68" s="533"/>
      <c r="B68" s="547"/>
      <c r="C68" s="548">
        <v>1</v>
      </c>
      <c r="D68" s="548">
        <v>2</v>
      </c>
      <c r="E68" s="548"/>
      <c r="F68" s="548"/>
      <c r="G68" s="548"/>
      <c r="H68" s="548"/>
      <c r="I68" s="548"/>
      <c r="J68" s="548"/>
      <c r="K68" s="549"/>
      <c r="L68" s="550"/>
      <c r="M68" s="551"/>
      <c r="N68" s="1147"/>
      <c r="O68" s="1147"/>
      <c r="P68" s="2626"/>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48"/>
      <c r="O69" s="1148"/>
      <c r="P69" s="2626"/>
      <c r="Q69" s="503"/>
    </row>
    <row r="70" spans="1:17" s="470" customFormat="1" ht="15.75" thickTop="1">
      <c r="A70" s="552"/>
      <c r="B70" s="537">
        <f>B12</f>
        <v>111</v>
      </c>
      <c r="C70" s="553"/>
      <c r="D70" s="553"/>
      <c r="E70" s="553"/>
      <c r="F70" s="553"/>
      <c r="G70" s="553"/>
      <c r="H70" s="554"/>
      <c r="I70" s="554"/>
      <c r="J70" s="554"/>
      <c r="K70" s="554"/>
      <c r="L70" s="555"/>
      <c r="M70" s="556"/>
      <c r="N70" s="1149"/>
      <c r="O70" s="1149"/>
      <c r="P70" s="2627"/>
      <c r="Q70" s="558"/>
    </row>
    <row r="71" spans="1:17" s="470" customFormat="1" ht="15.75" thickBot="1">
      <c r="A71" s="552"/>
      <c r="B71" s="542"/>
      <c r="C71" s="559"/>
      <c r="D71" s="535"/>
      <c r="E71" s="535"/>
      <c r="F71" s="535"/>
      <c r="G71" s="535"/>
      <c r="H71" s="535"/>
      <c r="I71" s="535"/>
      <c r="J71" s="535"/>
      <c r="K71" s="535"/>
      <c r="L71" s="535"/>
      <c r="M71" s="536"/>
      <c r="N71" s="1148"/>
      <c r="O71" s="1148"/>
      <c r="P71" s="2627"/>
      <c r="Q71" s="558"/>
    </row>
    <row r="72" spans="1:17" s="470" customFormat="1" ht="15.75" thickTop="1">
      <c r="A72" s="552"/>
      <c r="B72" s="537">
        <f>B13</f>
        <v>111</v>
      </c>
      <c r="C72" s="553"/>
      <c r="D72" s="553"/>
      <c r="E72" s="553"/>
      <c r="F72" s="553"/>
      <c r="G72" s="553"/>
      <c r="H72" s="554"/>
      <c r="I72" s="554"/>
      <c r="J72" s="554"/>
      <c r="K72" s="554"/>
      <c r="L72" s="555"/>
      <c r="M72" s="556"/>
      <c r="N72" s="1149"/>
      <c r="O72" s="1149"/>
      <c r="P72" s="2628"/>
      <c r="Q72" s="560"/>
    </row>
    <row r="73" spans="1:17" s="470" customFormat="1" ht="15.75" thickBot="1">
      <c r="A73" s="552"/>
      <c r="B73" s="542"/>
      <c r="C73" s="559"/>
      <c r="D73" s="559"/>
      <c r="E73" s="559"/>
      <c r="F73" s="559"/>
      <c r="G73" s="559"/>
      <c r="H73" s="561"/>
      <c r="I73" s="561"/>
      <c r="J73" s="561"/>
      <c r="K73" s="561"/>
      <c r="L73" s="561"/>
      <c r="M73" s="562"/>
      <c r="N73" s="1149"/>
      <c r="O73" s="1149"/>
      <c r="P73" s="2627"/>
      <c r="Q73" s="558"/>
    </row>
    <row r="74" spans="1:17" s="470" customFormat="1" ht="15.75" thickTop="1">
      <c r="A74" s="552"/>
      <c r="B74" s="545">
        <f>B14</f>
        <v>111</v>
      </c>
      <c r="C74" s="553"/>
      <c r="D74" s="553"/>
      <c r="E74" s="553"/>
      <c r="F74" s="553"/>
      <c r="G74" s="522"/>
      <c r="H74" s="563"/>
      <c r="I74" s="563"/>
      <c r="J74" s="563"/>
      <c r="K74" s="563"/>
      <c r="L74" s="564"/>
      <c r="M74" s="565"/>
      <c r="N74" s="1149"/>
      <c r="O74" s="1149"/>
      <c r="P74" s="2629"/>
      <c r="Q74" s="558"/>
    </row>
    <row r="75" spans="1:17" s="470" customFormat="1" ht="15.75" thickBot="1">
      <c r="A75" s="567"/>
      <c r="B75" s="568"/>
      <c r="C75" s="569"/>
      <c r="D75" s="569"/>
      <c r="E75" s="569"/>
      <c r="F75" s="569"/>
      <c r="G75" s="569"/>
      <c r="H75" s="570"/>
      <c r="I75" s="570"/>
      <c r="J75" s="570"/>
      <c r="K75" s="570"/>
      <c r="L75" s="570"/>
      <c r="M75" s="571"/>
      <c r="N75" s="1149"/>
      <c r="O75" s="1149"/>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7"/>
      <c r="O76" s="1147"/>
      <c r="P76" s="2630"/>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48"/>
      <c r="O77" s="1148"/>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7"/>
      <c r="O78" s="1147"/>
      <c r="P78" s="2626"/>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8"/>
      <c r="O79" s="1148"/>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7"/>
      <c r="O80" s="1147"/>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6"/>
      <c r="Q81" s="503"/>
    </row>
    <row r="82" spans="1:17" ht="15.75" thickTop="1">
      <c r="A82" s="533"/>
      <c r="B82" s="545" t="s">
        <v>2098</v>
      </c>
      <c r="C82" s="538" t="s">
        <v>2599</v>
      </c>
      <c r="D82" s="538" t="s">
        <v>2600</v>
      </c>
      <c r="E82" s="538" t="s">
        <v>2601</v>
      </c>
      <c r="F82" s="538" t="s">
        <v>2602</v>
      </c>
      <c r="G82" s="538" t="s">
        <v>2603</v>
      </c>
      <c r="H82" s="538"/>
      <c r="I82" s="538"/>
      <c r="J82" s="538"/>
      <c r="K82" s="538"/>
      <c r="L82" s="538"/>
      <c r="M82" s="1377"/>
      <c r="N82" s="1148"/>
      <c r="O82" s="1148"/>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8"/>
      <c r="O83" s="1148"/>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7"/>
      <c r="O84" s="1147"/>
      <c r="P84" s="2626"/>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6"/>
      <c r="Q85" s="503"/>
    </row>
    <row r="86" spans="1:17" s="116" customFormat="1" ht="15.75" thickTop="1">
      <c r="A86" s="578"/>
      <c r="B86" s="537" t="s">
        <v>2605</v>
      </c>
      <c r="C86" s="553"/>
      <c r="D86" s="553"/>
      <c r="E86" s="553"/>
      <c r="F86" s="553"/>
      <c r="G86" s="553"/>
      <c r="H86" s="553"/>
      <c r="I86" s="553"/>
      <c r="J86" s="553"/>
      <c r="K86" s="553"/>
      <c r="L86" s="579"/>
      <c r="M86" s="580"/>
      <c r="N86" s="1146"/>
      <c r="O86" s="1146"/>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6"/>
      <c r="Q87" s="503"/>
    </row>
    <row r="88" spans="1:17" s="116" customFormat="1" ht="15.75" thickTop="1">
      <c r="A88" s="578"/>
      <c r="B88" s="537" t="s">
        <v>2606</v>
      </c>
      <c r="C88" s="553"/>
      <c r="D88" s="553"/>
      <c r="E88" s="553"/>
      <c r="F88" s="2631"/>
      <c r="G88" s="553"/>
      <c r="H88" s="553"/>
      <c r="I88" s="553"/>
      <c r="J88" s="553"/>
      <c r="K88" s="553"/>
      <c r="L88" s="553"/>
      <c r="M88" s="580"/>
      <c r="N88" s="1146"/>
      <c r="O88" s="1146"/>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6"/>
      <c r="Q89" s="503"/>
    </row>
    <row r="90" spans="1:17" s="470" customFormat="1" ht="15.75" thickTop="1">
      <c r="A90" s="552"/>
      <c r="B90" s="537">
        <f>B27</f>
        <v>111</v>
      </c>
      <c r="C90" s="553"/>
      <c r="D90" s="553"/>
      <c r="E90" s="553"/>
      <c r="F90" s="553"/>
      <c r="G90" s="553"/>
      <c r="H90" s="554"/>
      <c r="I90" s="554"/>
      <c r="J90" s="554"/>
      <c r="K90" s="554"/>
      <c r="L90" s="555"/>
      <c r="M90" s="556"/>
      <c r="N90" s="1149"/>
      <c r="O90" s="1149"/>
      <c r="P90" s="2627"/>
      <c r="Q90" s="558"/>
    </row>
    <row r="91" spans="1:17" s="470" customFormat="1" ht="15.75" thickBot="1">
      <c r="A91" s="552"/>
      <c r="B91" s="542"/>
      <c r="C91" s="559"/>
      <c r="D91" s="559"/>
      <c r="E91" s="559"/>
      <c r="F91" s="559"/>
      <c r="G91" s="559"/>
      <c r="H91" s="561"/>
      <c r="I91" s="561"/>
      <c r="J91" s="561"/>
      <c r="K91" s="561"/>
      <c r="L91" s="561"/>
      <c r="M91" s="562"/>
      <c r="N91" s="1149"/>
      <c r="O91" s="1149"/>
      <c r="P91" s="2627"/>
      <c r="Q91" s="558"/>
    </row>
    <row r="92" spans="1:17" ht="15.75" thickTop="1">
      <c r="A92" s="533"/>
      <c r="B92" s="537">
        <f>B28</f>
        <v>111</v>
      </c>
      <c r="C92" s="553"/>
      <c r="D92" s="553"/>
      <c r="E92" s="553"/>
      <c r="F92" s="553"/>
      <c r="G92" s="582"/>
      <c r="H92" s="582"/>
      <c r="I92" s="582"/>
      <c r="J92" s="582"/>
      <c r="K92" s="583"/>
      <c r="L92" s="584"/>
      <c r="M92" s="585"/>
      <c r="N92" s="1147"/>
      <c r="O92" s="1147"/>
      <c r="P92" s="2626"/>
      <c r="Q92" s="503"/>
    </row>
    <row r="93" spans="1:17" ht="15.75" thickBot="1">
      <c r="A93" s="533"/>
      <c r="B93" s="542"/>
      <c r="C93" s="559"/>
      <c r="D93" s="535"/>
      <c r="E93" s="535"/>
      <c r="F93" s="535"/>
      <c r="G93" s="535"/>
      <c r="H93" s="535"/>
      <c r="I93" s="535"/>
      <c r="J93" s="535"/>
      <c r="K93" s="535"/>
      <c r="L93" s="535"/>
      <c r="M93" s="536"/>
      <c r="N93" s="1148"/>
      <c r="O93" s="1148"/>
      <c r="P93" s="2626"/>
      <c r="Q93" s="503"/>
    </row>
    <row r="94" spans="1:17" ht="15.75" thickTop="1">
      <c r="A94" s="533"/>
      <c r="B94" s="537">
        <f>B29</f>
        <v>111</v>
      </c>
      <c r="C94" s="553"/>
      <c r="D94" s="553"/>
      <c r="E94" s="553"/>
      <c r="F94" s="553"/>
      <c r="G94" s="582"/>
      <c r="H94" s="582"/>
      <c r="I94" s="582"/>
      <c r="J94" s="582"/>
      <c r="K94" s="583"/>
      <c r="L94" s="584"/>
      <c r="M94" s="585"/>
      <c r="N94" s="1147"/>
      <c r="O94" s="1147"/>
      <c r="P94" s="2626"/>
      <c r="Q94" s="503"/>
    </row>
    <row r="95" spans="1:17" ht="15.75" thickBot="1">
      <c r="A95" s="533"/>
      <c r="B95" s="542"/>
      <c r="C95" s="559"/>
      <c r="D95" s="559"/>
      <c r="E95" s="559"/>
      <c r="F95" s="559"/>
      <c r="G95" s="535"/>
      <c r="H95" s="535"/>
      <c r="I95" s="535"/>
      <c r="J95" s="535"/>
      <c r="K95" s="535"/>
      <c r="L95" s="535"/>
      <c r="M95" s="536"/>
      <c r="N95" s="1148"/>
      <c r="O95" s="1148"/>
      <c r="P95" s="2626"/>
      <c r="Q95" s="503"/>
    </row>
    <row r="96" spans="1:17" ht="15.75" thickTop="1">
      <c r="A96" s="533"/>
      <c r="B96" s="537">
        <f>B30</f>
        <v>111</v>
      </c>
      <c r="C96" s="553"/>
      <c r="D96" s="553"/>
      <c r="E96" s="553"/>
      <c r="F96" s="553"/>
      <c r="G96" s="582"/>
      <c r="H96" s="582"/>
      <c r="I96" s="582"/>
      <c r="J96" s="582"/>
      <c r="K96" s="583"/>
      <c r="L96" s="584"/>
      <c r="M96" s="585"/>
      <c r="N96" s="1147"/>
      <c r="O96" s="1147"/>
      <c r="P96" s="2626"/>
      <c r="Q96" s="503"/>
    </row>
    <row r="97" spans="1:17" ht="15.75" thickBot="1">
      <c r="A97" s="533"/>
      <c r="B97" s="542"/>
      <c r="C97" s="569"/>
      <c r="D97" s="569"/>
      <c r="E97" s="569"/>
      <c r="F97" s="569"/>
      <c r="G97" s="535"/>
      <c r="H97" s="535"/>
      <c r="I97" s="535"/>
      <c r="J97" s="535"/>
      <c r="K97" s="535"/>
      <c r="L97" s="535"/>
      <c r="M97" s="536"/>
      <c r="N97" s="1148"/>
      <c r="O97" s="1148"/>
      <c r="P97" s="2626"/>
      <c r="Q97" s="503"/>
    </row>
    <row r="98" spans="1:17" ht="15.75" thickTop="1">
      <c r="A98" s="533"/>
      <c r="B98" s="545">
        <f>B31</f>
        <v>111</v>
      </c>
      <c r="C98" s="586"/>
      <c r="D98" s="586"/>
      <c r="E98" s="586"/>
      <c r="F98" s="586"/>
      <c r="G98" s="586"/>
      <c r="H98" s="586"/>
      <c r="I98" s="586"/>
      <c r="J98" s="586"/>
      <c r="K98" s="587"/>
      <c r="L98" s="588"/>
      <c r="M98" s="589"/>
      <c r="N98" s="1147"/>
      <c r="O98" s="1147"/>
      <c r="P98" s="2626"/>
      <c r="Q98" s="503"/>
    </row>
    <row r="99" spans="1:17" ht="15.75" thickBot="1">
      <c r="A99" s="2632"/>
      <c r="B99" s="568"/>
      <c r="C99" s="590"/>
      <c r="D99" s="590"/>
      <c r="E99" s="590"/>
      <c r="F99" s="590"/>
      <c r="G99" s="590"/>
      <c r="H99" s="590"/>
      <c r="I99" s="590"/>
      <c r="J99" s="590"/>
      <c r="K99" s="590"/>
      <c r="L99" s="590"/>
      <c r="M99" s="591"/>
      <c r="N99" s="1148"/>
      <c r="O99" s="1148"/>
      <c r="P99" s="2626"/>
      <c r="Q99" s="503"/>
    </row>
    <row r="100" spans="1:17">
      <c r="A100" s="526" t="s">
        <v>2558</v>
      </c>
      <c r="B100" s="527" t="s">
        <v>2607</v>
      </c>
      <c r="C100" s="2956" t="s">
        <v>3062</v>
      </c>
      <c r="D100" s="2956" t="s">
        <v>3064</v>
      </c>
      <c r="E100" s="529"/>
      <c r="F100" s="529"/>
      <c r="G100" s="529"/>
      <c r="H100" s="529"/>
      <c r="I100" s="529"/>
      <c r="J100" s="529"/>
      <c r="K100" s="530"/>
      <c r="L100" s="531"/>
      <c r="M100" s="532"/>
      <c r="N100" s="1147"/>
      <c r="O100" s="1147"/>
      <c r="P100" s="2626"/>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48"/>
      <c r="O101" s="1148"/>
      <c r="P101" s="2626"/>
      <c r="Q101" s="503"/>
    </row>
    <row r="102" spans="1:17" ht="15.75" thickTop="1">
      <c r="A102" s="533"/>
      <c r="B102" s="537" t="s">
        <v>2608</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6"/>
      <c r="Q102" s="503"/>
    </row>
    <row r="103" spans="1:17" s="470" customFormat="1">
      <c r="A103" s="592"/>
      <c r="B103" s="593"/>
      <c r="C103" s="594">
        <v>0</v>
      </c>
      <c r="D103" s="594"/>
      <c r="E103" s="594"/>
      <c r="F103" s="594"/>
      <c r="G103" s="594"/>
      <c r="H103" s="594"/>
      <c r="I103" s="594"/>
      <c r="J103" s="595"/>
      <c r="K103" s="595"/>
      <c r="L103" s="596"/>
      <c r="M103" s="597"/>
      <c r="N103" s="1149"/>
      <c r="O103" s="1149"/>
      <c r="P103" s="2627"/>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7"/>
      <c r="Q104" s="558"/>
    </row>
    <row r="105" spans="1:17" ht="15" thickTop="1">
      <c r="A105" s="598"/>
      <c r="B105" s="537" t="s">
        <v>2609</v>
      </c>
      <c r="C105" s="2957" t="s">
        <v>3066</v>
      </c>
      <c r="D105" s="553"/>
      <c r="E105" s="582"/>
      <c r="F105" s="582"/>
      <c r="G105" s="582"/>
      <c r="H105" s="582"/>
      <c r="I105" s="582"/>
      <c r="J105" s="582"/>
      <c r="K105" s="583"/>
      <c r="L105" s="584"/>
      <c r="M105" s="585"/>
      <c r="N105" s="1147"/>
      <c r="O105" s="1147"/>
      <c r="P105" s="2626"/>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48"/>
      <c r="O106" s="1148"/>
      <c r="P106" s="2626"/>
      <c r="Q106" s="503"/>
    </row>
    <row r="107" spans="1:17" ht="15" thickTop="1">
      <c r="A107" s="598"/>
      <c r="B107" s="537" t="s">
        <v>2610</v>
      </c>
      <c r="C107" s="2958" t="s">
        <v>3068</v>
      </c>
      <c r="D107" s="2958" t="s">
        <v>3084</v>
      </c>
      <c r="E107" s="582"/>
      <c r="F107" s="582"/>
      <c r="G107" s="582"/>
      <c r="H107" s="582"/>
      <c r="I107" s="582"/>
      <c r="J107" s="582"/>
      <c r="K107" s="583"/>
      <c r="L107" s="584"/>
      <c r="M107" s="585"/>
      <c r="N107" s="1147"/>
      <c r="O107" s="1147"/>
      <c r="P107" s="2626"/>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48"/>
      <c r="O108" s="1148"/>
      <c r="P108" s="2626"/>
      <c r="Q108" s="503"/>
    </row>
    <row r="109" spans="1:17" ht="15" thickTop="1">
      <c r="A109" s="598"/>
      <c r="B109" s="537" t="s">
        <v>2611</v>
      </c>
      <c r="C109" s="2957" t="s">
        <v>3070</v>
      </c>
      <c r="D109" s="553"/>
      <c r="E109" s="553"/>
      <c r="F109" s="582"/>
      <c r="G109" s="582"/>
      <c r="H109" s="582"/>
      <c r="I109" s="582"/>
      <c r="J109" s="582"/>
      <c r="K109" s="583"/>
      <c r="L109" s="584"/>
      <c r="M109" s="585"/>
      <c r="N109" s="1147"/>
      <c r="O109" s="1147"/>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8"/>
      <c r="O110" s="1148"/>
      <c r="P110" s="2626"/>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9"/>
      <c r="O113" s="1149"/>
      <c r="P113" s="2627"/>
      <c r="Q113" s="558"/>
    </row>
    <row r="114" spans="1:17" ht="15" thickTop="1">
      <c r="A114" s="598"/>
      <c r="B114" s="537" t="s">
        <v>2612</v>
      </c>
      <c r="C114" s="2957" t="s">
        <v>3072</v>
      </c>
      <c r="D114" s="2957" t="s">
        <v>3074</v>
      </c>
      <c r="E114" s="582"/>
      <c r="F114" s="582"/>
      <c r="G114" s="582"/>
      <c r="H114" s="582"/>
      <c r="I114" s="582"/>
      <c r="J114" s="582"/>
      <c r="K114" s="583"/>
      <c r="L114" s="584"/>
      <c r="M114" s="585"/>
      <c r="N114" s="1147"/>
      <c r="O114" s="1147"/>
      <c r="P114" s="2626"/>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48"/>
      <c r="O115" s="1148"/>
      <c r="P115" s="2626"/>
      <c r="Q115" s="503"/>
    </row>
    <row r="116" spans="1:17" ht="15" thickTop="1">
      <c r="A116" s="598"/>
      <c r="B116" s="537" t="s">
        <v>2613</v>
      </c>
      <c r="C116" s="2957" t="s">
        <v>3075</v>
      </c>
      <c r="D116" s="553"/>
      <c r="E116" s="553"/>
      <c r="F116" s="553"/>
      <c r="G116" s="553"/>
      <c r="H116" s="582"/>
      <c r="I116" s="582"/>
      <c r="J116" s="582"/>
      <c r="K116" s="583"/>
      <c r="L116" s="584"/>
      <c r="M116" s="585"/>
      <c r="N116" s="1147"/>
      <c r="O116" s="1147"/>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8"/>
      <c r="O117" s="1148"/>
      <c r="P117" s="2626"/>
      <c r="Q117" s="503"/>
    </row>
    <row r="118" spans="1:17" ht="15" thickTop="1">
      <c r="A118" s="598"/>
      <c r="B118" s="537" t="s">
        <v>2614</v>
      </c>
      <c r="C118" s="2958" t="s">
        <v>3077</v>
      </c>
      <c r="D118" s="582"/>
      <c r="E118" s="582"/>
      <c r="F118" s="582"/>
      <c r="G118" s="582"/>
      <c r="H118" s="582"/>
      <c r="I118" s="582"/>
      <c r="J118" s="582"/>
      <c r="K118" s="583"/>
      <c r="L118" s="584"/>
      <c r="M118" s="585"/>
      <c r="N118" s="1147"/>
      <c r="O118" s="1147"/>
      <c r="P118" s="2626"/>
      <c r="Q118" s="503"/>
    </row>
    <row r="119" spans="1:17" ht="15.75" thickBot="1">
      <c r="A119" s="533"/>
      <c r="B119" s="542"/>
      <c r="C119" s="543">
        <v>100</v>
      </c>
      <c r="D119" s="543">
        <f t="shared" ref="D119:M119" si="32">C119-$K40</f>
        <v>97</v>
      </c>
      <c r="E119" s="543">
        <f t="shared" si="32"/>
        <v>94</v>
      </c>
      <c r="F119" s="543">
        <f t="shared" si="32"/>
        <v>91</v>
      </c>
      <c r="G119" s="543">
        <f t="shared" si="32"/>
        <v>88</v>
      </c>
      <c r="H119" s="543">
        <f t="shared" si="32"/>
        <v>85</v>
      </c>
      <c r="I119" s="543">
        <f t="shared" si="32"/>
        <v>82</v>
      </c>
      <c r="J119" s="543">
        <f t="shared" si="32"/>
        <v>79</v>
      </c>
      <c r="K119" s="543">
        <f t="shared" si="32"/>
        <v>76</v>
      </c>
      <c r="L119" s="543">
        <f t="shared" si="32"/>
        <v>73</v>
      </c>
      <c r="M119" s="543">
        <f t="shared" si="32"/>
        <v>70</v>
      </c>
      <c r="N119" s="1148"/>
      <c r="O119" s="1148"/>
      <c r="P119" s="2626"/>
      <c r="Q119" s="503"/>
    </row>
    <row r="120" spans="1:17" s="470" customFormat="1" ht="28.5" thickTop="1">
      <c r="A120" s="592"/>
      <c r="B120" s="537" t="s">
        <v>2569</v>
      </c>
      <c r="C120" s="553">
        <v>0</v>
      </c>
      <c r="D120" s="553"/>
      <c r="E120" s="553"/>
      <c r="F120" s="553"/>
      <c r="G120" s="553"/>
      <c r="H120" s="553"/>
      <c r="I120" s="553"/>
      <c r="J120" s="553"/>
      <c r="K120" s="553"/>
      <c r="L120" s="579"/>
      <c r="M120" s="580"/>
      <c r="N120" s="1149"/>
      <c r="O120" s="1149"/>
      <c r="P120" s="2627"/>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7"/>
      <c r="Q121" s="558"/>
    </row>
    <row r="122" spans="1:17" ht="15" thickTop="1">
      <c r="A122" s="598"/>
      <c r="B122" s="537" t="s">
        <v>2615</v>
      </c>
      <c r="C122" s="2957" t="s">
        <v>3070</v>
      </c>
      <c r="D122" s="553"/>
      <c r="E122" s="553"/>
      <c r="F122" s="2958" t="s">
        <v>3079</v>
      </c>
      <c r="G122" s="582"/>
      <c r="H122" s="582"/>
      <c r="I122" s="582"/>
      <c r="J122" s="582"/>
      <c r="K122" s="583"/>
      <c r="L122" s="584"/>
      <c r="M122" s="585"/>
      <c r="N122" s="1147"/>
      <c r="O122" s="1147"/>
      <c r="P122" s="2626"/>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8"/>
      <c r="O123" s="1148"/>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7"/>
      <c r="O124" s="1147"/>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6"/>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7"/>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7"/>
      <c r="Q127" s="558"/>
    </row>
    <row r="128" spans="1:17" ht="15" thickTop="1">
      <c r="A128" s="598"/>
      <c r="B128" s="537">
        <f>B45</f>
        <v>111</v>
      </c>
      <c r="C128" s="553"/>
      <c r="D128" s="553"/>
      <c r="E128" s="553"/>
      <c r="F128" s="553"/>
      <c r="G128" s="582"/>
      <c r="H128" s="582"/>
      <c r="I128" s="582"/>
      <c r="J128" s="582"/>
      <c r="K128" s="583"/>
      <c r="L128" s="584"/>
      <c r="M128" s="585"/>
      <c r="N128" s="1147"/>
      <c r="O128" s="1147"/>
      <c r="P128" s="2626"/>
      <c r="Q128" s="503"/>
    </row>
    <row r="129" spans="1:17" ht="15.75" thickBot="1">
      <c r="A129" s="533"/>
      <c r="B129" s="542"/>
      <c r="C129" s="559"/>
      <c r="D129" s="559"/>
      <c r="E129" s="559"/>
      <c r="F129" s="559"/>
      <c r="G129" s="535"/>
      <c r="H129" s="535"/>
      <c r="I129" s="535"/>
      <c r="J129" s="535"/>
      <c r="K129" s="535"/>
      <c r="L129" s="535"/>
      <c r="M129" s="536"/>
      <c r="N129" s="1148"/>
      <c r="O129" s="1148"/>
      <c r="P129" s="2626"/>
      <c r="Q129" s="503"/>
    </row>
    <row r="130" spans="1:17" ht="15" thickTop="1">
      <c r="A130" s="598"/>
      <c r="B130" s="545">
        <f>B46</f>
        <v>111</v>
      </c>
      <c r="C130" s="553"/>
      <c r="D130" s="553"/>
      <c r="E130" s="553"/>
      <c r="F130" s="553"/>
      <c r="G130" s="586"/>
      <c r="H130" s="586"/>
      <c r="I130" s="586"/>
      <c r="J130" s="586"/>
      <c r="K130" s="522"/>
      <c r="L130" s="523"/>
      <c r="M130" s="589"/>
      <c r="N130" s="1147"/>
      <c r="O130" s="1147"/>
      <c r="P130" s="2626"/>
      <c r="Q130" s="503"/>
    </row>
    <row r="131" spans="1:17" ht="15.75" thickBot="1">
      <c r="A131" s="2632"/>
      <c r="B131" s="568"/>
      <c r="C131" s="569"/>
      <c r="D131" s="569"/>
      <c r="E131" s="569"/>
      <c r="F131" s="569"/>
      <c r="G131" s="590"/>
      <c r="H131" s="590"/>
      <c r="I131" s="590"/>
      <c r="J131" s="590"/>
      <c r="K131" s="590"/>
      <c r="L131" s="590"/>
      <c r="M131" s="591"/>
      <c r="N131" s="1148"/>
      <c r="O131" s="1148"/>
      <c r="P131" s="2626"/>
      <c r="Q131" s="503"/>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5" t="s">
        <v>2620</v>
      </c>
      <c r="D138" s="145" t="s">
        <v>2621</v>
      </c>
      <c r="E138" s="2641" t="s">
        <v>2622</v>
      </c>
      <c r="F138" s="2642" t="s">
        <v>2623</v>
      </c>
      <c r="G138" s="145" t="s">
        <v>2621</v>
      </c>
      <c r="H138" s="146" t="s">
        <v>2622</v>
      </c>
      <c r="I138" s="2643"/>
      <c r="J138" s="145" t="s">
        <v>2624</v>
      </c>
      <c r="K138" s="146" t="s">
        <v>2625</v>
      </c>
    </row>
    <row r="139" spans="1:17" ht="15">
      <c r="B139" s="1079">
        <v>6</v>
      </c>
      <c r="C139" s="1080">
        <v>96</v>
      </c>
      <c r="D139" s="2644" t="s">
        <v>2626</v>
      </c>
      <c r="E139" s="1081">
        <v>100</v>
      </c>
      <c r="F139" s="1082">
        <v>102.5</v>
      </c>
      <c r="G139" s="2644" t="s">
        <v>2626</v>
      </c>
      <c r="H139" s="1083">
        <v>105</v>
      </c>
      <c r="I139" s="2645" t="s">
        <v>2627</v>
      </c>
      <c r="J139" s="1080">
        <v>20</v>
      </c>
      <c r="K139" s="1084">
        <f>C145/(J139-2)</f>
        <v>4.0555555555555553E-3</v>
      </c>
    </row>
    <row r="140" spans="1:17" ht="15">
      <c r="B140" s="1085">
        <v>5</v>
      </c>
      <c r="C140" s="1086">
        <v>100</v>
      </c>
      <c r="D140" s="1086"/>
      <c r="E140" s="1087"/>
      <c r="F140" s="1088">
        <v>102</v>
      </c>
      <c r="G140" s="1086"/>
      <c r="H140" s="1089"/>
      <c r="I140" s="2646" t="s">
        <v>2628</v>
      </c>
      <c r="J140" s="314">
        <f>ROUNDUP((J139-1)/2,0)</f>
        <v>10</v>
      </c>
      <c r="K140" s="1090">
        <v>100</v>
      </c>
    </row>
    <row r="141" spans="1:17" ht="15">
      <c r="B141" s="1085">
        <v>4</v>
      </c>
      <c r="C141" s="1086">
        <v>102</v>
      </c>
      <c r="D141" s="1086"/>
      <c r="E141" s="1087"/>
      <c r="F141" s="1088">
        <v>101.5</v>
      </c>
      <c r="G141" s="1086"/>
      <c r="H141" s="1089"/>
      <c r="I141" s="2646" t="s">
        <v>2629</v>
      </c>
      <c r="J141" s="314">
        <v>1</v>
      </c>
      <c r="K141" s="1091">
        <f>ROUND(100+(J141-J140)*K139*100,1)</f>
        <v>96.4</v>
      </c>
    </row>
    <row r="142" spans="1:17" ht="15">
      <c r="B142" s="1085">
        <v>3</v>
      </c>
      <c r="C142" s="1086">
        <v>103</v>
      </c>
      <c r="D142" s="1086"/>
      <c r="E142" s="1087"/>
      <c r="F142" s="1088">
        <v>101</v>
      </c>
      <c r="G142" s="1086"/>
      <c r="H142" s="1089"/>
      <c r="I142" s="2646" t="s">
        <v>2630</v>
      </c>
      <c r="J142" s="314">
        <f>J139</f>
        <v>20</v>
      </c>
      <c r="K142" s="1092">
        <v>95</v>
      </c>
    </row>
    <row r="143" spans="1:17" ht="15">
      <c r="B143" s="1085">
        <v>2</v>
      </c>
      <c r="C143" s="1086">
        <v>100</v>
      </c>
      <c r="D143" s="1086"/>
      <c r="E143" s="1087"/>
      <c r="F143" s="1088">
        <v>100.5</v>
      </c>
      <c r="G143" s="1086"/>
      <c r="H143" s="1089"/>
      <c r="I143" s="2646" t="s">
        <v>2631</v>
      </c>
      <c r="J143" s="1086">
        <v>15</v>
      </c>
      <c r="K143" s="1091">
        <f>ROUND(100+(J143-J140)*K139*100,1)</f>
        <v>102</v>
      </c>
    </row>
    <row r="144" spans="1:17" ht="15">
      <c r="B144" s="1085">
        <v>1</v>
      </c>
      <c r="C144" s="1086">
        <v>98</v>
      </c>
      <c r="D144" s="2647" t="s">
        <v>2632</v>
      </c>
      <c r="E144" s="1087">
        <v>102</v>
      </c>
      <c r="F144" s="1093">
        <v>100</v>
      </c>
      <c r="G144" s="2647" t="s">
        <v>2632</v>
      </c>
      <c r="H144" s="1089">
        <v>105</v>
      </c>
      <c r="I144" s="2646" t="s">
        <v>2631</v>
      </c>
      <c r="J144" s="1086">
        <v>18</v>
      </c>
      <c r="K144" s="1091">
        <f>ROUND(100+(J144-J140)*K139*100,1)</f>
        <v>103.2</v>
      </c>
    </row>
    <row r="145" spans="2:11" ht="15.75" thickBot="1">
      <c r="B145" s="2648" t="s">
        <v>2633</v>
      </c>
      <c r="C145" s="1094">
        <f>ROUND(MAX(C139:C144)/MIN(C139:C144)-1,3)</f>
        <v>7.2999999999999995E-2</v>
      </c>
      <c r="D145" s="1095"/>
      <c r="E145" s="1095"/>
      <c r="F145" s="2649" t="s">
        <v>2634</v>
      </c>
      <c r="G145" s="2650"/>
      <c r="H145" s="2651"/>
      <c r="I145" s="2652" t="s">
        <v>2631</v>
      </c>
      <c r="J145" s="1096">
        <v>8</v>
      </c>
      <c r="K145" s="1097">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F40" sqref="F40: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t="s">
        <v>3090</v>
      </c>
      <c r="D1" s="1815" t="s">
        <v>3109</v>
      </c>
      <c r="E1" s="1816" t="s">
        <v>1383</v>
      </c>
      <c r="F1" s="1278">
        <f ca="1">J53</f>
        <v>34.590000000000003</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6539</v>
      </c>
      <c r="C2" s="1840" t="s">
        <v>1512</v>
      </c>
      <c r="D2" s="1840"/>
      <c r="E2" s="1841"/>
      <c r="F2" s="1842"/>
      <c r="G2" s="1843"/>
      <c r="H2" s="1835"/>
      <c r="I2" s="1835"/>
      <c r="J2" s="1835"/>
      <c r="K2" s="1836"/>
      <c r="L2" s="1835"/>
      <c r="M2" s="1835"/>
    </row>
    <row r="3" spans="1:37" ht="18" customHeight="1" thickBot="1">
      <c r="A3" s="1844" t="s">
        <v>1513</v>
      </c>
      <c r="B3" s="1845">
        <f ca="1">IF(ISERROR(B2*10000/F43),0,ROUND(B2*10000/F43,0))</f>
        <v>12215</v>
      </c>
      <c r="C3" s="1840" t="s">
        <v>1514</v>
      </c>
      <c r="D3" s="1840"/>
      <c r="E3" s="1841"/>
      <c r="F3" s="1842"/>
      <c r="G3" s="1843"/>
      <c r="H3" s="743" t="s">
        <v>1584</v>
      </c>
      <c r="I3" s="1835"/>
      <c r="J3" s="1835"/>
      <c r="K3" s="1836"/>
      <c r="L3" s="1835"/>
      <c r="M3" s="1835"/>
    </row>
    <row r="4" spans="1:37" ht="18" customHeight="1">
      <c r="A4" s="339" t="s">
        <v>1392</v>
      </c>
      <c r="B4" s="340" t="s">
        <v>1393</v>
      </c>
      <c r="C4" s="340" t="s">
        <v>1394</v>
      </c>
      <c r="D4" s="340" t="s">
        <v>1395</v>
      </c>
      <c r="E4" s="341" t="s">
        <v>1396</v>
      </c>
      <c r="F4" s="342"/>
      <c r="G4" s="1846"/>
      <c r="H4" s="339" t="s">
        <v>1392</v>
      </c>
      <c r="I4" s="340" t="s">
        <v>1393</v>
      </c>
      <c r="J4" s="340" t="s">
        <v>1394</v>
      </c>
      <c r="K4" s="340" t="s">
        <v>1395</v>
      </c>
      <c r="L4" s="341" t="s">
        <v>1396</v>
      </c>
      <c r="M4" s="342"/>
    </row>
    <row r="5" spans="1:37" ht="18" customHeight="1">
      <c r="A5" s="343">
        <v>1</v>
      </c>
      <c r="B5" s="344" t="s">
        <v>1397</v>
      </c>
      <c r="C5" s="1287">
        <f ca="1">C6+C10+C12</f>
        <v>399</v>
      </c>
      <c r="D5" s="1817" t="s">
        <v>1398</v>
      </c>
      <c r="E5" s="1288"/>
      <c r="F5" s="1289"/>
      <c r="G5" s="1846"/>
      <c r="H5" s="343">
        <v>1</v>
      </c>
      <c r="I5" s="344" t="s">
        <v>1397</v>
      </c>
      <c r="J5" s="1287">
        <f ca="1">J6+J10+J12</f>
        <v>0</v>
      </c>
      <c r="K5" s="1817" t="s">
        <v>1398</v>
      </c>
      <c r="L5" s="1288"/>
      <c r="M5" s="1289"/>
    </row>
    <row r="6" spans="1:37" ht="18" customHeight="1">
      <c r="A6" s="1286" t="s">
        <v>1032</v>
      </c>
      <c r="B6" s="3284" t="s">
        <v>1399</v>
      </c>
      <c r="C6" s="1291">
        <f ca="1">ROUND(F6*F8*F7*(1-F9)/10000,0)</f>
        <v>399</v>
      </c>
      <c r="D6" s="163" t="s">
        <v>3027</v>
      </c>
      <c r="E6" s="346" t="s">
        <v>1401</v>
      </c>
      <c r="F6" s="347">
        <f ca="1">INDIRECT("'数据-取费表'!u"&amp;$G$1)</f>
        <v>2.4</v>
      </c>
      <c r="G6" s="1846"/>
      <c r="H6" s="1286" t="s">
        <v>1032</v>
      </c>
      <c r="I6" s="3284" t="s">
        <v>1399</v>
      </c>
      <c r="J6" s="345">
        <f ca="1">ROUND(M6*M8*M7*(1-M9)/10000,0)</f>
        <v>0</v>
      </c>
      <c r="K6" s="163" t="s">
        <v>3026</v>
      </c>
      <c r="L6" s="346" t="s">
        <v>1401</v>
      </c>
      <c r="M6" s="347">
        <f ca="1">INDIRECT("'数据-取费表'!z"&amp;$G$1)</f>
        <v>0</v>
      </c>
    </row>
    <row r="7" spans="1:37" ht="18" customHeight="1">
      <c r="A7" s="1290"/>
      <c r="B7" s="3285"/>
      <c r="C7" s="1292"/>
      <c r="D7" s="351"/>
      <c r="E7" s="1293" t="s">
        <v>1402</v>
      </c>
      <c r="F7" s="347">
        <f ca="1">IF(INDIRECT("'数据-取费表'!ah"&amp;$G$1)="",INDIRECT("'数据-取费表'!k"&amp;$G$1),INDIRECT("'数据-取费表'!ah"&amp;$G$1))</f>
        <v>5353.1299999999992</v>
      </c>
      <c r="G7" s="1846"/>
      <c r="H7" s="348"/>
      <c r="I7" s="3285"/>
      <c r="J7" s="350"/>
      <c r="K7" s="351"/>
      <c r="L7" s="346" t="s">
        <v>1402</v>
      </c>
      <c r="M7" s="347">
        <f ca="1">F7</f>
        <v>5353.1299999999992</v>
      </c>
    </row>
    <row r="8" spans="1:37" ht="18" customHeight="1">
      <c r="A8" s="348"/>
      <c r="B8" s="3285"/>
      <c r="C8" s="350"/>
      <c r="D8" s="351"/>
      <c r="E8" s="346" t="s">
        <v>1403</v>
      </c>
      <c r="F8" s="347">
        <f ca="1">INDIRECT("'数据-取费表'!ai"&amp;$G$1)</f>
        <v>365</v>
      </c>
      <c r="G8" s="1846"/>
      <c r="H8" s="348"/>
      <c r="I8" s="3285"/>
      <c r="J8" s="350"/>
      <c r="K8" s="351"/>
      <c r="L8" s="346" t="s">
        <v>1403</v>
      </c>
      <c r="M8" s="347">
        <f ca="1">INDIRECT("'数据-取费表'!ai"&amp;$G$1)</f>
        <v>365</v>
      </c>
    </row>
    <row r="9" spans="1:37" ht="18" customHeight="1">
      <c r="A9" s="348"/>
      <c r="B9" s="3286"/>
      <c r="C9" s="350"/>
      <c r="D9" s="351"/>
      <c r="E9" s="346" t="s">
        <v>1404</v>
      </c>
      <c r="F9" s="356">
        <f ca="1">INDIRECT("'数据-取费表'!w"&amp;$G$1)</f>
        <v>0.15</v>
      </c>
      <c r="G9" s="1846"/>
      <c r="H9" s="348"/>
      <c r="I9" s="3286"/>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3036</v>
      </c>
      <c r="E10" s="357" t="s">
        <v>1406</v>
      </c>
      <c r="F10" s="1361" t="s">
        <v>3110</v>
      </c>
      <c r="G10" s="1846"/>
      <c r="H10" s="1286" t="s">
        <v>1036</v>
      </c>
      <c r="I10" s="1818" t="s">
        <v>1405</v>
      </c>
      <c r="J10" s="345">
        <f ca="1">ROUND(IF(M10="押一",J6/12*M11,IF(M10="押二",J6/12*2*M11,IF(M10="押三",J6/12*3*M11,J11*M11))),0)</f>
        <v>0</v>
      </c>
      <c r="K10" s="1819" t="s">
        <v>3035</v>
      </c>
      <c r="L10" s="357" t="s">
        <v>1406</v>
      </c>
      <c r="M10" s="1361" t="s">
        <v>1407</v>
      </c>
    </row>
    <row r="11" spans="1:37" ht="18" customHeight="1">
      <c r="A11" s="352"/>
      <c r="B11" s="1820" t="s">
        <v>1384</v>
      </c>
      <c r="C11" s="1173"/>
      <c r="D11" s="1821"/>
      <c r="E11" s="357" t="s">
        <v>1408</v>
      </c>
      <c r="F11" s="358">
        <f ca="1">'数据-取费表'!B39</f>
        <v>1.4999999999999999E-2</v>
      </c>
      <c r="G11" s="1846"/>
      <c r="H11" s="1294"/>
      <c r="I11" s="1820" t="s">
        <v>1384</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2163</v>
      </c>
      <c r="D13" s="1326" t="s">
        <v>1411</v>
      </c>
      <c r="E13" s="1326" t="s">
        <v>1412</v>
      </c>
      <c r="F13" s="1327">
        <f ca="1">INDIRECT("'数据-取费表'!y"&amp;$G$1)</f>
        <v>1</v>
      </c>
      <c r="G13" s="1846"/>
      <c r="H13" s="1324">
        <v>2</v>
      </c>
      <c r="I13" s="1325" t="s">
        <v>1410</v>
      </c>
      <c r="J13" s="1285">
        <f ca="1">ROUND(J14*J15,0)</f>
        <v>0</v>
      </c>
      <c r="K13" s="1332" t="s">
        <v>1411</v>
      </c>
      <c r="L13" s="1847"/>
      <c r="M13" s="1848"/>
    </row>
    <row r="14" spans="1:37" ht="18" customHeight="1">
      <c r="A14" s="1196" t="s">
        <v>1031</v>
      </c>
      <c r="B14" s="346" t="s">
        <v>1413</v>
      </c>
      <c r="C14" s="362">
        <f ca="1">INDIRECT("'数据-取费表'!m"&amp;$G$1)+INDIRECT("'数据-取费表'!t"&amp;$G$1)</f>
        <v>1338</v>
      </c>
      <c r="D14" s="1795" t="s">
        <v>1414</v>
      </c>
      <c r="E14" s="1789"/>
      <c r="F14" s="363"/>
      <c r="G14" s="1846"/>
      <c r="H14" s="1196" t="s">
        <v>1032</v>
      </c>
      <c r="I14" s="346" t="s">
        <v>1415</v>
      </c>
      <c r="J14" s="24">
        <f ca="1">C29</f>
        <v>2163</v>
      </c>
      <c r="K14" s="15"/>
      <c r="L14" s="974"/>
      <c r="M14" s="975"/>
    </row>
    <row r="15" spans="1:37" s="1853" customFormat="1" ht="18" customHeight="1" thickBot="1">
      <c r="A15" s="1196" t="s">
        <v>1033</v>
      </c>
      <c r="B15" s="346" t="s">
        <v>1416</v>
      </c>
      <c r="C15" s="24">
        <f ca="1">ROUND(C14*F15,0)</f>
        <v>67</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ROUND(INDIRECT("'数据-取费表'!m"&amp;$G$1)*F16,0)</f>
        <v>0</v>
      </c>
      <c r="D16" s="346" t="s">
        <v>1417</v>
      </c>
      <c r="E16" s="346" t="s">
        <v>1418</v>
      </c>
      <c r="F16" s="366">
        <f ca="1">IF(INDIRECT("'数据-取费表'!c"&amp;$G$1)="住宅",'数据-取费表'!B34,0)</f>
        <v>0</v>
      </c>
      <c r="G16" s="1846"/>
      <c r="H16" s="1324" t="s">
        <v>1027</v>
      </c>
      <c r="I16" s="1325" t="s">
        <v>1420</v>
      </c>
      <c r="J16" s="354">
        <f ca="1">ROUND(J17+J22+J23+J24,0)</f>
        <v>52</v>
      </c>
      <c r="K16" s="1332" t="s">
        <v>1421</v>
      </c>
      <c r="L16" s="1333"/>
      <c r="M16" s="1289"/>
    </row>
    <row r="17" spans="1:37" s="1853" customFormat="1" ht="18" customHeight="1">
      <c r="A17" s="1196" t="s">
        <v>1386</v>
      </c>
      <c r="B17" s="346" t="s">
        <v>1422</v>
      </c>
      <c r="C17" s="24">
        <f ca="1">ROUND(F17*(F43+INDIRECT("'数据-取费表'!S"&amp;$G$1))/10000,0)</f>
        <v>107</v>
      </c>
      <c r="D17" s="346" t="s">
        <v>1423</v>
      </c>
      <c r="E17" s="346" t="s">
        <v>1424</v>
      </c>
      <c r="F17" s="26">
        <f>'数据-取费表'!B35</f>
        <v>200</v>
      </c>
      <c r="G17" s="1849"/>
      <c r="H17" s="1196" t="s">
        <v>1032</v>
      </c>
      <c r="I17" s="346" t="s">
        <v>1425</v>
      </c>
      <c r="J17" s="24">
        <f ca="1">ROUND(IF(项目基本情况!B11="自然人",J5*M17,J18+J19+J20),1)</f>
        <v>19.100000000000001</v>
      </c>
      <c r="K17" s="1795" t="s">
        <v>1426</v>
      </c>
      <c r="L17" s="179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20</v>
      </c>
      <c r="D18" s="346" t="s">
        <v>1417</v>
      </c>
      <c r="E18" s="346" t="s">
        <v>1418</v>
      </c>
      <c r="F18" s="366">
        <f>'数据-取费表'!B36</f>
        <v>1.4999999999999999E-2</v>
      </c>
      <c r="G18" s="1849"/>
      <c r="H18" s="1196" t="s">
        <v>1031</v>
      </c>
      <c r="I18" s="346" t="s">
        <v>1429</v>
      </c>
      <c r="J18" s="24">
        <f ca="1">ROUND(J5*M18/(1+'数据-取费表'!C42),2)</f>
        <v>0</v>
      </c>
      <c r="K18" s="179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1532</v>
      </c>
      <c r="D19" s="139" t="s">
        <v>1432</v>
      </c>
      <c r="E19" s="1813"/>
      <c r="F19" s="26"/>
      <c r="G19" s="1846"/>
      <c r="H19" s="1196" t="s">
        <v>1033</v>
      </c>
      <c r="I19" s="346" t="s">
        <v>1433</v>
      </c>
      <c r="J19" s="24">
        <f ca="1">IF(K19="按租金收入计税",ROUND(J5*M19,2),ROUND(C29*M19*0.7,2))</f>
        <v>18.170000000000002</v>
      </c>
      <c r="K19" s="1823" t="s">
        <v>1434</v>
      </c>
      <c r="L19" s="346" t="s">
        <v>1418</v>
      </c>
      <c r="M19" s="366">
        <f>IF(K19="按租金收入计税",'数据-取费表'!B51,'数据-取费表'!B50)</f>
        <v>1.2E-2</v>
      </c>
    </row>
    <row r="20" spans="1:37" s="1853" customFormat="1" ht="18" customHeight="1">
      <c r="A20" s="1196" t="s">
        <v>1036</v>
      </c>
      <c r="B20" s="346" t="s">
        <v>1435</v>
      </c>
      <c r="C20" s="24">
        <f ca="1">ROUND(C19*F20,0)</f>
        <v>46</v>
      </c>
      <c r="D20" s="368" t="s">
        <v>1436</v>
      </c>
      <c r="E20" s="346" t="s">
        <v>1418</v>
      </c>
      <c r="F20" s="366">
        <f>'数据-取费表'!B37</f>
        <v>0.03</v>
      </c>
      <c r="G20" s="1849"/>
      <c r="H20" s="1196" t="s">
        <v>1385</v>
      </c>
      <c r="I20" s="163" t="s">
        <v>1437</v>
      </c>
      <c r="J20" s="25">
        <f ca="1">ROUND(M20*M21/10000,2)</f>
        <v>0.96</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18</v>
      </c>
      <c r="D21" s="368" t="s">
        <v>1441</v>
      </c>
      <c r="E21" s="346" t="s">
        <v>1442</v>
      </c>
      <c r="F21" s="366">
        <f>'数据-取费表'!B38</f>
        <v>0.03</v>
      </c>
      <c r="G21" s="1849"/>
      <c r="H21" s="371"/>
      <c r="I21" s="355"/>
      <c r="J21" s="29"/>
      <c r="K21" s="372"/>
      <c r="L21" s="346" t="s">
        <v>1443</v>
      </c>
      <c r="M21" s="347">
        <f ca="1">INDIRECT("'数据-取费表'!r"&amp;$G$1)</f>
        <v>4779.58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1813"/>
      <c r="F22" s="26"/>
      <c r="G22" s="1846"/>
      <c r="H22" s="1196" t="s">
        <v>1036</v>
      </c>
      <c r="I22" s="346" t="s">
        <v>1445</v>
      </c>
      <c r="J22" s="24">
        <f ca="1">ROUND(J14*M22,1)</f>
        <v>32.4</v>
      </c>
      <c r="K22" s="1793" t="s">
        <v>1446</v>
      </c>
      <c r="L22" s="346" t="s">
        <v>1418</v>
      </c>
      <c r="M22" s="373">
        <f ca="1">INDIRECT("'数据-取费表'!Ak"&amp;$G$1)</f>
        <v>1.4999999999999999E-2</v>
      </c>
    </row>
    <row r="23" spans="1:37" s="1853" customFormat="1" ht="18" customHeight="1">
      <c r="A23" s="1196" t="s">
        <v>1031</v>
      </c>
      <c r="B23" s="346" t="s">
        <v>1447</v>
      </c>
      <c r="C23" s="24">
        <f ca="1">IF('数据-取费表'!B22&lt;=1,ROUND(C19*F24*F23/2,0)+ROUND(C20*F24*F23/2,0),ROUND(C19*(POWER((1+F24),F23/2)-1),0)+ROUND(C20*(POWER((1+F24),F23/2)-1),0))</f>
        <v>75</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ROUND(J13*M23,1)</f>
        <v>0</v>
      </c>
      <c r="K23" s="1793" t="s">
        <v>1450</v>
      </c>
      <c r="L23" s="346" t="s">
        <v>1451</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6" t="s">
        <v>1457</v>
      </c>
      <c r="C25" s="24"/>
      <c r="D25" s="139" t="s">
        <v>1458</v>
      </c>
      <c r="E25" s="1813"/>
      <c r="F25" s="26"/>
      <c r="G25" s="1846"/>
      <c r="H25" s="1324" t="s">
        <v>1028</v>
      </c>
      <c r="I25" s="1339" t="s">
        <v>1459</v>
      </c>
      <c r="J25" s="354">
        <f ca="1">J5-J16</f>
        <v>-52</v>
      </c>
      <c r="K25" s="1340" t="s">
        <v>1460</v>
      </c>
      <c r="L25" s="1341"/>
      <c r="M25" s="1342"/>
    </row>
    <row r="26" spans="1:37">
      <c r="A26" s="1196" t="s">
        <v>1031</v>
      </c>
      <c r="B26" s="346" t="s">
        <v>1461</v>
      </c>
      <c r="C26" s="24">
        <f ca="1">ROUND((C19+C20)*F26,0)</f>
        <v>316</v>
      </c>
      <c r="D26" s="368" t="s">
        <v>1462</v>
      </c>
      <c r="E26" s="357" t="s">
        <v>1463</v>
      </c>
      <c r="F26" s="356">
        <f ca="1">INDIRECT("'数据-取费表'!q"&amp;$G$1)</f>
        <v>0.2</v>
      </c>
      <c r="G26" s="1846"/>
      <c r="H26" s="343" t="s">
        <v>1029</v>
      </c>
      <c r="I26" s="344" t="s">
        <v>1464</v>
      </c>
      <c r="J26" s="345">
        <f ca="1">IF(J5&lt;&gt;0,ROUND(J25*(1-((1+M28)/(1+M26))^M27)/(M26-M28),0),0)</f>
        <v>0</v>
      </c>
      <c r="K26" s="369" t="s">
        <v>1465</v>
      </c>
      <c r="L26" s="346" t="s">
        <v>1466</v>
      </c>
      <c r="M26" s="356">
        <f ca="1">INDIRECT("'数据-取费表'!I"&amp;$G$1)</f>
        <v>5.5E-2</v>
      </c>
    </row>
    <row r="27" spans="1:37" ht="18" customHeight="1">
      <c r="A27" s="1196" t="s">
        <v>1033</v>
      </c>
      <c r="B27" s="346" t="s">
        <v>1467</v>
      </c>
      <c r="C27" s="24">
        <f ca="1">ROUND(F21*F26,4)</f>
        <v>6.0000000000000001E-3</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2163</v>
      </c>
      <c r="D29" s="1337"/>
      <c r="E29" s="1335"/>
      <c r="F29" s="1338"/>
      <c r="G29" s="1849"/>
      <c r="H29" s="379" t="s">
        <v>1030</v>
      </c>
      <c r="I29" s="380" t="s">
        <v>1475</v>
      </c>
      <c r="J29" s="381">
        <f ca="1">ROUND(J26/(1+F40)^F41,0)</f>
        <v>0</v>
      </c>
      <c r="K29" s="382" t="s">
        <v>1476</v>
      </c>
      <c r="L29" s="383"/>
      <c r="M29" s="384">
        <f ca="1">INDIRECT("'数据-取费表'!k"&amp;$G$1)</f>
        <v>5353.1299999999992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109</v>
      </c>
      <c r="D30" s="1332" t="s">
        <v>1421</v>
      </c>
      <c r="E30" s="1333"/>
      <c r="F30" s="1289"/>
      <c r="G30" s="1846"/>
      <c r="H30" s="744"/>
      <c r="I30" s="745"/>
      <c r="J30" s="746"/>
      <c r="K30" s="747"/>
      <c r="L30" s="748"/>
      <c r="M30" s="749"/>
    </row>
    <row r="31" spans="1:37" ht="18" customHeight="1">
      <c r="A31" s="1196" t="s">
        <v>1032</v>
      </c>
      <c r="B31" s="346" t="s">
        <v>1425</v>
      </c>
      <c r="C31" s="24">
        <f ca="1">ROUND(IF(项目基本情况!B11="自然人",C5*F31,C32+C33+C34),1)</f>
        <v>69.7</v>
      </c>
      <c r="D31" s="1795" t="s">
        <v>1426</v>
      </c>
      <c r="E31" s="179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IF(项目基本情况!B11="自然人","——",ROUND(C5*F32/(1+'数据-取费表'!C42),2))</f>
        <v>20.9</v>
      </c>
      <c r="D32" s="179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IF(项目基本情况!B11="自然人","——",IF(D33="按租金收入计税",ROUND(C5*F33,2),IF(D33="按房产原值计税",ROUND(C29*F33*0.7,2),INDIRECT("'数据-取费表'!Aj"&amp;$G$1))))</f>
        <v>47.88</v>
      </c>
      <c r="D33" s="1823" t="s">
        <v>3111</v>
      </c>
      <c r="E33" s="346" t="s">
        <v>1418</v>
      </c>
      <c r="F33" s="366">
        <f>IF(D33="按票据","——",IF(D33="按租金收入计税",'数据-取费表'!B51,'数据-取费表'!B50))</f>
        <v>0.12</v>
      </c>
      <c r="G33" s="1846"/>
      <c r="H33" s="1854"/>
      <c r="I33" s="1855"/>
      <c r="J33" s="1856"/>
      <c r="K33" s="1857"/>
      <c r="L33" s="1854"/>
      <c r="M33" s="1854"/>
    </row>
    <row r="34" spans="1:18" ht="18" customHeight="1">
      <c r="A34" s="1286" t="s">
        <v>1385</v>
      </c>
      <c r="B34" s="163" t="s">
        <v>1437</v>
      </c>
      <c r="C34" s="25">
        <f ca="1">IF(项目基本情况!B11="自然人","——",ROUND(F34*F35/10000,2))</f>
        <v>0.96</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4779.58</v>
      </c>
      <c r="G35" s="1846"/>
      <c r="H35" s="744"/>
      <c r="I35" s="1855"/>
      <c r="J35" s="1856"/>
      <c r="K35" s="1857"/>
      <c r="L35" s="1854"/>
      <c r="M35" s="1854"/>
    </row>
    <row r="36" spans="1:18" ht="18" customHeight="1">
      <c r="A36" s="1347" t="s">
        <v>1036</v>
      </c>
      <c r="B36" s="346" t="s">
        <v>1445</v>
      </c>
      <c r="C36" s="24">
        <f ca="1">ROUND(C29*F36,1)</f>
        <v>32.4</v>
      </c>
      <c r="D36" s="1793" t="s">
        <v>1478</v>
      </c>
      <c r="E36" s="346" t="s">
        <v>1418</v>
      </c>
      <c r="F36" s="373">
        <f ca="1">INDIRECT("'数据-取费表'!Ak"&amp;$G$1)</f>
        <v>1.4999999999999999E-2</v>
      </c>
      <c r="G36" s="1846"/>
      <c r="H36" s="1854"/>
      <c r="I36" s="1855"/>
      <c r="J36" s="1856"/>
      <c r="K36" s="750"/>
      <c r="L36" s="1854"/>
      <c r="M36" s="1854"/>
    </row>
    <row r="37" spans="1:18" ht="18" customHeight="1">
      <c r="A37" s="1196" t="s">
        <v>1072</v>
      </c>
      <c r="B37" s="346" t="s">
        <v>1449</v>
      </c>
      <c r="C37" s="24">
        <f ca="1">ROUND(C13*F37,1)</f>
        <v>3.2</v>
      </c>
      <c r="D37" s="1793" t="s">
        <v>1450</v>
      </c>
      <c r="E37" s="346" t="s">
        <v>1451</v>
      </c>
      <c r="F37" s="375">
        <f ca="1">INDIRECT("'数据-取费表'!Al"&amp;$G$1)</f>
        <v>1.5E-3</v>
      </c>
      <c r="G37" s="1846"/>
      <c r="H37" s="1854"/>
      <c r="I37" s="1855"/>
      <c r="J37" s="1856"/>
      <c r="K37" s="750"/>
      <c r="L37" s="1854"/>
      <c r="M37" s="1854"/>
    </row>
    <row r="38" spans="1:18" ht="18" customHeight="1" thickBot="1">
      <c r="A38" s="1334" t="s">
        <v>1389</v>
      </c>
      <c r="B38" s="1335" t="s">
        <v>1435</v>
      </c>
      <c r="C38" s="1336">
        <f ca="1">ROUND(C5*F38,1)</f>
        <v>4</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4">
        <f ca="1">C5-C30</f>
        <v>290</v>
      </c>
      <c r="D39" s="1340" t="s">
        <v>1480</v>
      </c>
      <c r="E39" s="1341"/>
      <c r="F39" s="1342"/>
      <c r="G39" s="1846"/>
      <c r="H39" s="1854"/>
      <c r="I39" s="1855"/>
      <c r="J39" s="1856"/>
      <c r="K39" s="1860"/>
      <c r="L39" s="1854"/>
      <c r="M39" s="1854"/>
    </row>
    <row r="40" spans="1:18" ht="18" customHeight="1">
      <c r="A40" s="343" t="s">
        <v>1029</v>
      </c>
      <c r="B40" s="344" t="s">
        <v>1481</v>
      </c>
      <c r="C40" s="345">
        <f ca="1">ROUND(C39*(1-((1+F42)/(1+F40))^F41)/(F40-F42),0)</f>
        <v>6539</v>
      </c>
      <c r="D40" s="369" t="s">
        <v>1465</v>
      </c>
      <c r="E40" s="346" t="s">
        <v>1466</v>
      </c>
      <c r="F40" s="356">
        <f ca="1">INDIRECT("'数据-取费表'!I"&amp;$G$1)</f>
        <v>5.5E-2</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34.590000000000003</v>
      </c>
      <c r="G41" s="1846"/>
      <c r="H41" s="731"/>
      <c r="I41" s="1855"/>
      <c r="J41" s="1856"/>
      <c r="K41" s="750"/>
      <c r="L41" s="731"/>
      <c r="M41" s="731"/>
    </row>
    <row r="42" spans="1:18" ht="18" customHeight="1">
      <c r="A42" s="352"/>
      <c r="B42" s="353"/>
      <c r="C42" s="354"/>
      <c r="D42" s="372"/>
      <c r="E42" s="346" t="s">
        <v>1473</v>
      </c>
      <c r="F42" s="356">
        <f ca="1">INDIRECT("'数据-取费表'!v"&amp;$G$1)</f>
        <v>0.03</v>
      </c>
      <c r="G42" s="1846"/>
      <c r="H42" s="731"/>
      <c r="I42" s="1855"/>
      <c r="J42" s="1856"/>
      <c r="K42" s="750"/>
      <c r="L42" s="731"/>
      <c r="M42" s="731"/>
    </row>
    <row r="43" spans="1:18" ht="18" customHeight="1" thickBot="1">
      <c r="A43" s="379" t="s">
        <v>1030</v>
      </c>
      <c r="B43" s="380" t="s">
        <v>1483</v>
      </c>
      <c r="C43" s="381">
        <f ca="1">ROUND(C40*10000/F43,0)</f>
        <v>12215</v>
      </c>
      <c r="D43" s="382" t="s">
        <v>1484</v>
      </c>
      <c r="E43" s="383" t="s">
        <v>1485</v>
      </c>
      <c r="F43" s="384">
        <f ca="1">INDIRECT("'数据-取费表'!k"&amp;$G$1)</f>
        <v>5353.1299999999992</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-9881</v>
      </c>
      <c r="D46" s="1867" t="str">
        <f>C2</f>
        <v>万元</v>
      </c>
      <c r="E46" s="1861"/>
      <c r="F46" s="1861"/>
      <c r="I46" s="1868" t="s">
        <v>1517</v>
      </c>
      <c r="J46" s="1869"/>
      <c r="K46" s="1870"/>
      <c r="L46" s="2969"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1"/>
      <c r="I47" s="1875" t="s">
        <v>1522</v>
      </c>
      <c r="J47" s="1876" t="s">
        <v>3065</v>
      </c>
      <c r="K47" s="1877" t="s">
        <v>1523</v>
      </c>
      <c r="L47" s="1878">
        <f ca="1">INDIRECT("'数据-取费表'!d"&amp;$G$1)</f>
        <v>40</v>
      </c>
      <c r="M47" s="1833" t="str">
        <f>IF(ISNUMBER(FIND("住宅",C1)),"住宅","非住宅")</f>
        <v>非住宅</v>
      </c>
      <c r="O47" s="1879" t="s">
        <v>1037</v>
      </c>
      <c r="P47" s="1880" t="s">
        <v>1524</v>
      </c>
      <c r="Q47" s="1881">
        <f ca="1">C40+J29</f>
        <v>6539</v>
      </c>
      <c r="R47" s="1881" t="s">
        <v>1525</v>
      </c>
    </row>
    <row r="48" spans="1:18" s="1837" customFormat="1" ht="28.5" thickBot="1">
      <c r="A48" s="1355" t="s">
        <v>1132</v>
      </c>
      <c r="B48" s="344" t="s">
        <v>1397</v>
      </c>
      <c r="C48" s="1812">
        <f ca="1">C49+C53+C55</f>
        <v>0</v>
      </c>
      <c r="D48" s="1357"/>
      <c r="E48" s="1358"/>
      <c r="F48" s="1176"/>
      <c r="G48" s="791"/>
      <c r="H48" s="792"/>
      <c r="I48" s="1882" t="s">
        <v>1526</v>
      </c>
      <c r="J48" s="1883" t="s">
        <v>3112</v>
      </c>
      <c r="K48" s="1884" t="s">
        <v>1527</v>
      </c>
      <c r="L48" s="1885">
        <f ca="1">INDIRECT("'数据-取费表'!f"&amp;$G$1)</f>
        <v>35.49</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3028</v>
      </c>
      <c r="E49" s="1825" t="s">
        <v>1487</v>
      </c>
      <c r="F49" s="1276"/>
      <c r="G49" s="1886"/>
      <c r="H49" s="792"/>
      <c r="I49" s="1882" t="s">
        <v>1530</v>
      </c>
      <c r="J49" s="1887">
        <v>2020</v>
      </c>
      <c r="K49" s="1884" t="s">
        <v>1531</v>
      </c>
      <c r="L49" s="1888"/>
      <c r="O49" s="1889" t="s">
        <v>1039</v>
      </c>
      <c r="P49" s="1880" t="s">
        <v>1532</v>
      </c>
      <c r="Q49" s="1881">
        <f ca="1">C29</f>
        <v>2163</v>
      </c>
      <c r="R49" s="1881" t="s">
        <v>1525</v>
      </c>
    </row>
    <row r="50" spans="1:18" s="1837" customFormat="1" ht="13.5" thickBot="1">
      <c r="A50" s="1190"/>
      <c r="B50" s="1193"/>
      <c r="C50" s="1363"/>
      <c r="D50" s="1167"/>
      <c r="E50" s="1272" t="s">
        <v>1402</v>
      </c>
      <c r="F50" s="1273">
        <f ca="1">F7</f>
        <v>5353.1299999999992</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7">
        <f ca="1">F8</f>
        <v>365</v>
      </c>
      <c r="I51" s="1893" t="s">
        <v>1536</v>
      </c>
      <c r="J51" s="1894">
        <f>IF(J49="",J50,J49+J50-YEAR('数据-取费表'!B2))</f>
        <v>61</v>
      </c>
      <c r="K51" s="1895" t="s">
        <v>1537</v>
      </c>
      <c r="L51" s="1896">
        <f ca="1">ROUND(-PV(INDIRECT("'数据-取费表'!h"&amp;$G$1),L48,(C39-C13*C76),0),0)</f>
        <v>1747</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34.590000000000003</v>
      </c>
      <c r="R52" s="1881" t="s">
        <v>1542</v>
      </c>
    </row>
    <row r="53" spans="1:18" s="1837" customFormat="1" ht="24.75" thickBot="1">
      <c r="A53" s="1400" t="s">
        <v>1134</v>
      </c>
      <c r="B53" s="1826" t="s">
        <v>1405</v>
      </c>
      <c r="C53" s="360">
        <f ca="1">ROUND(IF(F53="押一",C49/12*F11,IF(F53="押二",C49/12*2*F11,IF(F53="押三",C49/12*3*F11,C54*F11))),0)</f>
        <v>0</v>
      </c>
      <c r="D53" s="1819" t="s">
        <v>3035</v>
      </c>
      <c r="E53" s="357"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34.590000000000003</v>
      </c>
      <c r="K53" s="3282" t="s">
        <v>1544</v>
      </c>
      <c r="L53" s="3283"/>
      <c r="O53" s="1879" t="s">
        <v>1043</v>
      </c>
      <c r="P53" s="1880" t="s">
        <v>1545</v>
      </c>
      <c r="Q53" s="1881">
        <f ca="1">Q47+Q48</f>
        <v>6539</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5">
        <f ca="1">C13</f>
        <v>2163</v>
      </c>
      <c r="D56" s="1909"/>
      <c r="E56" s="1910"/>
      <c r="F56" s="1902"/>
      <c r="I56" s="1911" t="s">
        <v>1550</v>
      </c>
      <c r="J56" s="2970" t="s">
        <v>3091</v>
      </c>
      <c r="K56" s="1882" t="s">
        <v>1551</v>
      </c>
      <c r="L56" s="1885" t="str">
        <f ca="1">IF(L48&lt;J51,"——",L48-J53)</f>
        <v>——</v>
      </c>
      <c r="O56" s="1879" t="s">
        <v>1037</v>
      </c>
      <c r="P56" s="1880" t="s">
        <v>1524</v>
      </c>
      <c r="Q56" s="1881">
        <f ca="1">C40+J29</f>
        <v>6539</v>
      </c>
      <c r="R56" s="1881" t="s">
        <v>1525</v>
      </c>
    </row>
    <row r="57" spans="1:18" s="1837" customFormat="1" ht="24.75" thickBot="1">
      <c r="A57" s="1913"/>
      <c r="B57" s="1164" t="s">
        <v>1474</v>
      </c>
      <c r="C57" s="281">
        <f ca="1">C29</f>
        <v>2163</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9" t="s">
        <v>1027</v>
      </c>
      <c r="B58" s="1172" t="s">
        <v>1420</v>
      </c>
      <c r="C58" s="360">
        <f ca="1">ROUND(C59+C64+C65+C66,0)</f>
        <v>218</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182.7</v>
      </c>
      <c r="D59" s="1177" t="s">
        <v>1426</v>
      </c>
      <c r="E59" s="1178" t="s">
        <v>1427</v>
      </c>
      <c r="F59" s="367"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6">
        <f t="shared" ref="F60:F66" si="0">F32</f>
        <v>5.5000000000000007E-2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IF(项目基本情况!B11="自然人","——",IF(D61="按租金收入计税",ROUND(C48*F61,2),IF(D61="按房产原值计税",ROUND(C57*F61*0.7,2),INDIRECT("'数据-取费表'!Aj"&amp;$G$1))))</f>
        <v>181.69</v>
      </c>
      <c r="D61" s="1823" t="s">
        <v>1434</v>
      </c>
      <c r="E61" s="1164" t="s">
        <v>1490</v>
      </c>
      <c r="F61" s="366">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IF(项目基本情况!B11="自然人","——",ROUND(F62*F63/10000,2))</f>
        <v>0.96</v>
      </c>
      <c r="D62" s="1179" t="s">
        <v>1493</v>
      </c>
      <c r="E62" s="1164" t="s">
        <v>1494</v>
      </c>
      <c r="F62" s="370">
        <f t="shared" si="0"/>
        <v>2</v>
      </c>
      <c r="I62" s="1924" t="s">
        <v>1566</v>
      </c>
      <c r="J62" s="1925" t="s">
        <v>1567</v>
      </c>
      <c r="K62" s="1925" t="s">
        <v>1568</v>
      </c>
      <c r="L62" s="1925" t="s">
        <v>1569</v>
      </c>
      <c r="M62" s="1926" t="s">
        <v>1570</v>
      </c>
      <c r="O62" s="1879" t="s">
        <v>1043</v>
      </c>
      <c r="P62" s="1880" t="s">
        <v>1571</v>
      </c>
      <c r="Q62" s="1881">
        <f ca="1">Q56+Q57</f>
        <v>6539</v>
      </c>
      <c r="R62" s="1881" t="s">
        <v>1044</v>
      </c>
    </row>
    <row r="63" spans="1:18" s="1837" customFormat="1" ht="13.5" thickBot="1">
      <c r="A63" s="371"/>
      <c r="B63" s="1170"/>
      <c r="C63" s="29"/>
      <c r="D63" s="1180"/>
      <c r="E63" s="1164" t="s">
        <v>1495</v>
      </c>
      <c r="F63" s="347">
        <f t="shared" ca="1" si="0"/>
        <v>4779.58</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ROUND(C57*F64,1)</f>
        <v>32.4</v>
      </c>
      <c r="D64" s="1178" t="s">
        <v>1498</v>
      </c>
      <c r="E64" s="1164" t="s">
        <v>1490</v>
      </c>
      <c r="F64" s="373">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3.2</v>
      </c>
      <c r="D65" s="1178" t="s">
        <v>1450</v>
      </c>
      <c r="E65" s="1164" t="s">
        <v>1451</v>
      </c>
      <c r="F65" s="375">
        <f t="shared" ca="1" si="0"/>
        <v>1.5E-3</v>
      </c>
      <c r="I65" s="1924" t="s">
        <v>1575</v>
      </c>
      <c r="J65" s="1925">
        <v>40</v>
      </c>
      <c r="K65" s="1925">
        <v>30</v>
      </c>
      <c r="L65" s="1925">
        <v>50</v>
      </c>
      <c r="M65" s="1927">
        <v>0.02</v>
      </c>
      <c r="O65" s="1879" t="s">
        <v>1037</v>
      </c>
      <c r="P65" s="1880" t="s">
        <v>1576</v>
      </c>
      <c r="Q65" s="1881">
        <f ca="1">C40+J29</f>
        <v>6539</v>
      </c>
      <c r="R65" s="1881" t="s">
        <v>1525</v>
      </c>
    </row>
    <row r="66" spans="1:18" s="1837" customFormat="1" ht="16.5" thickBot="1">
      <c r="A66" s="1196" t="s">
        <v>1500</v>
      </c>
      <c r="B66" s="1164" t="s">
        <v>1435</v>
      </c>
      <c r="C66" s="24">
        <f ca="1">ROUND(C48*F66,1)</f>
        <v>0</v>
      </c>
      <c r="D66" s="1178" t="s">
        <v>1501</v>
      </c>
      <c r="E66" s="1164" t="s">
        <v>1418</v>
      </c>
      <c r="F66" s="356">
        <f t="shared" ca="1" si="0"/>
        <v>0.01</v>
      </c>
      <c r="O66" s="1879" t="s">
        <v>1038</v>
      </c>
      <c r="P66" s="1880" t="s">
        <v>1554</v>
      </c>
      <c r="Q66" s="1881">
        <f ca="1">L60</f>
        <v>0</v>
      </c>
      <c r="R66" s="1881" t="s">
        <v>1577</v>
      </c>
    </row>
    <row r="67" spans="1:18" s="1837" customFormat="1" ht="16.5" thickBot="1">
      <c r="A67" s="1171" t="s">
        <v>1028</v>
      </c>
      <c r="B67" s="1181" t="s">
        <v>1459</v>
      </c>
      <c r="C67" s="360">
        <f ca="1">C48-C58</f>
        <v>-218</v>
      </c>
      <c r="D67" s="1177" t="s">
        <v>1460</v>
      </c>
      <c r="E67" s="1182"/>
      <c r="F67" s="1183"/>
      <c r="O67" s="1889" t="s">
        <v>1039</v>
      </c>
      <c r="P67" s="1880" t="s">
        <v>1558</v>
      </c>
      <c r="Q67" s="1928">
        <f ca="1">L51</f>
        <v>1747</v>
      </c>
      <c r="R67" s="1881" t="s">
        <v>1578</v>
      </c>
    </row>
    <row r="68" spans="1:18" s="1837" customFormat="1" ht="16.5" thickBot="1">
      <c r="A68" s="1161" t="s">
        <v>1029</v>
      </c>
      <c r="B68" s="1162" t="s">
        <v>1481</v>
      </c>
      <c r="C68" s="345">
        <f ca="1">ROUND(C67*(1-((1+F70)/(1+F68))^F69)/(F68-F70),0)</f>
        <v>-3342</v>
      </c>
      <c r="D68" s="1179" t="s">
        <v>1465</v>
      </c>
      <c r="E68" s="1164" t="s">
        <v>1466</v>
      </c>
      <c r="F68" s="356">
        <f ca="1">F40</f>
        <v>5.5E-2</v>
      </c>
      <c r="O68" s="1889" t="s">
        <v>1040</v>
      </c>
      <c r="P68" s="1929" t="s">
        <v>1579</v>
      </c>
      <c r="Q68" s="1881">
        <f ca="1">ROUND(Q69-Q70*Q71,0)</f>
        <v>106</v>
      </c>
      <c r="R68" s="1881" t="s">
        <v>1048</v>
      </c>
    </row>
    <row r="69" spans="1:18" s="1837" customFormat="1" ht="13.5" thickBot="1">
      <c r="A69" s="1165"/>
      <c r="B69" s="1166"/>
      <c r="C69" s="350"/>
      <c r="D69" s="1184" t="s">
        <v>1469</v>
      </c>
      <c r="E69" s="1164" t="s">
        <v>1470</v>
      </c>
      <c r="F69" s="378">
        <f ca="1">F41</f>
        <v>34.590000000000003</v>
      </c>
      <c r="O69" s="1889" t="s">
        <v>1045</v>
      </c>
      <c r="P69" s="1929" t="s">
        <v>1580</v>
      </c>
      <c r="Q69" s="1881">
        <f ca="1">C39</f>
        <v>290</v>
      </c>
      <c r="R69" s="1881" t="s">
        <v>1525</v>
      </c>
    </row>
    <row r="70" spans="1:18" s="1837" customFormat="1" ht="13.5" thickBot="1">
      <c r="A70" s="1168"/>
      <c r="B70" s="1169"/>
      <c r="C70" s="354"/>
      <c r="D70" s="1180"/>
      <c r="E70" s="1164" t="s">
        <v>1473</v>
      </c>
      <c r="F70" s="1270"/>
      <c r="O70" s="1889" t="s">
        <v>1046</v>
      </c>
      <c r="P70" s="1929" t="s">
        <v>1581</v>
      </c>
      <c r="Q70" s="1881">
        <f ca="1">C13</f>
        <v>2163</v>
      </c>
      <c r="R70" s="1881" t="s">
        <v>1525</v>
      </c>
    </row>
    <row r="71" spans="1:18" s="1837" customFormat="1" ht="13.5" thickBot="1">
      <c r="A71" s="1185" t="s">
        <v>1030</v>
      </c>
      <c r="B71" s="1186" t="s">
        <v>1483</v>
      </c>
      <c r="C71" s="381">
        <f ca="1">ROUND(C68*10000/F71,0)</f>
        <v>-6243</v>
      </c>
      <c r="D71" s="1187" t="s">
        <v>1484</v>
      </c>
      <c r="E71" s="1188" t="s">
        <v>1485</v>
      </c>
      <c r="F71" s="384">
        <f ca="1">F43</f>
        <v>5353.1299999999992</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5" t="s">
        <v>1502</v>
      </c>
      <c r="C75" s="386">
        <f ca="1">ROUND(C13*C76,0)</f>
        <v>184</v>
      </c>
      <c r="D75" s="1837"/>
      <c r="E75" s="1837"/>
      <c r="F75" s="1837"/>
      <c r="K75" s="1863"/>
      <c r="L75" s="1837"/>
      <c r="O75" s="1879" t="s">
        <v>1043</v>
      </c>
      <c r="P75" s="1880" t="s">
        <v>1545</v>
      </c>
      <c r="Q75" s="1881">
        <f ca="1">Q65+Q66</f>
        <v>6539</v>
      </c>
      <c r="R75" s="1881" t="s">
        <v>1044</v>
      </c>
    </row>
    <row r="76" spans="1:18">
      <c r="B76" s="387" t="s">
        <v>1503</v>
      </c>
      <c r="C76" s="388">
        <f ca="1">INDIRECT("'数据-取费表'!j"&amp;$G$1)</f>
        <v>8.5000000000000006E-2</v>
      </c>
      <c r="I76" s="1837"/>
      <c r="J76" s="1837"/>
      <c r="K76" s="1863"/>
      <c r="L76" s="1837"/>
    </row>
    <row r="77" spans="1:18">
      <c r="B77" s="389" t="s">
        <v>1504</v>
      </c>
      <c r="C77" s="390"/>
      <c r="I77" s="1837"/>
      <c r="J77" s="1837"/>
      <c r="K77" s="1863"/>
      <c r="L77" s="1837"/>
    </row>
    <row r="78" spans="1:18">
      <c r="B78" s="313" t="s">
        <v>1505</v>
      </c>
      <c r="C78" s="391"/>
    </row>
    <row r="79" spans="1:18">
      <c r="B79" s="385" t="s">
        <v>1506</v>
      </c>
      <c r="C79" s="317">
        <f ca="1">1-C80</f>
        <v>0.36599999999999999</v>
      </c>
    </row>
    <row r="80" spans="1:18">
      <c r="B80" s="385" t="s">
        <v>1507</v>
      </c>
      <c r="C80" s="317">
        <f ca="1">ROUND(C75/C39,3)</f>
        <v>0.63400000000000001</v>
      </c>
    </row>
    <row r="81" spans="2:3">
      <c r="B81" s="313" t="s">
        <v>1508</v>
      </c>
      <c r="C81" s="281"/>
    </row>
    <row r="82" spans="2:3">
      <c r="B82" s="316" t="s">
        <v>1509</v>
      </c>
      <c r="C82" s="318">
        <f ca="1">1-C83</f>
        <v>0.66900000000000004</v>
      </c>
    </row>
    <row r="83" spans="2:3">
      <c r="B83" s="316" t="s">
        <v>1510</v>
      </c>
      <c r="C83" s="317">
        <f ca="1">ROUND(C13/C40,3)</f>
        <v>0.33100000000000002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c r="D1" s="1815"/>
      <c r="E1" s="1816" t="s">
        <v>1383</v>
      </c>
      <c r="F1" s="1278" t="b">
        <f>J53</f>
        <v>0</v>
      </c>
      <c r="G1" s="1831">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3" t="s">
        <v>1584</v>
      </c>
      <c r="I3" s="1835"/>
      <c r="J3" s="1835"/>
      <c r="K3" s="1836"/>
      <c r="L3" s="1835"/>
      <c r="M3" s="1835"/>
    </row>
    <row r="4" spans="1:37" ht="18" customHeight="1">
      <c r="A4" s="339" t="s">
        <v>1591</v>
      </c>
      <c r="B4" s="340" t="s">
        <v>1592</v>
      </c>
      <c r="C4" s="340" t="s">
        <v>1593</v>
      </c>
      <c r="D4" s="340" t="s">
        <v>1594</v>
      </c>
      <c r="E4" s="341" t="s">
        <v>1595</v>
      </c>
      <c r="F4" s="342"/>
      <c r="G4" s="1846"/>
      <c r="H4" s="339" t="s">
        <v>1591</v>
      </c>
      <c r="I4" s="340" t="s">
        <v>1592</v>
      </c>
      <c r="J4" s="340" t="s">
        <v>1593</v>
      </c>
      <c r="K4" s="340" t="s">
        <v>1594</v>
      </c>
      <c r="L4" s="341" t="s">
        <v>1595</v>
      </c>
      <c r="M4" s="342"/>
    </row>
    <row r="5" spans="1:37" ht="18" customHeight="1">
      <c r="A5" s="343">
        <v>1</v>
      </c>
      <c r="B5" s="344" t="s">
        <v>1596</v>
      </c>
      <c r="C5" s="1287">
        <f ca="1">C6+C10+C12</f>
        <v>0</v>
      </c>
      <c r="D5" s="1817" t="s">
        <v>1597</v>
      </c>
      <c r="E5" s="1288"/>
      <c r="F5" s="1289"/>
      <c r="G5" s="1846"/>
      <c r="H5" s="343">
        <v>1</v>
      </c>
      <c r="I5" s="344" t="s">
        <v>1596</v>
      </c>
      <c r="J5" s="1287">
        <f ca="1">J6+J10+J12</f>
        <v>0</v>
      </c>
      <c r="K5" s="1817" t="s">
        <v>1597</v>
      </c>
      <c r="L5" s="1288"/>
      <c r="M5" s="1289"/>
    </row>
    <row r="6" spans="1:37" ht="18" customHeight="1">
      <c r="A6" s="1286" t="s">
        <v>1032</v>
      </c>
      <c r="B6" s="3284" t="s">
        <v>1399</v>
      </c>
      <c r="C6" s="1291">
        <f ca="1">ROUND(F6*F8*F7*(1-F9),0)</f>
        <v>0</v>
      </c>
      <c r="D6" s="163" t="s">
        <v>3024</v>
      </c>
      <c r="E6" s="346" t="s">
        <v>1401</v>
      </c>
      <c r="F6" s="347">
        <f ca="1">INDIRECT("'数据-取费表'!u"&amp;$G$1)</f>
        <v>0</v>
      </c>
      <c r="G6" s="1846"/>
      <c r="H6" s="1286" t="s">
        <v>1032</v>
      </c>
      <c r="I6" s="3284" t="s">
        <v>1399</v>
      </c>
      <c r="J6" s="345">
        <f ca="1">ROUND(M6*M8*M7*(1-M9),0)</f>
        <v>0</v>
      </c>
      <c r="K6" s="1829" t="s">
        <v>3025</v>
      </c>
      <c r="L6" s="346" t="s">
        <v>1401</v>
      </c>
      <c r="M6" s="347">
        <f ca="1">INDIRECT("'数据-取费表'!z"&amp;$G$1)</f>
        <v>0</v>
      </c>
    </row>
    <row r="7" spans="1:37" ht="18" customHeight="1">
      <c r="A7" s="1290"/>
      <c r="B7" s="3285"/>
      <c r="C7" s="1292"/>
      <c r="D7" s="351"/>
      <c r="E7" s="1293" t="s">
        <v>1402</v>
      </c>
      <c r="F7" s="347">
        <f ca="1">IF(INDIRECT("'数据-取费表'!ah"&amp;$G$1)="",INDIRECT("'数据-取费表'!k"&amp;$G$1),INDIRECT("'数据-取费表'!ah"&amp;$G$1))</f>
        <v>0</v>
      </c>
      <c r="G7" s="1846"/>
      <c r="H7" s="348"/>
      <c r="I7" s="3285"/>
      <c r="J7" s="350"/>
      <c r="K7" s="351"/>
      <c r="L7" s="346" t="s">
        <v>1402</v>
      </c>
      <c r="M7" s="347">
        <f ca="1">F7</f>
        <v>0</v>
      </c>
    </row>
    <row r="8" spans="1:37" ht="18" customHeight="1">
      <c r="A8" s="348"/>
      <c r="B8" s="3285"/>
      <c r="C8" s="350"/>
      <c r="D8" s="351"/>
      <c r="E8" s="346" t="s">
        <v>1403</v>
      </c>
      <c r="F8" s="347">
        <f ca="1">INDIRECT("'数据-取费表'!ai"&amp;$G$1)</f>
        <v>0</v>
      </c>
      <c r="G8" s="1846"/>
      <c r="H8" s="348"/>
      <c r="I8" s="3285"/>
      <c r="J8" s="350"/>
      <c r="K8" s="351"/>
      <c r="L8" s="346" t="s">
        <v>1403</v>
      </c>
      <c r="M8" s="347">
        <f ca="1">INDIRECT("'数据-取费表'!ai"&amp;$G$1)</f>
        <v>0</v>
      </c>
    </row>
    <row r="9" spans="1:37" ht="18" customHeight="1">
      <c r="A9" s="348"/>
      <c r="B9" s="3286"/>
      <c r="C9" s="350"/>
      <c r="D9" s="351"/>
      <c r="E9" s="346" t="s">
        <v>1404</v>
      </c>
      <c r="F9" s="356">
        <f ca="1">INDIRECT("'数据-取费表'!w"&amp;$G$1)</f>
        <v>0</v>
      </c>
      <c r="G9" s="1846"/>
      <c r="H9" s="348"/>
      <c r="I9" s="3286"/>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3035</v>
      </c>
      <c r="E10" s="357" t="s">
        <v>1406</v>
      </c>
      <c r="F10" s="1361"/>
      <c r="G10" s="1846"/>
      <c r="H10" s="1286" t="s">
        <v>1036</v>
      </c>
      <c r="I10" s="1818" t="s">
        <v>1405</v>
      </c>
      <c r="J10" s="345">
        <f ca="1">ROUND(IF(M10="押一",J6/12*M11,IF(M10="押二",J6/12*2*M11,IF(M10="押三",J6/12*3*M11,J11*M11))),0)</f>
        <v>0</v>
      </c>
      <c r="K10" s="1830" t="s">
        <v>3037</v>
      </c>
      <c r="L10" s="357" t="s">
        <v>1406</v>
      </c>
      <c r="M10" s="1361"/>
    </row>
    <row r="11" spans="1:37" ht="18" customHeight="1">
      <c r="A11" s="352"/>
      <c r="B11" s="1820" t="s">
        <v>1598</v>
      </c>
      <c r="C11" s="1173"/>
      <c r="D11" s="351"/>
      <c r="E11" s="357" t="s">
        <v>1408</v>
      </c>
      <c r="F11" s="358">
        <f ca="1">'数据-取费表'!B39</f>
        <v>1.4999999999999999E-2</v>
      </c>
      <c r="G11" s="1846"/>
      <c r="H11" s="1294"/>
      <c r="I11" s="1820" t="s">
        <v>1599</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0</v>
      </c>
      <c r="D13" s="1326" t="s">
        <v>1411</v>
      </c>
      <c r="E13" s="1326" t="s">
        <v>1412</v>
      </c>
      <c r="F13" s="1327">
        <f ca="1">INDIRECT("'数据-取费表'!y"&amp;$G$1)</f>
        <v>0</v>
      </c>
      <c r="G13" s="1846"/>
      <c r="H13" s="1324">
        <v>2</v>
      </c>
      <c r="I13" s="1325" t="s">
        <v>1410</v>
      </c>
      <c r="J13" s="1285">
        <f ca="1">ROUND(J14*J15,0)</f>
        <v>0</v>
      </c>
      <c r="K13" s="1332" t="s">
        <v>1411</v>
      </c>
      <c r="L13" s="1847"/>
      <c r="M13" s="1848"/>
    </row>
    <row r="14" spans="1:37" ht="18" customHeight="1">
      <c r="A14" s="1196" t="s">
        <v>1031</v>
      </c>
      <c r="B14" s="346" t="s">
        <v>1413</v>
      </c>
      <c r="C14" s="362">
        <f ca="1">ROUND(INDIRECT("'数据-取费表'!l"&amp;$G$1)*F43+'数据-取费表'!L14*INDIRECT("'数据-取费表'!S"&amp;$G$1),0)</f>
        <v>0</v>
      </c>
      <c r="D14" s="1795" t="s">
        <v>1414</v>
      </c>
      <c r="E14" s="1789"/>
      <c r="F14" s="363"/>
      <c r="G14" s="1846"/>
      <c r="H14" s="1196" t="s">
        <v>1032</v>
      </c>
      <c r="I14" s="346" t="s">
        <v>1415</v>
      </c>
      <c r="J14" s="24">
        <f ca="1">C29</f>
        <v>0</v>
      </c>
      <c r="K14" s="15"/>
      <c r="L14" s="974"/>
      <c r="M14" s="975"/>
    </row>
    <row r="15" spans="1:37" s="1853" customFormat="1" ht="18" customHeight="1" thickBot="1">
      <c r="A15" s="1196" t="s">
        <v>1033</v>
      </c>
      <c r="B15" s="346" t="s">
        <v>1416</v>
      </c>
      <c r="C15" s="24">
        <f ca="1">ROUND(C14*F15,0)</f>
        <v>0</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ROUND(INDIRECT("'数据-取费表'!l"&amp;$G$1)*F43*F16,0)</f>
        <v>0</v>
      </c>
      <c r="D16" s="346" t="s">
        <v>1417</v>
      </c>
      <c r="E16" s="346" t="s">
        <v>1418</v>
      </c>
      <c r="F16" s="366">
        <f ca="1">IF(INDIRECT("'数据-取费表'!c"&amp;$G$1)="住宅",'数据-取费表'!B34,0)</f>
        <v>0</v>
      </c>
      <c r="G16" s="1846"/>
      <c r="H16" s="1324" t="s">
        <v>1027</v>
      </c>
      <c r="I16" s="1325" t="s">
        <v>1420</v>
      </c>
      <c r="J16" s="354">
        <f ca="1">ROUND(J17+J22+J23+J24,0)</f>
        <v>0</v>
      </c>
      <c r="K16" s="1332" t="s">
        <v>1421</v>
      </c>
      <c r="L16" s="1333"/>
      <c r="M16" s="1289"/>
    </row>
    <row r="17" spans="1:37" s="1853" customFormat="1" ht="18" customHeight="1">
      <c r="A17" s="1196" t="s">
        <v>1386</v>
      </c>
      <c r="B17" s="346" t="s">
        <v>1422</v>
      </c>
      <c r="C17" s="24">
        <f ca="1">ROUND(F17*(F43+INDIRECT("'数据-取费表'!S"&amp;$G$1)),0)</f>
        <v>0</v>
      </c>
      <c r="D17" s="346" t="s">
        <v>1423</v>
      </c>
      <c r="E17" s="346" t="s">
        <v>1424</v>
      </c>
      <c r="F17" s="26">
        <f>'数据-取费表'!B35</f>
        <v>200</v>
      </c>
      <c r="G17" s="1849"/>
      <c r="H17" s="1196" t="s">
        <v>1032</v>
      </c>
      <c r="I17" s="346" t="s">
        <v>1425</v>
      </c>
      <c r="J17" s="24">
        <f ca="1">ROUND(IF(项目基本情况!B11="自然人",J5*M17,J18+J19+J20),0)</f>
        <v>0</v>
      </c>
      <c r="K17" s="1795" t="s">
        <v>1426</v>
      </c>
      <c r="L17" s="179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0</v>
      </c>
      <c r="D18" s="346" t="s">
        <v>1417</v>
      </c>
      <c r="E18" s="346" t="s">
        <v>1418</v>
      </c>
      <c r="F18" s="366">
        <f>'数据-取费表'!B36</f>
        <v>1.4999999999999999E-2</v>
      </c>
      <c r="G18" s="1849"/>
      <c r="H18" s="1196" t="s">
        <v>1031</v>
      </c>
      <c r="I18" s="346" t="s">
        <v>1429</v>
      </c>
      <c r="J18" s="24">
        <f ca="1">ROUND(J5*M18/(1+'数据-取费表'!C42),0)</f>
        <v>0</v>
      </c>
      <c r="K18" s="179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0</v>
      </c>
      <c r="D19" s="139" t="s">
        <v>1432</v>
      </c>
      <c r="E19" s="1813"/>
      <c r="F19" s="26"/>
      <c r="G19" s="1846"/>
      <c r="H19" s="1196" t="s">
        <v>1033</v>
      </c>
      <c r="I19" s="346" t="s">
        <v>1433</v>
      </c>
      <c r="J19" s="24">
        <f ca="1">IF(K19="按租金收入计税",ROUND(J5*M19,0),ROUND(C29*M19*0.7,0))</f>
        <v>0</v>
      </c>
      <c r="K19" s="1823" t="s">
        <v>1434</v>
      </c>
      <c r="L19" s="346" t="s">
        <v>1418</v>
      </c>
      <c r="M19" s="366">
        <f>IF(K19="按租金收入计税",'数据-取费表'!B51,'数据-取费表'!B50)</f>
        <v>1.2E-2</v>
      </c>
    </row>
    <row r="20" spans="1:37" s="1853" customFormat="1" ht="18" customHeight="1">
      <c r="A20" s="1196" t="s">
        <v>1036</v>
      </c>
      <c r="B20" s="346" t="s">
        <v>1435</v>
      </c>
      <c r="C20" s="24">
        <f ca="1">ROUND(C19*F20,0)</f>
        <v>0</v>
      </c>
      <c r="D20" s="368" t="s">
        <v>1436</v>
      </c>
      <c r="E20" s="346" t="s">
        <v>1418</v>
      </c>
      <c r="F20" s="366">
        <f>'数据-取费表'!B37</f>
        <v>0.03</v>
      </c>
      <c r="G20" s="1849"/>
      <c r="H20" s="1196" t="s">
        <v>1385</v>
      </c>
      <c r="I20" s="163" t="s">
        <v>1437</v>
      </c>
      <c r="J20" s="25">
        <f ca="1">ROUND(M20*M21,0)</f>
        <v>0</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v>
      </c>
      <c r="D21" s="368" t="s">
        <v>1441</v>
      </c>
      <c r="E21" s="346" t="s">
        <v>1442</v>
      </c>
      <c r="F21" s="366">
        <f>'数据-取费表'!B38</f>
        <v>0.03</v>
      </c>
      <c r="G21" s="1849"/>
      <c r="H21" s="371"/>
      <c r="I21" s="355"/>
      <c r="J21" s="29"/>
      <c r="K21" s="372"/>
      <c r="L21" s="346" t="s">
        <v>1443</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1813"/>
      <c r="F22" s="26"/>
      <c r="G22" s="1846"/>
      <c r="H22" s="1196" t="s">
        <v>1036</v>
      </c>
      <c r="I22" s="346" t="s">
        <v>1445</v>
      </c>
      <c r="J22" s="24">
        <f ca="1">ROUND(J14*M22,0)</f>
        <v>0</v>
      </c>
      <c r="K22" s="1793" t="s">
        <v>1446</v>
      </c>
      <c r="L22" s="346" t="s">
        <v>1418</v>
      </c>
      <c r="M22" s="373">
        <f ca="1">INDIRECT("'数据-取费表'!Ak"&amp;$G$1)</f>
        <v>0</v>
      </c>
    </row>
    <row r="23" spans="1:37" s="1853" customFormat="1" ht="18" customHeight="1">
      <c r="A23" s="1196"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ROUND(J13*M23,0)</f>
        <v>0</v>
      </c>
      <c r="K23" s="1793" t="s">
        <v>1450</v>
      </c>
      <c r="L23" s="346" t="s">
        <v>1451</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1389</v>
      </c>
      <c r="I24" s="1335" t="s">
        <v>1435</v>
      </c>
      <c r="J24" s="1336">
        <f ca="1">ROUND(J5*M24,0)</f>
        <v>0</v>
      </c>
      <c r="K24" s="1337" t="s">
        <v>1455</v>
      </c>
      <c r="L24" s="1335" t="s">
        <v>1451</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6" t="s">
        <v>1457</v>
      </c>
      <c r="C25" s="24"/>
      <c r="D25" s="139" t="s">
        <v>1458</v>
      </c>
      <c r="E25" s="1813"/>
      <c r="F25" s="26"/>
      <c r="G25" s="1846"/>
      <c r="H25" s="1324" t="s">
        <v>1028</v>
      </c>
      <c r="I25" s="1339" t="s">
        <v>1459</v>
      </c>
      <c r="J25" s="354">
        <f ca="1">J5-J16</f>
        <v>0</v>
      </c>
      <c r="K25" s="1340" t="s">
        <v>1460</v>
      </c>
      <c r="L25" s="1341"/>
      <c r="M25" s="1342"/>
    </row>
    <row r="26" spans="1:37" ht="18" customHeight="1">
      <c r="A26" s="1196" t="s">
        <v>1031</v>
      </c>
      <c r="B26" s="346" t="s">
        <v>1461</v>
      </c>
      <c r="C26" s="24">
        <f ca="1">ROUND((C19+C20)*F26,0)</f>
        <v>0</v>
      </c>
      <c r="D26" s="368" t="s">
        <v>1462</v>
      </c>
      <c r="E26" s="357" t="s">
        <v>1463</v>
      </c>
      <c r="F26" s="356">
        <f ca="1">INDIRECT("'数据-取费表'!q"&amp;$G$1)</f>
        <v>0</v>
      </c>
      <c r="G26" s="1846"/>
      <c r="H26" s="343" t="s">
        <v>1029</v>
      </c>
      <c r="I26" s="344" t="s">
        <v>1464</v>
      </c>
      <c r="J26" s="345">
        <f ca="1">IF(J5&lt;&gt;0,ROUND(J25*(1-((1+M28)/(1+M26))^M27)/(M26-M28),0),0)</f>
        <v>0</v>
      </c>
      <c r="K26" s="369" t="s">
        <v>1465</v>
      </c>
      <c r="L26" s="346" t="s">
        <v>1466</v>
      </c>
      <c r="M26" s="356">
        <f ca="1">INDIRECT("'数据-取费表'!I"&amp;$G$1)</f>
        <v>0</v>
      </c>
    </row>
    <row r="27" spans="1:37" ht="18" customHeight="1">
      <c r="A27" s="1196" t="s">
        <v>1033</v>
      </c>
      <c r="B27" s="346" t="s">
        <v>1467</v>
      </c>
      <c r="C27" s="24">
        <f ca="1">ROUND(F21*F26,4)</f>
        <v>0</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79" t="s">
        <v>1030</v>
      </c>
      <c r="I29" s="380" t="s">
        <v>1475</v>
      </c>
      <c r="J29" s="381">
        <f ca="1">ROUND(J26/(1+F40)^F41,0)</f>
        <v>0</v>
      </c>
      <c r="K29" s="382" t="s">
        <v>1476</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0</v>
      </c>
      <c r="D30" s="1332" t="s">
        <v>1421</v>
      </c>
      <c r="E30" s="1333"/>
      <c r="F30" s="1289"/>
      <c r="G30" s="1846"/>
      <c r="H30" s="744"/>
      <c r="I30" s="745"/>
      <c r="J30" s="746"/>
      <c r="K30" s="747"/>
      <c r="L30" s="748"/>
      <c r="M30" s="749"/>
    </row>
    <row r="31" spans="1:37" ht="18" customHeight="1">
      <c r="A31" s="1196" t="s">
        <v>1032</v>
      </c>
      <c r="B31" s="346" t="s">
        <v>1425</v>
      </c>
      <c r="C31" s="24">
        <f ca="1">ROUND(IF(项目基本情况!B11="自然人",C5*F31,C32+C33+C34),0)</f>
        <v>0</v>
      </c>
      <c r="D31" s="1795" t="s">
        <v>1426</v>
      </c>
      <c r="E31" s="179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IF(项目基本情况!B11="自然人","——",ROUND(C5*F32/(1+'数据-取费表'!C42),0))</f>
        <v>0</v>
      </c>
      <c r="D32" s="179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IF(项目基本情况!B11="自然人","——",IF(D33="按租金收入计税",ROUND(C5*F33,0),IF(D33="按房产原值计税",ROUND(C29*F33*0.7,0),INDIRECT("'数据-取费表'!Aj"&amp;$G$1))))</f>
        <v>0</v>
      </c>
      <c r="D33" s="1823" t="s">
        <v>1434</v>
      </c>
      <c r="E33" s="346" t="s">
        <v>1418</v>
      </c>
      <c r="F33" s="366">
        <f>IF(D33="按票据","——",IF(D33="按租金收入计税",'数据-取费表'!B51,'数据-取费表'!B50))</f>
        <v>1.2E-2</v>
      </c>
      <c r="G33" s="1846"/>
      <c r="H33" s="1854"/>
      <c r="I33" s="1855"/>
      <c r="J33" s="1856"/>
      <c r="K33" s="1857"/>
      <c r="L33" s="1854"/>
      <c r="M33" s="1854"/>
    </row>
    <row r="34" spans="1:18" ht="18" customHeight="1">
      <c r="A34" s="1286" t="s">
        <v>1385</v>
      </c>
      <c r="B34" s="163" t="s">
        <v>1437</v>
      </c>
      <c r="C34" s="25">
        <f ca="1">IF(项目基本情况!B11="自然人","——",ROUND(F34*F35,))</f>
        <v>0</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0</v>
      </c>
      <c r="G35" s="1846"/>
      <c r="H35" s="744"/>
      <c r="I35" s="1855"/>
      <c r="J35" s="1856"/>
      <c r="K35" s="1857"/>
      <c r="L35" s="1854"/>
      <c r="M35" s="1854"/>
    </row>
    <row r="36" spans="1:18" ht="18" customHeight="1">
      <c r="A36" s="1347" t="s">
        <v>1036</v>
      </c>
      <c r="B36" s="346" t="s">
        <v>1445</v>
      </c>
      <c r="C36" s="24">
        <f ca="1">ROUND(C29*F36,0)</f>
        <v>0</v>
      </c>
      <c r="D36" s="1793" t="s">
        <v>1478</v>
      </c>
      <c r="E36" s="346" t="s">
        <v>1418</v>
      </c>
      <c r="F36" s="373">
        <f ca="1">INDIRECT("'数据-取费表'!Ak"&amp;$G$1)</f>
        <v>0</v>
      </c>
      <c r="G36" s="1846"/>
      <c r="H36" s="1854"/>
      <c r="I36" s="1855"/>
      <c r="J36" s="1856"/>
      <c r="K36" s="750"/>
      <c r="L36" s="1854"/>
      <c r="M36" s="1854"/>
    </row>
    <row r="37" spans="1:18" ht="18" customHeight="1">
      <c r="A37" s="1196" t="s">
        <v>1072</v>
      </c>
      <c r="B37" s="346" t="s">
        <v>1449</v>
      </c>
      <c r="C37" s="24">
        <f ca="1">ROUND(C13*F37,0)</f>
        <v>0</v>
      </c>
      <c r="D37" s="1793" t="s">
        <v>1450</v>
      </c>
      <c r="E37" s="346" t="s">
        <v>1451</v>
      </c>
      <c r="F37" s="375">
        <f ca="1">INDIRECT("'数据-取费表'!Al"&amp;$G$1)</f>
        <v>0</v>
      </c>
      <c r="G37" s="1846"/>
      <c r="H37" s="1854"/>
      <c r="I37" s="1855"/>
      <c r="J37" s="1856"/>
      <c r="K37" s="750"/>
      <c r="L37" s="1854"/>
      <c r="M37" s="1854"/>
    </row>
    <row r="38" spans="1:18" ht="18" customHeight="1" thickBot="1">
      <c r="A38" s="1334" t="s">
        <v>1389</v>
      </c>
      <c r="B38" s="1335" t="s">
        <v>1435</v>
      </c>
      <c r="C38" s="1336">
        <f ca="1">ROUND(C5*F38,1)</f>
        <v>0</v>
      </c>
      <c r="D38" s="1337" t="s">
        <v>1455</v>
      </c>
      <c r="E38" s="1335" t="s">
        <v>1451</v>
      </c>
      <c r="F38" s="1331">
        <f ca="1">INDIRECT("'数据-取费表'!Am"&amp;$G$1)</f>
        <v>0</v>
      </c>
      <c r="G38" s="1846"/>
      <c r="H38" s="1854"/>
      <c r="I38" s="1855"/>
      <c r="J38" s="1856"/>
      <c r="K38" s="1860"/>
      <c r="L38" s="1854"/>
      <c r="M38" s="1854"/>
    </row>
    <row r="39" spans="1:18" ht="24.6" customHeight="1" thickTop="1">
      <c r="A39" s="1324" t="s">
        <v>1028</v>
      </c>
      <c r="B39" s="1339" t="s">
        <v>1479</v>
      </c>
      <c r="C39" s="354">
        <f ca="1">C5-C30</f>
        <v>0</v>
      </c>
      <c r="D39" s="1340" t="s">
        <v>1480</v>
      </c>
      <c r="E39" s="1341"/>
      <c r="F39" s="1342"/>
      <c r="G39" s="1846"/>
      <c r="H39" s="1854"/>
      <c r="I39" s="1855"/>
      <c r="J39" s="1856"/>
      <c r="K39" s="1860"/>
      <c r="L39" s="1854"/>
      <c r="M39" s="1854"/>
    </row>
    <row r="40" spans="1:18" ht="18" customHeight="1">
      <c r="A40" s="343" t="s">
        <v>1029</v>
      </c>
      <c r="B40" s="344" t="s">
        <v>1481</v>
      </c>
      <c r="C40" s="345" t="e">
        <f ca="1">ROUND(C39*(1-((1+F42)/(1+F40))^F41)/(F40-F42),0)</f>
        <v>#DIV/0!</v>
      </c>
      <c r="D40" s="369" t="s">
        <v>1465</v>
      </c>
      <c r="E40" s="346" t="s">
        <v>1466</v>
      </c>
      <c r="F40" s="356">
        <f ca="1">INDIRECT("'数据-取费表'!I"&amp;$G$1)</f>
        <v>0</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1473</v>
      </c>
      <c r="F42" s="356">
        <f ca="1">INDIRECT("'数据-取费表'!v"&amp;$G$1)</f>
        <v>0</v>
      </c>
      <c r="G42" s="1846"/>
      <c r="H42" s="731"/>
      <c r="I42" s="1855"/>
      <c r="J42" s="1856"/>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91"/>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5" t="s">
        <v>1132</v>
      </c>
      <c r="B48" s="344" t="s">
        <v>1397</v>
      </c>
      <c r="C48" s="1812">
        <f ca="1">C49+C53+C55</f>
        <v>0</v>
      </c>
      <c r="D48" s="1357"/>
      <c r="E48" s="1358"/>
      <c r="F48" s="1176"/>
      <c r="G48" s="791"/>
      <c r="H48" s="792"/>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89" t="s">
        <v>1133</v>
      </c>
      <c r="B49" s="1824" t="s">
        <v>1486</v>
      </c>
      <c r="C49" s="1359">
        <f ca="1">ROUND(F49*F51*F50*(1-F52),0)</f>
        <v>0</v>
      </c>
      <c r="D49" s="1271" t="s">
        <v>1400</v>
      </c>
      <c r="E49" s="1825" t="s">
        <v>1487</v>
      </c>
      <c r="F49" s="1276"/>
      <c r="G49" s="1886"/>
      <c r="H49" s="792"/>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92"/>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1"/>
      <c r="B51" s="1193"/>
      <c r="C51" s="1194"/>
      <c r="D51" s="1167"/>
      <c r="E51" s="1195" t="s">
        <v>1403</v>
      </c>
      <c r="F51" s="347">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8" t="s">
        <v>1405</v>
      </c>
      <c r="C53" s="360">
        <f ca="1">ROUND(IF(F53="押一",C49/12*F11,IF(F53="押二",C49/12*2*F11,IF(F53="押三",C49/12*3*F11,C54*F11))),0)</f>
        <v>0</v>
      </c>
      <c r="D53" s="1819" t="s">
        <v>3038</v>
      </c>
      <c r="E53" s="357"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282" t="s">
        <v>1544</v>
      </c>
      <c r="L53" s="3283"/>
      <c r="O53" s="1879" t="s">
        <v>1043</v>
      </c>
      <c r="P53" s="1880" t="s">
        <v>1545</v>
      </c>
      <c r="Q53" s="1881" t="e">
        <f ca="1">Q47+Q48</f>
        <v>#DIV/0!</v>
      </c>
      <c r="R53" s="1881" t="s">
        <v>1044</v>
      </c>
    </row>
    <row r="54" spans="1:18" s="1837" customFormat="1" ht="13.5" thickBot="1">
      <c r="A54" s="1189"/>
      <c r="B54" s="1936" t="s">
        <v>1599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1">
        <v>2</v>
      </c>
      <c r="B56" s="1172" t="s">
        <v>1410</v>
      </c>
      <c r="C56" s="275">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4" t="s">
        <v>1474</v>
      </c>
      <c r="C57" s="281">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59" t="s">
        <v>1027</v>
      </c>
      <c r="B58" s="1172" t="s">
        <v>1420</v>
      </c>
      <c r="C58" s="360">
        <f ca="1">ROUND(C59+C64+C65+C66,0)</f>
        <v>0</v>
      </c>
      <c r="D58" s="1174" t="s">
        <v>1421</v>
      </c>
      <c r="E58" s="1175"/>
      <c r="F58" s="1176"/>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7"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6">
        <f t="shared" ref="F60:F66" si="0">F32</f>
        <v>5.5000000000000007E-2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6">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IF(项目基本情况!B11="自然人","——",ROUND(F62*F63,0))</f>
        <v>0</v>
      </c>
      <c r="D62" s="1179" t="s">
        <v>1493</v>
      </c>
      <c r="E62" s="1164" t="s">
        <v>1494</v>
      </c>
      <c r="F62" s="370">
        <f t="shared" si="0"/>
        <v>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1"/>
      <c r="B63" s="1170"/>
      <c r="C63" s="29"/>
      <c r="D63" s="1180"/>
      <c r="E63" s="1164" t="s">
        <v>1495</v>
      </c>
      <c r="F63" s="347">
        <f t="shared" ca="1" si="0"/>
        <v>0</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ROUND(C57*F64,0)</f>
        <v>0</v>
      </c>
      <c r="D64" s="1178" t="s">
        <v>1498</v>
      </c>
      <c r="E64" s="1164" t="s">
        <v>1490</v>
      </c>
      <c r="F64" s="373">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5">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196" t="s">
        <v>1500</v>
      </c>
      <c r="B66" s="1164" t="s">
        <v>1435</v>
      </c>
      <c r="C66" s="24">
        <f ca="1">ROUND(C48*F66,0)</f>
        <v>0</v>
      </c>
      <c r="D66" s="1178" t="s">
        <v>1501</v>
      </c>
      <c r="E66" s="1164" t="s">
        <v>1418</v>
      </c>
      <c r="F66" s="356">
        <f t="shared" ca="1" si="0"/>
        <v>0</v>
      </c>
      <c r="O66" s="1879" t="s">
        <v>1038</v>
      </c>
      <c r="P66" s="1880" t="s">
        <v>1554</v>
      </c>
      <c r="Q66" s="1881" t="e">
        <f ca="1">L60</f>
        <v>#DIV/0!</v>
      </c>
      <c r="R66" s="1881" t="s">
        <v>1577</v>
      </c>
    </row>
    <row r="67" spans="1:18" s="1837" customFormat="1" ht="16.5" thickBot="1">
      <c r="A67" s="1171" t="s">
        <v>1028</v>
      </c>
      <c r="B67" s="1181" t="s">
        <v>1459</v>
      </c>
      <c r="C67" s="360">
        <f ca="1">C48-C58</f>
        <v>0</v>
      </c>
      <c r="D67" s="1177" t="s">
        <v>1460</v>
      </c>
      <c r="E67" s="1182"/>
      <c r="F67" s="1183"/>
      <c r="O67" s="1889" t="s">
        <v>1039</v>
      </c>
      <c r="P67" s="1880" t="s">
        <v>1558</v>
      </c>
      <c r="Q67" s="1928">
        <f ca="1">L51</f>
        <v>0</v>
      </c>
      <c r="R67" s="1881" t="s">
        <v>1578</v>
      </c>
    </row>
    <row r="68" spans="1:18" s="1837" customFormat="1" ht="16.5" thickBot="1">
      <c r="A68" s="1161" t="s">
        <v>1029</v>
      </c>
      <c r="B68" s="1162" t="s">
        <v>1481</v>
      </c>
      <c r="C68" s="345" t="e">
        <f ca="1">ROUND(C67*(1-((1+F70)/(1+F68))^F69)/(F68-F70),0)</f>
        <v>#DIV/0!</v>
      </c>
      <c r="D68" s="1179" t="s">
        <v>1465</v>
      </c>
      <c r="E68" s="1164" t="s">
        <v>1466</v>
      </c>
      <c r="F68" s="356">
        <f ca="1">F40</f>
        <v>0</v>
      </c>
      <c r="O68" s="1889" t="s">
        <v>1040</v>
      </c>
      <c r="P68" s="1929" t="s">
        <v>1579</v>
      </c>
      <c r="Q68" s="1881">
        <f ca="1">ROUND(Q69-Q70*Q71,0)</f>
        <v>0</v>
      </c>
      <c r="R68" s="1881" t="s">
        <v>1048</v>
      </c>
    </row>
    <row r="69" spans="1:18" s="1837" customFormat="1" ht="13.5" thickBot="1">
      <c r="A69" s="1165"/>
      <c r="B69" s="1166"/>
      <c r="C69" s="350"/>
      <c r="D69" s="1184" t="s">
        <v>1469</v>
      </c>
      <c r="E69" s="1164" t="s">
        <v>1470</v>
      </c>
      <c r="F69" s="378">
        <f ca="1">F41</f>
        <v>0</v>
      </c>
      <c r="O69" s="1889" t="s">
        <v>1045</v>
      </c>
      <c r="P69" s="1929" t="s">
        <v>1580</v>
      </c>
      <c r="Q69" s="1881">
        <f ca="1">C39</f>
        <v>0</v>
      </c>
      <c r="R69" s="1881" t="s">
        <v>1525</v>
      </c>
    </row>
    <row r="70" spans="1:18" s="1837" customFormat="1" ht="13.5" thickBot="1">
      <c r="A70" s="1168"/>
      <c r="B70" s="1169"/>
      <c r="C70" s="354"/>
      <c r="D70" s="1180"/>
      <c r="E70" s="1164" t="s">
        <v>1473</v>
      </c>
      <c r="F70" s="1270">
        <f ca="1">F42</f>
        <v>0</v>
      </c>
      <c r="O70" s="1889" t="s">
        <v>1046</v>
      </c>
      <c r="P70" s="1929" t="s">
        <v>1581</v>
      </c>
      <c r="Q70" s="1881">
        <f ca="1">C13</f>
        <v>0</v>
      </c>
      <c r="R70" s="1881" t="s">
        <v>1525</v>
      </c>
    </row>
    <row r="71" spans="1:18" s="1837" customFormat="1" ht="13.5" thickBot="1">
      <c r="A71" s="1185" t="s">
        <v>1030</v>
      </c>
      <c r="B71" s="1186" t="s">
        <v>1483</v>
      </c>
      <c r="C71" s="381" t="e">
        <f ca="1">ROUND(C68/F71,0)</f>
        <v>#DIV/0!</v>
      </c>
      <c r="D71" s="1187" t="s">
        <v>1484</v>
      </c>
      <c r="E71" s="1188" t="s">
        <v>1485</v>
      </c>
      <c r="F71" s="384">
        <f ca="1">F43</f>
        <v>0</v>
      </c>
      <c r="O71" s="1889" t="s">
        <v>1047</v>
      </c>
      <c r="P71" s="1929" t="s">
        <v>1582</v>
      </c>
      <c r="Q71" s="1892">
        <f ca="1">C76</f>
        <v>0</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5" t="s">
        <v>1502</v>
      </c>
      <c r="C75" s="386">
        <f ca="1">ROUND(C13*C76,0)</f>
        <v>0</v>
      </c>
      <c r="D75" s="1837"/>
      <c r="E75" s="1837"/>
      <c r="F75" s="1837"/>
      <c r="K75" s="1863"/>
      <c r="L75" s="1837"/>
      <c r="O75" s="1879" t="s">
        <v>1043</v>
      </c>
      <c r="P75" s="1880" t="s">
        <v>1545</v>
      </c>
      <c r="Q75" s="1881" t="e">
        <f ca="1">Q65+Q66</f>
        <v>#DIV/0!</v>
      </c>
      <c r="R75" s="1881" t="s">
        <v>1044</v>
      </c>
    </row>
    <row r="76" spans="1:18">
      <c r="B76" s="387" t="s">
        <v>1503</v>
      </c>
      <c r="C76" s="388">
        <f ca="1">INDIRECT("'数据-取费表'!j"&amp;$G$1)</f>
        <v>0</v>
      </c>
      <c r="I76" s="1837"/>
      <c r="J76" s="1837"/>
      <c r="K76" s="1863"/>
      <c r="L76" s="1837"/>
    </row>
    <row r="77" spans="1:18">
      <c r="B77" s="389" t="s">
        <v>1504</v>
      </c>
      <c r="C77" s="390"/>
      <c r="I77" s="1837"/>
      <c r="J77" s="1837"/>
      <c r="K77" s="1863"/>
      <c r="L77" s="1837"/>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60" t="s">
        <v>2521</v>
      </c>
      <c r="B1" s="2561"/>
      <c r="C1" s="2561"/>
      <c r="D1" s="2561"/>
      <c r="E1" s="2562"/>
    </row>
    <row r="2" spans="1:6" ht="15.75">
      <c r="A2" s="2563" t="s">
        <v>2325</v>
      </c>
      <c r="B2" s="2564">
        <f ca="1">SUMIF(B6:B13,"&lt;&gt;#ref!",B6:B13)</f>
        <v>8568</v>
      </c>
      <c r="C2" s="2565" t="s">
        <v>2514</v>
      </c>
      <c r="D2" s="2566" t="s">
        <v>2515</v>
      </c>
      <c r="E2" s="2567">
        <f>SUM(E6:E13)</f>
        <v>7563.9999999999991</v>
      </c>
    </row>
    <row r="3" spans="1:6" ht="15.75">
      <c r="A3" s="2563" t="s">
        <v>1391</v>
      </c>
      <c r="B3" s="2564">
        <f ca="1">ROUND(B2*10000/E2,0)</f>
        <v>11327</v>
      </c>
      <c r="C3" s="2565" t="s">
        <v>2522</v>
      </c>
      <c r="D3" s="2568"/>
      <c r="E3" s="2569"/>
    </row>
    <row r="4" spans="1:6" ht="15.75">
      <c r="A4" s="2570"/>
      <c r="B4" s="2568"/>
      <c r="C4" s="2568"/>
      <c r="D4" s="2568"/>
      <c r="E4" s="2569"/>
    </row>
    <row r="5" spans="1:6" ht="15">
      <c r="A5" s="2571" t="s">
        <v>2516</v>
      </c>
      <c r="B5" s="3287" t="s">
        <v>2517</v>
      </c>
      <c r="C5" s="3287"/>
      <c r="D5" s="2572"/>
      <c r="E5" s="2573" t="s">
        <v>2518</v>
      </c>
      <c r="F5" s="2574" t="s">
        <v>2519</v>
      </c>
    </row>
    <row r="6" spans="1:6">
      <c r="A6" s="2575">
        <f>'数据-取费表'!AN6</f>
        <v>0</v>
      </c>
      <c r="B6" s="2574" t="e">
        <f ca="1">IF(F6="是",'数据-取费表'!AO6,0)</f>
        <v>#REF!</v>
      </c>
      <c r="C6" s="2565" t="s">
        <v>2514</v>
      </c>
      <c r="D6" s="2568"/>
      <c r="E6" s="2576">
        <f>IF(OR(A6=0,F6="否"),0,'数据-取费表'!K6+'数据-取费表'!S6)</f>
        <v>0</v>
      </c>
      <c r="F6" s="2577" t="s">
        <v>2520</v>
      </c>
    </row>
    <row r="7" spans="1:6">
      <c r="A7" s="2575" t="str">
        <f>'数据-取费表'!AN7</f>
        <v>收益法</v>
      </c>
      <c r="B7" s="2574">
        <f ca="1">IF(F7="是",'数据-取费表'!AO7,0)</f>
        <v>6539</v>
      </c>
      <c r="C7" s="2565" t="s">
        <v>2514</v>
      </c>
      <c r="D7" s="2568"/>
      <c r="E7" s="2576">
        <f>IF(OR(A7=0,F7="否"),0,'数据-取费表'!K7+'数据-取费表'!S7)</f>
        <v>5353.1299999999992</v>
      </c>
      <c r="F7" s="2577" t="s">
        <v>2520</v>
      </c>
    </row>
    <row r="8" spans="1:6">
      <c r="A8" s="2575" t="str">
        <f>'数据-取费表'!AN8</f>
        <v>收益法会所</v>
      </c>
      <c r="B8" s="2574">
        <f ca="1">IF(F8="是",'数据-取费表'!AO8,0)</f>
        <v>2029</v>
      </c>
      <c r="C8" s="2565" t="s">
        <v>2514</v>
      </c>
      <c r="D8" s="2568"/>
      <c r="E8" s="2576">
        <f>IF(OR(A8=0,F8="否"),0,'数据-取费表'!K8+'数据-取费表'!S8)</f>
        <v>2210.87</v>
      </c>
      <c r="F8" s="2577" t="s">
        <v>2520</v>
      </c>
    </row>
    <row r="9" spans="1:6">
      <c r="A9" s="2575">
        <f>'数据-取费表'!AN9</f>
        <v>0</v>
      </c>
      <c r="B9" s="2574" t="e">
        <f ca="1">IF(F9="是",'数据-取费表'!AO9,0)</f>
        <v>#REF!</v>
      </c>
      <c r="C9" s="2565" t="s">
        <v>2514</v>
      </c>
      <c r="D9" s="2568"/>
      <c r="E9" s="2576">
        <f>IF(OR(A9=0,F9="否"),0,'数据-取费表'!K9+'数据-取费表'!S9)</f>
        <v>0</v>
      </c>
      <c r="F9" s="2577" t="s">
        <v>2520</v>
      </c>
    </row>
    <row r="10" spans="1:6">
      <c r="A10" s="2575">
        <f>'数据-取费表'!AN10</f>
        <v>0</v>
      </c>
      <c r="B10" s="2574" t="e">
        <f ca="1">IF(F10="是",'数据-取费表'!AO10,0)</f>
        <v>#REF!</v>
      </c>
      <c r="C10" s="2565" t="s">
        <v>2514</v>
      </c>
      <c r="D10" s="2568"/>
      <c r="E10" s="2576">
        <f>IF(OR(A10=0,F10="否"),0,'数据-取费表'!K10+'数据-取费表'!S10)</f>
        <v>0</v>
      </c>
      <c r="F10" s="2577" t="s">
        <v>2520</v>
      </c>
    </row>
    <row r="11" spans="1:6">
      <c r="A11" s="2575">
        <f>'数据-取费表'!AN11</f>
        <v>0</v>
      </c>
      <c r="B11" s="2574" t="e">
        <f ca="1">IF(F11="是",'数据-取费表'!AO11,0)</f>
        <v>#REF!</v>
      </c>
      <c r="C11" s="2565" t="s">
        <v>2514</v>
      </c>
      <c r="D11" s="2568"/>
      <c r="E11" s="2576">
        <f>IF(OR(A11=0,F11="否"),0,'数据-取费表'!K11+'数据-取费表'!S11)</f>
        <v>0</v>
      </c>
      <c r="F11" s="2577" t="s">
        <v>2520</v>
      </c>
    </row>
    <row r="12" spans="1:6">
      <c r="A12" s="2575">
        <f>'数据-取费表'!AN12</f>
        <v>0</v>
      </c>
      <c r="B12" s="2574" t="e">
        <f ca="1">IF(F12="是",'数据-取费表'!AO12,0)</f>
        <v>#REF!</v>
      </c>
      <c r="C12" s="2565" t="s">
        <v>2514</v>
      </c>
      <c r="D12" s="2568"/>
      <c r="E12" s="2576">
        <f>IF(OR(A12=0,F12="否"),0,'数据-取费表'!K12+'数据-取费表'!S12)</f>
        <v>0</v>
      </c>
      <c r="F12" s="2577" t="s">
        <v>2520</v>
      </c>
    </row>
    <row r="13" spans="1:6" ht="15" thickBot="1">
      <c r="A13" s="2578">
        <f>'数据-取费表'!AN13</f>
        <v>0</v>
      </c>
      <c r="B13" s="2574" t="e">
        <f ca="1">IF(F13="是",'数据-取费表'!AO13,0)</f>
        <v>#REF!</v>
      </c>
      <c r="C13" s="2579" t="s">
        <v>2514</v>
      </c>
      <c r="D13" s="2580"/>
      <c r="E13" s="2576">
        <f>IF(OR(A13=0,F13="否"),0,'数据-取费表'!K13+'数据-取费表'!S13)</f>
        <v>0</v>
      </c>
      <c r="F13" s="2577"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88" t="s">
        <v>1073</v>
      </c>
      <c r="B1" s="3289"/>
      <c r="C1" s="3290"/>
      <c r="D1" s="3291">
        <f>SUM(I10,I15,I20,I21,I23)</f>
        <v>0</v>
      </c>
      <c r="E1" s="3291"/>
      <c r="F1" s="3291"/>
      <c r="G1" s="3291"/>
      <c r="H1" s="3291"/>
      <c r="I1" s="3292"/>
    </row>
    <row r="2" spans="1:9">
      <c r="A2" s="3293" t="s">
        <v>1074</v>
      </c>
      <c r="B2" s="3294" t="s">
        <v>1075</v>
      </c>
      <c r="C2" s="3294"/>
      <c r="D2" s="1296" t="s">
        <v>1076</v>
      </c>
      <c r="E2" s="1296" t="s">
        <v>1077</v>
      </c>
      <c r="F2" s="1296" t="s">
        <v>1078</v>
      </c>
      <c r="G2" s="1296" t="s">
        <v>1079</v>
      </c>
      <c r="H2" s="1296" t="s">
        <v>1080</v>
      </c>
      <c r="I2" s="1297" t="s">
        <v>1081</v>
      </c>
    </row>
    <row r="3" spans="1:9">
      <c r="A3" s="3293"/>
      <c r="B3" s="3294" t="s">
        <v>1082</v>
      </c>
      <c r="C3" s="3294"/>
      <c r="D3" s="1298"/>
      <c r="E3" s="1296"/>
      <c r="F3" s="1299"/>
      <c r="G3" s="1299"/>
      <c r="H3" s="1300"/>
      <c r="I3" s="1301">
        <f>ROUND(D3*E3*F3*G3*H3/10000,0)</f>
        <v>0</v>
      </c>
    </row>
    <row r="4" spans="1:9">
      <c r="A4" s="3293"/>
      <c r="B4" s="3294" t="s">
        <v>1083</v>
      </c>
      <c r="C4" s="3294"/>
      <c r="D4" s="1298"/>
      <c r="E4" s="1296"/>
      <c r="F4" s="1299"/>
      <c r="G4" s="1299"/>
      <c r="H4" s="1300"/>
      <c r="I4" s="1301">
        <f t="shared" ref="I4:I9" si="0">ROUND(D4*E4*F4*G4*H4/10000,0)</f>
        <v>0</v>
      </c>
    </row>
    <row r="5" spans="1:9">
      <c r="A5" s="3293"/>
      <c r="B5" s="3294" t="s">
        <v>1084</v>
      </c>
      <c r="C5" s="3294"/>
      <c r="D5" s="1298"/>
      <c r="E5" s="1296"/>
      <c r="F5" s="1299"/>
      <c r="G5" s="1299"/>
      <c r="H5" s="1300"/>
      <c r="I5" s="1301">
        <f t="shared" si="0"/>
        <v>0</v>
      </c>
    </row>
    <row r="6" spans="1:9">
      <c r="A6" s="3293"/>
      <c r="B6" s="3294" t="s">
        <v>1085</v>
      </c>
      <c r="C6" s="3294"/>
      <c r="D6" s="1298"/>
      <c r="E6" s="1296"/>
      <c r="F6" s="1299"/>
      <c r="G6" s="1299"/>
      <c r="H6" s="1300"/>
      <c r="I6" s="1301">
        <f t="shared" si="0"/>
        <v>0</v>
      </c>
    </row>
    <row r="7" spans="1:9">
      <c r="A7" s="3293"/>
      <c r="B7" s="3294" t="s">
        <v>1086</v>
      </c>
      <c r="C7" s="3294"/>
      <c r="D7" s="1298"/>
      <c r="E7" s="1296"/>
      <c r="F7" s="1299"/>
      <c r="G7" s="1299"/>
      <c r="H7" s="1300"/>
      <c r="I7" s="1301">
        <f t="shared" si="0"/>
        <v>0</v>
      </c>
    </row>
    <row r="8" spans="1:9">
      <c r="A8" s="3293"/>
      <c r="B8" s="3294" t="s">
        <v>1087</v>
      </c>
      <c r="C8" s="3294"/>
      <c r="D8" s="1298"/>
      <c r="E8" s="1296"/>
      <c r="F8" s="1299"/>
      <c r="G8" s="1299"/>
      <c r="H8" s="1300"/>
      <c r="I8" s="1301">
        <f t="shared" si="0"/>
        <v>0</v>
      </c>
    </row>
    <row r="9" spans="1:9">
      <c r="A9" s="3293"/>
      <c r="B9" s="3294" t="s">
        <v>1088</v>
      </c>
      <c r="C9" s="3294"/>
      <c r="D9" s="1298"/>
      <c r="E9" s="1296"/>
      <c r="F9" s="1299"/>
      <c r="G9" s="1299"/>
      <c r="H9" s="1300"/>
      <c r="I9" s="1301">
        <f t="shared" si="0"/>
        <v>0</v>
      </c>
    </row>
    <row r="10" spans="1:9">
      <c r="A10" s="3293"/>
      <c r="B10" s="3295" t="s">
        <v>1089</v>
      </c>
      <c r="C10" s="3295"/>
      <c r="D10" s="1302"/>
      <c r="E10" s="1302" t="e">
        <f>ROUND(D1*10000/D10/H9,0)</f>
        <v>#DIV/0!</v>
      </c>
      <c r="F10" s="1303"/>
      <c r="G10" s="1303"/>
      <c r="H10" s="1304"/>
      <c r="I10" s="1305">
        <f>SUM(I3:I9)</f>
        <v>0</v>
      </c>
    </row>
    <row r="11" spans="1:9" ht="14.25">
      <c r="A11" s="3293" t="s">
        <v>1090</v>
      </c>
      <c r="B11" s="3294" t="s">
        <v>1091</v>
      </c>
      <c r="C11" s="3294"/>
      <c r="D11" s="1298" t="s">
        <v>1092</v>
      </c>
      <c r="E11" s="1298" t="s">
        <v>1093</v>
      </c>
      <c r="F11" s="1299" t="s">
        <v>1094</v>
      </c>
      <c r="G11" s="1299" t="s">
        <v>1080</v>
      </c>
      <c r="H11" s="1306" t="s">
        <v>1095</v>
      </c>
      <c r="I11" s="1297" t="s">
        <v>1081</v>
      </c>
    </row>
    <row r="12" spans="1:9">
      <c r="A12" s="3293"/>
      <c r="B12" s="3294" t="s">
        <v>1096</v>
      </c>
      <c r="C12" s="3294"/>
      <c r="D12" s="1298"/>
      <c r="E12" s="1298"/>
      <c r="F12" s="1299"/>
      <c r="G12" s="1300"/>
      <c r="H12" s="1307"/>
      <c r="I12" s="1297">
        <f>ROUND(D12*E12*F12*G12/10000,0)</f>
        <v>0</v>
      </c>
    </row>
    <row r="13" spans="1:9">
      <c r="A13" s="3293"/>
      <c r="B13" s="3294" t="s">
        <v>1097</v>
      </c>
      <c r="C13" s="3294"/>
      <c r="D13" s="1298"/>
      <c r="E13" s="1298"/>
      <c r="F13" s="1299"/>
      <c r="G13" s="1300"/>
      <c r="H13" s="1307"/>
      <c r="I13" s="1297">
        <f>ROUND(D13*E13*F13*G13/10000,0)</f>
        <v>0</v>
      </c>
    </row>
    <row r="14" spans="1:9">
      <c r="A14" s="3293"/>
      <c r="B14" s="3294" t="s">
        <v>1098</v>
      </c>
      <c r="C14" s="3294"/>
      <c r="D14" s="1298"/>
      <c r="E14" s="1298"/>
      <c r="F14" s="1299"/>
      <c r="G14" s="1300"/>
      <c r="H14" s="1307"/>
      <c r="I14" s="1297">
        <f>ROUND(D14*E14*F14*G14/10000,0)</f>
        <v>0</v>
      </c>
    </row>
    <row r="15" spans="1:9">
      <c r="A15" s="3293"/>
      <c r="B15" s="3295" t="s">
        <v>1089</v>
      </c>
      <c r="C15" s="3295"/>
      <c r="D15" s="1302"/>
      <c r="E15" s="1302">
        <f>SUM(E12:E14)</f>
        <v>0</v>
      </c>
      <c r="F15" s="1303"/>
      <c r="G15" s="1300"/>
      <c r="H15" s="1307"/>
      <c r="I15" s="1308">
        <f>SUM(I12:I14)</f>
        <v>0</v>
      </c>
    </row>
    <row r="16" spans="1:9" ht="24">
      <c r="A16" s="3293" t="s">
        <v>1099</v>
      </c>
      <c r="B16" s="3294" t="s">
        <v>1100</v>
      </c>
      <c r="C16" s="3294"/>
      <c r="D16" s="1298" t="s">
        <v>1076</v>
      </c>
      <c r="E16" s="1309" t="s">
        <v>1101</v>
      </c>
      <c r="F16" s="1299" t="s">
        <v>1102</v>
      </c>
      <c r="G16" s="1300" t="s">
        <v>1080</v>
      </c>
      <c r="H16" s="1306" t="s">
        <v>1095</v>
      </c>
      <c r="I16" s="1297" t="s">
        <v>1081</v>
      </c>
    </row>
    <row r="17" spans="1:9" ht="14.25">
      <c r="A17" s="3293"/>
      <c r="B17" s="3294" t="s">
        <v>1103</v>
      </c>
      <c r="C17" s="3294"/>
      <c r="D17" s="1298"/>
      <c r="E17" s="1298"/>
      <c r="F17" s="1299"/>
      <c r="G17" s="1300"/>
      <c r="H17" s="1310"/>
      <c r="I17" s="1311">
        <f>ROUND(D17*E17*F17*G17/10000,0)</f>
        <v>0</v>
      </c>
    </row>
    <row r="18" spans="1:9" ht="14.25">
      <c r="A18" s="3293"/>
      <c r="B18" s="3294" t="s">
        <v>1104</v>
      </c>
      <c r="C18" s="3294"/>
      <c r="D18" s="1298"/>
      <c r="E18" s="1298"/>
      <c r="F18" s="1299"/>
      <c r="G18" s="1300"/>
      <c r="H18" s="1310"/>
      <c r="I18" s="1311">
        <f>ROUND(D18*E18*F18*G18/10000,0)</f>
        <v>0</v>
      </c>
    </row>
    <row r="19" spans="1:9" ht="14.25">
      <c r="A19" s="3293"/>
      <c r="B19" s="3294" t="s">
        <v>1105</v>
      </c>
      <c r="C19" s="3294"/>
      <c r="D19" s="1298"/>
      <c r="E19" s="1298"/>
      <c r="F19" s="1299"/>
      <c r="G19" s="1300"/>
      <c r="H19" s="1310"/>
      <c r="I19" s="1311">
        <f>ROUND(D19*E19*F19*G19/10000,0)</f>
        <v>0</v>
      </c>
    </row>
    <row r="20" spans="1:9">
      <c r="A20" s="3293"/>
      <c r="B20" s="3295" t="s">
        <v>1089</v>
      </c>
      <c r="C20" s="3295"/>
      <c r="D20" s="1302">
        <f>SUM(D17:D19)</f>
        <v>0</v>
      </c>
      <c r="E20" s="1302"/>
      <c r="F20" s="1303"/>
      <c r="G20" s="1300"/>
      <c r="H20" s="1307"/>
      <c r="I20" s="1308">
        <f>SUM(I17:I19)</f>
        <v>0</v>
      </c>
    </row>
    <row r="21" spans="1:9">
      <c r="A21" s="3293" t="s">
        <v>1106</v>
      </c>
      <c r="B21" s="3297"/>
      <c r="C21" s="3297"/>
      <c r="D21" s="3297"/>
      <c r="E21" s="3297"/>
      <c r="F21" s="3297"/>
      <c r="G21" s="3297"/>
      <c r="H21" s="1760">
        <v>0.1</v>
      </c>
      <c r="I21" s="1305">
        <f>ROUND(I10*H21,0)</f>
        <v>0</v>
      </c>
    </row>
    <row r="22" spans="1:9" ht="14.25">
      <c r="A22" s="3298" t="s">
        <v>1107</v>
      </c>
      <c r="B22" s="3299"/>
      <c r="C22" s="3300"/>
      <c r="D22" s="1312" t="s">
        <v>1108</v>
      </c>
      <c r="E22" s="1312" t="s">
        <v>1109</v>
      </c>
      <c r="F22" s="1313" t="s">
        <v>1110</v>
      </c>
      <c r="G22" s="1313" t="s">
        <v>1111</v>
      </c>
      <c r="H22" s="1306" t="s">
        <v>1112</v>
      </c>
      <c r="I22" s="1297" t="s">
        <v>1113</v>
      </c>
    </row>
    <row r="23" spans="1:9" ht="14.25" thickBot="1">
      <c r="A23" s="3301"/>
      <c r="B23" s="3302"/>
      <c r="C23" s="3303"/>
      <c r="D23" s="1314"/>
      <c r="E23" s="1314"/>
      <c r="F23" s="1314"/>
      <c r="G23" s="1315"/>
      <c r="H23" s="1316"/>
      <c r="I23" s="1317">
        <f>ROUND(E23*D23*F23*(1-G23)/10000,0)</f>
        <v>0</v>
      </c>
    </row>
    <row r="26" spans="1:9">
      <c r="A26" s="1318" t="s">
        <v>1114</v>
      </c>
      <c r="B26" s="1318"/>
      <c r="C26" s="1318"/>
      <c r="D26" s="1318"/>
      <c r="E26" s="3304">
        <f>C27-C30-C31-C32</f>
        <v>0</v>
      </c>
      <c r="F26" s="3304"/>
      <c r="G26" s="3304"/>
      <c r="H26" s="1732" t="s">
        <v>1336</v>
      </c>
    </row>
    <row r="27" spans="1:9">
      <c r="A27" s="1319">
        <v>1</v>
      </c>
      <c r="B27" s="1320" t="s">
        <v>1115</v>
      </c>
      <c r="C27" s="1320">
        <f>C28+C29</f>
        <v>0</v>
      </c>
      <c r="D27" s="1320"/>
      <c r="E27" s="3305"/>
      <c r="F27" s="3305"/>
      <c r="G27" s="3305"/>
    </row>
    <row r="28" spans="1:9">
      <c r="A28" s="1321" t="s">
        <v>1116</v>
      </c>
      <c r="B28" s="1320" t="s">
        <v>1117</v>
      </c>
      <c r="C28" s="1320"/>
      <c r="D28" s="1320"/>
      <c r="E28" s="3305"/>
      <c r="F28" s="3305"/>
      <c r="G28" s="3305"/>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96"/>
      <c r="F32" s="3296"/>
      <c r="G32" s="3296"/>
    </row>
    <row r="33" spans="1:7" hidden="1">
      <c r="A33" s="3306" t="s">
        <v>1126</v>
      </c>
      <c r="B33" s="3307"/>
      <c r="C33" s="3307"/>
      <c r="D33" s="3308"/>
      <c r="E33" s="3304"/>
      <c r="F33" s="3304"/>
      <c r="G33" s="3304"/>
    </row>
    <row r="34" spans="1:7" hidden="1">
      <c r="A34" s="1323">
        <v>1</v>
      </c>
      <c r="B34" s="1320" t="s">
        <v>1127</v>
      </c>
      <c r="C34" s="1320"/>
      <c r="D34" s="1320"/>
      <c r="E34" s="3305"/>
      <c r="F34" s="3305"/>
      <c r="G34" s="3305"/>
    </row>
    <row r="35" spans="1:7" hidden="1">
      <c r="A35" s="1323">
        <v>2</v>
      </c>
      <c r="B35" s="1320" t="s">
        <v>1128</v>
      </c>
      <c r="C35" s="1320"/>
      <c r="D35" s="1320"/>
      <c r="E35" s="3305"/>
      <c r="F35" s="3305"/>
      <c r="G35" s="3305"/>
    </row>
    <row r="36" spans="1:7" hidden="1">
      <c r="A36" s="1323">
        <v>3</v>
      </c>
      <c r="B36" s="1320" t="s">
        <v>1129</v>
      </c>
      <c r="C36" s="1320"/>
      <c r="D36" s="1320"/>
      <c r="E36" s="3305"/>
      <c r="F36" s="3305"/>
      <c r="G36" s="3305"/>
    </row>
    <row r="37" spans="1:7" hidden="1">
      <c r="A37" s="1323">
        <v>4</v>
      </c>
      <c r="B37" s="1320" t="s">
        <v>1130</v>
      </c>
      <c r="C37" s="1320"/>
      <c r="D37" s="1320"/>
      <c r="E37" s="3305"/>
      <c r="F37" s="3305"/>
      <c r="G37" s="3305"/>
    </row>
    <row r="38" spans="1:7" hidden="1">
      <c r="A38" s="3306" t="s">
        <v>1131</v>
      </c>
      <c r="B38" s="3307"/>
      <c r="C38" s="3307"/>
      <c r="D38" s="3308"/>
      <c r="E38" s="3304"/>
      <c r="F38" s="3304"/>
      <c r="G38" s="33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v>
      </c>
    </row>
    <row r="4" spans="1:1" ht="36">
      <c r="A4" s="1943" t="str">
        <f>"受贵公司委托，我公司对"&amp;项目基本情况!S1&amp;"进行了预评估。"</f>
        <v>受贵公司委托，我公司对出让国有建设用地使用权及在建建筑物房地产抵押价值进行了预评估。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估价对象为出让国有建设用地使用权及在建建筑物房地产，为所有。根据《国有土地使用证》[]，估价对象（分摊）出让国有建设用地使用权面积为63815.99平方米，建筑面积为71473.9099999998平方米。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63815.99平方米，规划建筑面积为71473.9099999998平方米。</v>
      </c>
    </row>
    <row r="11" spans="1:1" ht="76.5">
      <c r="A11" s="1946" t="s">
        <v>1612</v>
      </c>
    </row>
    <row r="12" spans="1:1" ht="18.75">
      <c r="A12" s="1944" t="s">
        <v>1613</v>
      </c>
    </row>
    <row r="13" spans="1:1" ht="38.25" customHeight="1">
      <c r="A13" s="1947"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2019年10月20日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0" sqref="C30: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1585</v>
      </c>
      <c r="B1" s="781"/>
      <c r="C1" s="1832" t="s">
        <v>3105</v>
      </c>
      <c r="D1" s="1815" t="s">
        <v>3109</v>
      </c>
      <c r="E1" s="1816" t="s">
        <v>1383</v>
      </c>
      <c r="F1" s="1278">
        <f ca="1">J53</f>
        <v>34.590000000000003</v>
      </c>
      <c r="G1" s="1831">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1511</v>
      </c>
      <c r="B2" s="1839">
        <f ca="1">C40+J29+L46</f>
        <v>2029</v>
      </c>
      <c r="C2" s="1840" t="s">
        <v>1512</v>
      </c>
      <c r="D2" s="1840"/>
      <c r="E2" s="1841"/>
      <c r="F2" s="1842"/>
      <c r="G2" s="1843"/>
      <c r="H2" s="1835"/>
      <c r="I2" s="1835"/>
      <c r="J2" s="1835"/>
      <c r="K2" s="1836"/>
      <c r="L2" s="1835"/>
      <c r="M2" s="1835"/>
    </row>
    <row r="3" spans="1:37" ht="18" customHeight="1" thickBot="1">
      <c r="A3" s="1844" t="s">
        <v>1513</v>
      </c>
      <c r="B3" s="1845">
        <f ca="1">IF(ISERROR(B2*10000/F43),0,ROUND(B2*10000/F43,0))</f>
        <v>9177</v>
      </c>
      <c r="C3" s="1840" t="s">
        <v>1514</v>
      </c>
      <c r="D3" s="1840"/>
      <c r="E3" s="1841"/>
      <c r="F3" s="1842"/>
      <c r="G3" s="1843"/>
      <c r="H3" s="743" t="s">
        <v>1584</v>
      </c>
      <c r="I3" s="1835"/>
      <c r="J3" s="1835"/>
      <c r="K3" s="1836"/>
      <c r="L3" s="1835"/>
      <c r="M3" s="1835"/>
    </row>
    <row r="4" spans="1:37" ht="18" customHeight="1">
      <c r="A4" s="339" t="s">
        <v>1392</v>
      </c>
      <c r="B4" s="340" t="s">
        <v>1393</v>
      </c>
      <c r="C4" s="340" t="s">
        <v>1394</v>
      </c>
      <c r="D4" s="340" t="s">
        <v>1395</v>
      </c>
      <c r="E4" s="341" t="s">
        <v>1396</v>
      </c>
      <c r="F4" s="342"/>
      <c r="G4" s="1846"/>
      <c r="H4" s="339" t="s">
        <v>1392</v>
      </c>
      <c r="I4" s="340" t="s">
        <v>1393</v>
      </c>
      <c r="J4" s="340" t="s">
        <v>1394</v>
      </c>
      <c r="K4" s="340" t="s">
        <v>1395</v>
      </c>
      <c r="L4" s="341" t="s">
        <v>1396</v>
      </c>
      <c r="M4" s="342"/>
    </row>
    <row r="5" spans="1:37" ht="18" customHeight="1">
      <c r="A5" s="343">
        <v>1</v>
      </c>
      <c r="B5" s="344" t="s">
        <v>1397</v>
      </c>
      <c r="C5" s="1287">
        <f ca="1">C6+C10+C12</f>
        <v>137</v>
      </c>
      <c r="D5" s="1817" t="s">
        <v>1398</v>
      </c>
      <c r="E5" s="1288"/>
      <c r="F5" s="1289"/>
      <c r="G5" s="1846"/>
      <c r="H5" s="343">
        <v>1</v>
      </c>
      <c r="I5" s="344" t="s">
        <v>1397</v>
      </c>
      <c r="J5" s="1287">
        <f ca="1">J6+J10+J12</f>
        <v>0</v>
      </c>
      <c r="K5" s="1817" t="s">
        <v>1398</v>
      </c>
      <c r="L5" s="1288"/>
      <c r="M5" s="1289"/>
    </row>
    <row r="6" spans="1:37" ht="18" customHeight="1">
      <c r="A6" s="1286" t="s">
        <v>1032</v>
      </c>
      <c r="B6" s="3284" t="s">
        <v>1399</v>
      </c>
      <c r="C6" s="1291">
        <f ca="1">ROUND(F6*F8*F7*(1-F9)/10000,0)</f>
        <v>137</v>
      </c>
      <c r="D6" s="163" t="s">
        <v>3027</v>
      </c>
      <c r="E6" s="346" t="s">
        <v>1401</v>
      </c>
      <c r="F6" s="347">
        <f ca="1">INDIRECT("'数据-取费表'!u"&amp;$G$1)</f>
        <v>2</v>
      </c>
      <c r="G6" s="1846"/>
      <c r="H6" s="1286" t="s">
        <v>1032</v>
      </c>
      <c r="I6" s="3284" t="s">
        <v>1399</v>
      </c>
      <c r="J6" s="345">
        <f ca="1">ROUND(M6*M8*M7*(1-M9)/10000,0)</f>
        <v>0</v>
      </c>
      <c r="K6" s="163" t="s">
        <v>3026</v>
      </c>
      <c r="L6" s="346" t="s">
        <v>1401</v>
      </c>
      <c r="M6" s="347">
        <f ca="1">INDIRECT("'数据-取费表'!z"&amp;$G$1)</f>
        <v>0</v>
      </c>
    </row>
    <row r="7" spans="1:37" ht="18" customHeight="1">
      <c r="A7" s="1290"/>
      <c r="B7" s="3285"/>
      <c r="C7" s="1292"/>
      <c r="D7" s="351"/>
      <c r="E7" s="2949" t="s">
        <v>1402</v>
      </c>
      <c r="F7" s="347">
        <f ca="1">IF(INDIRECT("'数据-取费表'!ah"&amp;$G$1)="",INDIRECT("'数据-取费表'!k"&amp;$G$1),INDIRECT("'数据-取费表'!ah"&amp;$G$1))</f>
        <v>2210.87</v>
      </c>
      <c r="G7" s="1846"/>
      <c r="H7" s="348"/>
      <c r="I7" s="3285"/>
      <c r="J7" s="350"/>
      <c r="K7" s="351"/>
      <c r="L7" s="346" t="s">
        <v>1402</v>
      </c>
      <c r="M7" s="347">
        <f ca="1">F7</f>
        <v>2210.87</v>
      </c>
    </row>
    <row r="8" spans="1:37" ht="18" customHeight="1">
      <c r="A8" s="348"/>
      <c r="B8" s="3285"/>
      <c r="C8" s="350"/>
      <c r="D8" s="351"/>
      <c r="E8" s="346" t="s">
        <v>1403</v>
      </c>
      <c r="F8" s="347">
        <f ca="1">INDIRECT("'数据-取费表'!ai"&amp;$G$1)</f>
        <v>365</v>
      </c>
      <c r="G8" s="1846"/>
      <c r="H8" s="348"/>
      <c r="I8" s="3285"/>
      <c r="J8" s="350"/>
      <c r="K8" s="351"/>
      <c r="L8" s="346" t="s">
        <v>1403</v>
      </c>
      <c r="M8" s="347">
        <f ca="1">INDIRECT("'数据-取费表'!ai"&amp;$G$1)</f>
        <v>365</v>
      </c>
    </row>
    <row r="9" spans="1:37" ht="18" customHeight="1">
      <c r="A9" s="348"/>
      <c r="B9" s="3286"/>
      <c r="C9" s="350"/>
      <c r="D9" s="351"/>
      <c r="E9" s="346" t="s">
        <v>1404</v>
      </c>
      <c r="F9" s="356">
        <f ca="1">INDIRECT("'数据-取费表'!w"&amp;$G$1)</f>
        <v>0.15</v>
      </c>
      <c r="G9" s="1846"/>
      <c r="H9" s="348"/>
      <c r="I9" s="3286"/>
      <c r="J9" s="350"/>
      <c r="K9" s="351"/>
      <c r="L9" s="357" t="s">
        <v>1404</v>
      </c>
      <c r="M9" s="358">
        <f ca="1">INDIRECT("'数据-取费表'!ab"&amp;$G$1)</f>
        <v>0</v>
      </c>
    </row>
    <row r="10" spans="1:37" ht="18" customHeight="1">
      <c r="A10" s="1286" t="s">
        <v>1036</v>
      </c>
      <c r="B10" s="1818" t="s">
        <v>1405</v>
      </c>
      <c r="C10" s="360">
        <f ca="1">ROUND(IF(F10="押一",C6/12*F11,IF(F10="押二",C6/12*2*F11,IF(F10="押三",C6/12*3*F11,C11*F11))),0)</f>
        <v>0</v>
      </c>
      <c r="D10" s="1819" t="s">
        <v>3035</v>
      </c>
      <c r="E10" s="357" t="s">
        <v>1406</v>
      </c>
      <c r="F10" s="1361" t="s">
        <v>3110</v>
      </c>
      <c r="G10" s="1846"/>
      <c r="H10" s="1286" t="s">
        <v>1036</v>
      </c>
      <c r="I10" s="1818" t="s">
        <v>1405</v>
      </c>
      <c r="J10" s="345">
        <f ca="1">ROUND(IF(M10="押一",J6/12*M11,IF(M10="押二",J6/12*2*M11,IF(M10="押三",J6/12*3*M11,J11*M11))),0)</f>
        <v>0</v>
      </c>
      <c r="K10" s="1819" t="s">
        <v>3035</v>
      </c>
      <c r="L10" s="357" t="s">
        <v>1406</v>
      </c>
      <c r="M10" s="1361" t="s">
        <v>1407</v>
      </c>
    </row>
    <row r="11" spans="1:37" ht="18" customHeight="1">
      <c r="A11" s="352"/>
      <c r="B11" s="1820" t="s">
        <v>1384</v>
      </c>
      <c r="C11" s="1173"/>
      <c r="D11" s="1821"/>
      <c r="E11" s="357" t="s">
        <v>1408</v>
      </c>
      <c r="F11" s="358">
        <f ca="1">'数据-取费表'!B39</f>
        <v>1.4999999999999999E-2</v>
      </c>
      <c r="G11" s="1846"/>
      <c r="H11" s="1294"/>
      <c r="I11" s="1820" t="s">
        <v>1384</v>
      </c>
      <c r="J11" s="1173"/>
      <c r="K11" s="747"/>
      <c r="L11" s="357"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4">
        <f ca="1">ROUND(C29*F13,0)</f>
        <v>1333</v>
      </c>
      <c r="D13" s="1326" t="s">
        <v>1411</v>
      </c>
      <c r="E13" s="1326" t="s">
        <v>1412</v>
      </c>
      <c r="F13" s="1327">
        <f ca="1">INDIRECT("'数据-取费表'!y"&amp;$G$1)</f>
        <v>1</v>
      </c>
      <c r="G13" s="1846"/>
      <c r="H13" s="1324">
        <v>2</v>
      </c>
      <c r="I13" s="1325" t="s">
        <v>1410</v>
      </c>
      <c r="J13" s="1285">
        <f ca="1">ROUND(J14*J15,0)</f>
        <v>0</v>
      </c>
      <c r="K13" s="1332" t="s">
        <v>1411</v>
      </c>
      <c r="L13" s="1847"/>
      <c r="M13" s="1848"/>
    </row>
    <row r="14" spans="1:37" ht="18" customHeight="1">
      <c r="A14" s="1196" t="s">
        <v>1031</v>
      </c>
      <c r="B14" s="346" t="s">
        <v>1413</v>
      </c>
      <c r="C14" s="362">
        <f ca="1">INDIRECT("'数据-取费表'!m"&amp;$G$1)+INDIRECT("'数据-取费表'!t"&amp;$G$1)</f>
        <v>884</v>
      </c>
      <c r="D14" s="2952" t="s">
        <v>1414</v>
      </c>
      <c r="E14" s="2951"/>
      <c r="F14" s="363"/>
      <c r="G14" s="1846"/>
      <c r="H14" s="1196" t="s">
        <v>1032</v>
      </c>
      <c r="I14" s="346" t="s">
        <v>1415</v>
      </c>
      <c r="J14" s="24">
        <f ca="1">C29</f>
        <v>1333</v>
      </c>
      <c r="K14" s="2948"/>
      <c r="L14" s="974"/>
      <c r="M14" s="975"/>
    </row>
    <row r="15" spans="1:37" s="1853" customFormat="1" ht="18" customHeight="1" thickBot="1">
      <c r="A15" s="1196" t="s">
        <v>1033</v>
      </c>
      <c r="B15" s="346" t="s">
        <v>1416</v>
      </c>
      <c r="C15" s="24">
        <f ca="1">ROUND(C14*F15,0)</f>
        <v>44</v>
      </c>
      <c r="D15" s="364" t="s">
        <v>1417</v>
      </c>
      <c r="E15" s="364" t="s">
        <v>1418</v>
      </c>
      <c r="F15" s="365">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6" t="s">
        <v>1419</v>
      </c>
      <c r="C16" s="24">
        <f ca="1">ROUND(INDIRECT("'数据-取费表'!m"&amp;$G$1)*F16,0)</f>
        <v>0</v>
      </c>
      <c r="D16" s="346" t="s">
        <v>1417</v>
      </c>
      <c r="E16" s="346" t="s">
        <v>1418</v>
      </c>
      <c r="F16" s="366">
        <f ca="1">IF(INDIRECT("'数据-取费表'!c"&amp;$G$1)="住宅",'数据-取费表'!B34,0)</f>
        <v>0</v>
      </c>
      <c r="G16" s="1846"/>
      <c r="H16" s="1324" t="s">
        <v>1027</v>
      </c>
      <c r="I16" s="1325" t="s">
        <v>1420</v>
      </c>
      <c r="J16" s="354">
        <f ca="1">ROUND(J17+J22+J23+J24,0)</f>
        <v>32</v>
      </c>
      <c r="K16" s="1332" t="s">
        <v>1421</v>
      </c>
      <c r="L16" s="2954"/>
      <c r="M16" s="1289"/>
    </row>
    <row r="17" spans="1:37" s="1853" customFormat="1" ht="18" customHeight="1">
      <c r="A17" s="1196" t="s">
        <v>1386</v>
      </c>
      <c r="B17" s="346" t="s">
        <v>1422</v>
      </c>
      <c r="C17" s="24">
        <f ca="1">ROUND(F17*(F43+INDIRECT("'数据-取费表'!S"&amp;$G$1))/10000,0)</f>
        <v>44</v>
      </c>
      <c r="D17" s="346" t="s">
        <v>1423</v>
      </c>
      <c r="E17" s="346" t="s">
        <v>1424</v>
      </c>
      <c r="F17" s="26">
        <f>'数据-取费表'!B35</f>
        <v>200</v>
      </c>
      <c r="G17" s="1849"/>
      <c r="H17" s="1196" t="s">
        <v>1032</v>
      </c>
      <c r="I17" s="346" t="s">
        <v>1425</v>
      </c>
      <c r="J17" s="24">
        <f ca="1">ROUND(IF(项目基本情况!B11="自然人",J5*M17,J18+J19+J20),1)</f>
        <v>11.6</v>
      </c>
      <c r="K17" s="2952" t="s">
        <v>1426</v>
      </c>
      <c r="L17" s="2953" t="s">
        <v>1427</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6" t="s">
        <v>1428</v>
      </c>
      <c r="C18" s="24">
        <f ca="1">ROUND(C14*F18,0)</f>
        <v>13</v>
      </c>
      <c r="D18" s="346" t="s">
        <v>1417</v>
      </c>
      <c r="E18" s="346" t="s">
        <v>1418</v>
      </c>
      <c r="F18" s="366">
        <f>'数据-取费表'!B36</f>
        <v>1.4999999999999999E-2</v>
      </c>
      <c r="G18" s="1849"/>
      <c r="H18" s="1196" t="s">
        <v>1031</v>
      </c>
      <c r="I18" s="346" t="s">
        <v>1429</v>
      </c>
      <c r="J18" s="24">
        <f ca="1">ROUND(J5*M18/(1+'数据-取费表'!C42),2)</f>
        <v>0</v>
      </c>
      <c r="K18" s="2953" t="s">
        <v>1430</v>
      </c>
      <c r="L18" s="346" t="s">
        <v>1418</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6" t="s">
        <v>1431</v>
      </c>
      <c r="C19" s="24">
        <f ca="1">SUM(C14:C18)</f>
        <v>985</v>
      </c>
      <c r="D19" s="139" t="s">
        <v>1432</v>
      </c>
      <c r="E19" s="2947"/>
      <c r="F19" s="26"/>
      <c r="G19" s="1846"/>
      <c r="H19" s="1196" t="s">
        <v>1033</v>
      </c>
      <c r="I19" s="346" t="s">
        <v>1433</v>
      </c>
      <c r="J19" s="24">
        <f ca="1">IF(K19="按租金收入计税",ROUND(J5*M19,2),ROUND(C29*M19*0.7,2))</f>
        <v>11.2</v>
      </c>
      <c r="K19" s="1823" t="s">
        <v>1434</v>
      </c>
      <c r="L19" s="346" t="s">
        <v>1418</v>
      </c>
      <c r="M19" s="366">
        <f>IF(K19="按租金收入计税",'数据-取费表'!B51,'数据-取费表'!B50)</f>
        <v>1.2E-2</v>
      </c>
    </row>
    <row r="20" spans="1:37" s="1853" customFormat="1" ht="18" customHeight="1">
      <c r="A20" s="1196" t="s">
        <v>1036</v>
      </c>
      <c r="B20" s="346" t="s">
        <v>1435</v>
      </c>
      <c r="C20" s="24">
        <f ca="1">ROUND(C19*F20,0)</f>
        <v>30</v>
      </c>
      <c r="D20" s="368" t="s">
        <v>1436</v>
      </c>
      <c r="E20" s="346" t="s">
        <v>1418</v>
      </c>
      <c r="F20" s="366">
        <f>'数据-取费表'!B37</f>
        <v>0.03</v>
      </c>
      <c r="G20" s="1849"/>
      <c r="H20" s="1196" t="s">
        <v>1385</v>
      </c>
      <c r="I20" s="163" t="s">
        <v>1437</v>
      </c>
      <c r="J20" s="25">
        <f ca="1">ROUND(M20*M21/10000,2)</f>
        <v>0.39</v>
      </c>
      <c r="K20" s="369" t="s">
        <v>1438</v>
      </c>
      <c r="L20" s="346" t="s">
        <v>1439</v>
      </c>
      <c r="M20" s="370">
        <f>'数据-取费表'!B52</f>
        <v>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6" t="s">
        <v>1440</v>
      </c>
      <c r="C21" s="24" t="s">
        <v>18</v>
      </c>
      <c r="D21" s="368" t="s">
        <v>1441</v>
      </c>
      <c r="E21" s="346" t="s">
        <v>1442</v>
      </c>
      <c r="F21" s="366">
        <f>'数据-取费表'!B38</f>
        <v>0.03</v>
      </c>
      <c r="G21" s="1849"/>
      <c r="H21" s="371"/>
      <c r="I21" s="355"/>
      <c r="J21" s="29"/>
      <c r="K21" s="372"/>
      <c r="L21" s="346" t="s">
        <v>1443</v>
      </c>
      <c r="M21" s="347">
        <f ca="1">INDIRECT("'数据-取费表'!r"&amp;$G$1)</f>
        <v>1973.99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6" t="s">
        <v>1444</v>
      </c>
      <c r="C22" s="24"/>
      <c r="D22" s="139" t="str">
        <f>IF(F23&lt;=1,"单利计息。","复利计息。")&amp;"建造成本、管理费用、销售费用产生的利息。"</f>
        <v>复利计息。建造成本、管理费用、销售费用产生的利息。</v>
      </c>
      <c r="E22" s="2947"/>
      <c r="F22" s="26"/>
      <c r="G22" s="1846"/>
      <c r="H22" s="1196" t="s">
        <v>1036</v>
      </c>
      <c r="I22" s="346" t="s">
        <v>1445</v>
      </c>
      <c r="J22" s="24">
        <f ca="1">ROUND(J14*M22,1)</f>
        <v>20</v>
      </c>
      <c r="K22" s="2953" t="s">
        <v>1446</v>
      </c>
      <c r="L22" s="346" t="s">
        <v>1418</v>
      </c>
      <c r="M22" s="373">
        <f ca="1">INDIRECT("'数据-取费表'!Ak"&amp;$G$1)</f>
        <v>1.4999999999999999E-2</v>
      </c>
    </row>
    <row r="23" spans="1:37" s="1853" customFormat="1" ht="18" customHeight="1">
      <c r="A23" s="1196" t="s">
        <v>1031</v>
      </c>
      <c r="B23" s="346" t="s">
        <v>1447</v>
      </c>
      <c r="C23" s="24">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1448</v>
      </c>
      <c r="F23" s="370">
        <f>'数据-取费表'!B20</f>
        <v>2</v>
      </c>
      <c r="G23" s="1849"/>
      <c r="H23" s="1196" t="s">
        <v>1072</v>
      </c>
      <c r="I23" s="346" t="s">
        <v>1449</v>
      </c>
      <c r="J23" s="24">
        <f ca="1">ROUND(J13*M23,1)</f>
        <v>0</v>
      </c>
      <c r="K23" s="2953" t="s">
        <v>1450</v>
      </c>
      <c r="L23" s="346" t="s">
        <v>1418</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49"/>
      <c r="H24" s="1334" t="s">
        <v>1388</v>
      </c>
      <c r="I24" s="1335" t="s">
        <v>1435</v>
      </c>
      <c r="J24" s="1336">
        <f ca="1">ROUND(J5*M24,1)</f>
        <v>0</v>
      </c>
      <c r="K24" s="1337" t="s">
        <v>1455</v>
      </c>
      <c r="L24" s="1335" t="s">
        <v>1418</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6" t="s">
        <v>1457</v>
      </c>
      <c r="C25" s="24"/>
      <c r="D25" s="139" t="s">
        <v>1458</v>
      </c>
      <c r="E25" s="2947"/>
      <c r="F25" s="26"/>
      <c r="G25" s="1846"/>
      <c r="H25" s="1324" t="s">
        <v>1028</v>
      </c>
      <c r="I25" s="1339" t="s">
        <v>1459</v>
      </c>
      <c r="J25" s="354">
        <f ca="1">J5-J16</f>
        <v>-32</v>
      </c>
      <c r="K25" s="1340" t="s">
        <v>1460</v>
      </c>
      <c r="L25" s="1341"/>
      <c r="M25" s="1342"/>
    </row>
    <row r="26" spans="1:37">
      <c r="A26" s="1196" t="s">
        <v>1031</v>
      </c>
      <c r="B26" s="346" t="s">
        <v>1461</v>
      </c>
      <c r="C26" s="24">
        <f ca="1">ROUND((C19+C20)*F26,0)</f>
        <v>152</v>
      </c>
      <c r="D26" s="368" t="s">
        <v>1462</v>
      </c>
      <c r="E26" s="357" t="s">
        <v>1463</v>
      </c>
      <c r="F26" s="356">
        <f ca="1">INDIRECT("'数据-取费表'!q"&amp;$G$1)</f>
        <v>0.15</v>
      </c>
      <c r="G26" s="1846"/>
      <c r="H26" s="343" t="s">
        <v>1029</v>
      </c>
      <c r="I26" s="344" t="s">
        <v>1464</v>
      </c>
      <c r="J26" s="345">
        <f ca="1">IF(J5&lt;&gt;0,ROUND(J25*(1-((1+M28)/(1+M26))^M27)/(M26-M28),0),0)</f>
        <v>0</v>
      </c>
      <c r="K26" s="369" t="s">
        <v>1465</v>
      </c>
      <c r="L26" s="346" t="s">
        <v>1466</v>
      </c>
      <c r="M26" s="356">
        <f ca="1">INDIRECT("'数据-取费表'!I"&amp;$G$1)</f>
        <v>5.5E-2</v>
      </c>
    </row>
    <row r="27" spans="1:37" ht="18" customHeight="1">
      <c r="A27" s="1196" t="s">
        <v>1033</v>
      </c>
      <c r="B27" s="346" t="s">
        <v>1467</v>
      </c>
      <c r="C27" s="24">
        <f ca="1">ROUND(F21*F26,4)</f>
        <v>4.4999999999999997E-3</v>
      </c>
      <c r="D27" s="368" t="s">
        <v>1468</v>
      </c>
      <c r="E27" s="364"/>
      <c r="F27" s="365"/>
      <c r="G27" s="1846"/>
      <c r="H27" s="348"/>
      <c r="I27" s="349"/>
      <c r="J27" s="350"/>
      <c r="K27" s="377" t="s">
        <v>1469</v>
      </c>
      <c r="L27" s="346" t="s">
        <v>1470</v>
      </c>
      <c r="M27" s="378">
        <f ca="1">INDIRECT("'数据-取费表'!ag"&amp;$G$1)</f>
        <v>0</v>
      </c>
    </row>
    <row r="28" spans="1:37" s="1853" customFormat="1" ht="18" customHeight="1">
      <c r="A28" s="1196" t="s">
        <v>1034</v>
      </c>
      <c r="B28" s="346" t="s">
        <v>1471</v>
      </c>
      <c r="C28" s="24">
        <f>ROUND(F28/(1+'数据-取费表'!C42),4)</f>
        <v>5.2400000000000002E-2</v>
      </c>
      <c r="D28" s="368" t="s">
        <v>1472</v>
      </c>
      <c r="E28" s="346" t="s">
        <v>1418</v>
      </c>
      <c r="F28" s="366">
        <f>'数据-取费表'!B41</f>
        <v>5.5000000000000007E-2</v>
      </c>
      <c r="G28" s="1849"/>
      <c r="H28" s="352"/>
      <c r="I28" s="353"/>
      <c r="J28" s="354"/>
      <c r="K28" s="372"/>
      <c r="L28" s="346" t="s">
        <v>1473</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1333</v>
      </c>
      <c r="D29" s="1337"/>
      <c r="E29" s="1335"/>
      <c r="F29" s="1338"/>
      <c r="G29" s="1849"/>
      <c r="H29" s="379" t="s">
        <v>1030</v>
      </c>
      <c r="I29" s="380" t="s">
        <v>1475</v>
      </c>
      <c r="J29" s="381">
        <f ca="1">ROUND(J26/(1+F40)^F41,0)</f>
        <v>0</v>
      </c>
      <c r="K29" s="382" t="s">
        <v>1476</v>
      </c>
      <c r="L29" s="383"/>
      <c r="M29" s="384">
        <f ca="1">INDIRECT("'数据-取费表'!k"&amp;$G$1)</f>
        <v>2210.87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4">
        <f ca="1">ROUND(C31+C36+C37+C38,0)</f>
        <v>47</v>
      </c>
      <c r="D30" s="1332" t="s">
        <v>1421</v>
      </c>
      <c r="E30" s="2954"/>
      <c r="F30" s="1289"/>
      <c r="G30" s="1846"/>
      <c r="H30" s="744"/>
      <c r="I30" s="745"/>
      <c r="J30" s="746"/>
      <c r="K30" s="747"/>
      <c r="L30" s="748"/>
      <c r="M30" s="749"/>
    </row>
    <row r="31" spans="1:37" ht="18" customHeight="1">
      <c r="A31" s="1196" t="s">
        <v>1032</v>
      </c>
      <c r="B31" s="346" t="s">
        <v>1425</v>
      </c>
      <c r="C31" s="24">
        <f ca="1">ROUND(IF(项目基本情况!B11="自然人",C5*F31,C32+C33+C34),1)</f>
        <v>24</v>
      </c>
      <c r="D31" s="2952" t="s">
        <v>1426</v>
      </c>
      <c r="E31" s="2953" t="s">
        <v>1477</v>
      </c>
      <c r="F31" s="367" t="str">
        <f ca="1">IF(项目基本情况!B11="企业","",IF(INDIRECT("'数据-取费表'!c"&amp;$G$1)="住宅",5%,IF(F6*F7*F8/12/(1+'数据-取费表'!C42)&gt;20000,12%,7%)))</f>
        <v/>
      </c>
      <c r="G31" s="1846"/>
      <c r="H31" s="744"/>
      <c r="I31" s="745"/>
      <c r="J31" s="746"/>
      <c r="K31" s="747"/>
      <c r="L31" s="748"/>
      <c r="M31" s="749"/>
    </row>
    <row r="32" spans="1:37" ht="18" customHeight="1">
      <c r="A32" s="1196" t="s">
        <v>1031</v>
      </c>
      <c r="B32" s="346" t="s">
        <v>1429</v>
      </c>
      <c r="C32" s="24">
        <f ca="1">IF(项目基本情况!B11="自然人","——",ROUND(C5*F32/(1+'数据-取费表'!C42),2))</f>
        <v>7.18</v>
      </c>
      <c r="D32" s="2953" t="s">
        <v>1430</v>
      </c>
      <c r="E32" s="346" t="s">
        <v>1418</v>
      </c>
      <c r="F32" s="376">
        <f>'数据-取费表'!B41</f>
        <v>5.5000000000000007E-2</v>
      </c>
      <c r="G32" s="1846"/>
      <c r="H32" s="744"/>
      <c r="I32" s="745"/>
      <c r="J32" s="746"/>
      <c r="K32" s="747"/>
      <c r="L32" s="748"/>
      <c r="M32" s="749"/>
    </row>
    <row r="33" spans="1:18" ht="18" customHeight="1">
      <c r="A33" s="1196" t="s">
        <v>1033</v>
      </c>
      <c r="B33" s="346" t="s">
        <v>1433</v>
      </c>
      <c r="C33" s="24">
        <f ca="1">IF(项目基本情况!B11="自然人","——",IF(D33="按租金收入计税",ROUND(C5*F33,2),IF(D33="按房产原值计税",ROUND(C29*F33*0.7,2),INDIRECT("'数据-取费表'!Aj"&amp;$G$1))))</f>
        <v>16.440000000000001</v>
      </c>
      <c r="D33" s="1823" t="s">
        <v>3111</v>
      </c>
      <c r="E33" s="346" t="s">
        <v>1418</v>
      </c>
      <c r="F33" s="366">
        <f>IF(D33="按票据","——",IF(D33="按租金收入计税",'数据-取费表'!B51,'数据-取费表'!B50))</f>
        <v>0.12</v>
      </c>
      <c r="G33" s="1846"/>
      <c r="H33" s="1854"/>
      <c r="I33" s="1855"/>
      <c r="J33" s="1856"/>
      <c r="K33" s="1857"/>
      <c r="L33" s="1854"/>
      <c r="M33" s="1854"/>
    </row>
    <row r="34" spans="1:18" ht="18" customHeight="1">
      <c r="A34" s="1286" t="s">
        <v>1385</v>
      </c>
      <c r="B34" s="163" t="s">
        <v>1437</v>
      </c>
      <c r="C34" s="25">
        <f ca="1">IF(项目基本情况!B11="自然人","——",ROUND(F34*F35/10000,2))</f>
        <v>0.39</v>
      </c>
      <c r="D34" s="369" t="s">
        <v>1438</v>
      </c>
      <c r="E34" s="346" t="s">
        <v>1439</v>
      </c>
      <c r="F34" s="370">
        <f>'数据-取费表'!B52</f>
        <v>2</v>
      </c>
      <c r="G34" s="1846"/>
      <c r="H34" s="744"/>
      <c r="I34" s="1855"/>
      <c r="J34" s="1856"/>
      <c r="K34" s="1858"/>
      <c r="L34" s="1859"/>
      <c r="M34" s="1859"/>
    </row>
    <row r="35" spans="1:18" ht="18" customHeight="1">
      <c r="A35" s="1348"/>
      <c r="B35" s="1346"/>
      <c r="C35" s="29"/>
      <c r="D35" s="372"/>
      <c r="E35" s="346" t="s">
        <v>1443</v>
      </c>
      <c r="F35" s="347">
        <f ca="1">INDIRECT("'数据-取费表'!r"&amp;$G$1)</f>
        <v>1973.99</v>
      </c>
      <c r="G35" s="1846"/>
      <c r="H35" s="744"/>
      <c r="I35" s="1855"/>
      <c r="J35" s="1856"/>
      <c r="K35" s="1857"/>
      <c r="L35" s="1854"/>
      <c r="M35" s="1854"/>
    </row>
    <row r="36" spans="1:18" ht="18" customHeight="1">
      <c r="A36" s="1347" t="s">
        <v>1036</v>
      </c>
      <c r="B36" s="346" t="s">
        <v>1445</v>
      </c>
      <c r="C36" s="24">
        <f ca="1">ROUND(C29*F36,1)</f>
        <v>20</v>
      </c>
      <c r="D36" s="2953" t="s">
        <v>1478</v>
      </c>
      <c r="E36" s="346" t="s">
        <v>1418</v>
      </c>
      <c r="F36" s="373">
        <f ca="1">INDIRECT("'数据-取费表'!Ak"&amp;$G$1)</f>
        <v>1.4999999999999999E-2</v>
      </c>
      <c r="G36" s="1846"/>
      <c r="H36" s="1854"/>
      <c r="I36" s="1855"/>
      <c r="J36" s="1856"/>
      <c r="K36" s="750"/>
      <c r="L36" s="1854"/>
      <c r="M36" s="1854"/>
    </row>
    <row r="37" spans="1:18" ht="18" customHeight="1">
      <c r="A37" s="1196" t="s">
        <v>1072</v>
      </c>
      <c r="B37" s="346" t="s">
        <v>1449</v>
      </c>
      <c r="C37" s="24">
        <f ca="1">ROUND(C13*F37,1)</f>
        <v>2</v>
      </c>
      <c r="D37" s="2953" t="s">
        <v>1450</v>
      </c>
      <c r="E37" s="346" t="s">
        <v>1418</v>
      </c>
      <c r="F37" s="375">
        <f ca="1">INDIRECT("'数据-取费表'!Al"&amp;$G$1)</f>
        <v>1.5E-3</v>
      </c>
      <c r="G37" s="1846"/>
      <c r="H37" s="1854"/>
      <c r="I37" s="1855"/>
      <c r="J37" s="1856"/>
      <c r="K37" s="750"/>
      <c r="L37" s="1854"/>
      <c r="M37" s="1854"/>
    </row>
    <row r="38" spans="1:18" ht="18" customHeight="1" thickBot="1">
      <c r="A38" s="1334" t="s">
        <v>1388</v>
      </c>
      <c r="B38" s="1335" t="s">
        <v>1435</v>
      </c>
      <c r="C38" s="1336">
        <f ca="1">ROUND(C5*F38,1)</f>
        <v>1.4</v>
      </c>
      <c r="D38" s="1337" t="s">
        <v>1455</v>
      </c>
      <c r="E38" s="1335" t="s">
        <v>1418</v>
      </c>
      <c r="F38" s="1331">
        <f ca="1">INDIRECT("'数据-取费表'!Am"&amp;$G$1)</f>
        <v>0.01</v>
      </c>
      <c r="G38" s="1846"/>
      <c r="H38" s="1854"/>
      <c r="I38" s="1855"/>
      <c r="J38" s="1856"/>
      <c r="K38" s="1860"/>
      <c r="L38" s="1854"/>
      <c r="M38" s="1854"/>
    </row>
    <row r="39" spans="1:18" ht="24.6" customHeight="1" thickTop="1">
      <c r="A39" s="1324" t="s">
        <v>1028</v>
      </c>
      <c r="B39" s="1339" t="s">
        <v>1459</v>
      </c>
      <c r="C39" s="354">
        <f ca="1">C5-C30</f>
        <v>90</v>
      </c>
      <c r="D39" s="1340" t="s">
        <v>1460</v>
      </c>
      <c r="E39" s="1341"/>
      <c r="F39" s="1342"/>
      <c r="G39" s="1846"/>
      <c r="H39" s="1854"/>
      <c r="I39" s="1855"/>
      <c r="J39" s="1856"/>
      <c r="K39" s="1860"/>
      <c r="L39" s="1854"/>
      <c r="M39" s="1854"/>
    </row>
    <row r="40" spans="1:18" ht="18" customHeight="1">
      <c r="A40" s="343" t="s">
        <v>1029</v>
      </c>
      <c r="B40" s="344" t="s">
        <v>1481</v>
      </c>
      <c r="C40" s="345">
        <f ca="1">ROUND(C39*(1-((1+F42)/(1+F40))^F41)/(F40-F42),0)</f>
        <v>2029</v>
      </c>
      <c r="D40" s="369" t="s">
        <v>1465</v>
      </c>
      <c r="E40" s="346" t="s">
        <v>1466</v>
      </c>
      <c r="F40" s="356">
        <f ca="1">INDIRECT("'数据-取费表'!I"&amp;$G$1)</f>
        <v>5.5E-2</v>
      </c>
      <c r="G40" s="1846"/>
      <c r="H40" s="1834"/>
      <c r="I40" s="1855"/>
      <c r="J40" s="1856"/>
      <c r="K40" s="1860"/>
      <c r="L40" s="1834"/>
      <c r="M40" s="1834"/>
    </row>
    <row r="41" spans="1:18" ht="18" customHeight="1">
      <c r="A41" s="348"/>
      <c r="B41" s="349"/>
      <c r="C41" s="350"/>
      <c r="D41" s="377" t="s">
        <v>1482</v>
      </c>
      <c r="E41" s="346" t="s">
        <v>1470</v>
      </c>
      <c r="F41" s="378">
        <f ca="1">IF(INDIRECT("'数据-取费表'!af"&amp;$G$1)=0,INDIRECT("'数据-取费表'!ae"&amp;$G$1),INDIRECT("'数据-取费表'!af"&amp;$G$1))</f>
        <v>34.590000000000003</v>
      </c>
      <c r="G41" s="1846"/>
      <c r="H41" s="731"/>
      <c r="I41" s="1855"/>
      <c r="J41" s="1856"/>
      <c r="K41" s="750"/>
      <c r="L41" s="731"/>
      <c r="M41" s="731"/>
    </row>
    <row r="42" spans="1:18" ht="18" customHeight="1">
      <c r="A42" s="352"/>
      <c r="B42" s="353"/>
      <c r="C42" s="354"/>
      <c r="D42" s="372"/>
      <c r="E42" s="346" t="s">
        <v>1473</v>
      </c>
      <c r="F42" s="356">
        <f ca="1">INDIRECT("'数据-取费表'!v"&amp;$G$1)</f>
        <v>0.03</v>
      </c>
      <c r="G42" s="1846"/>
      <c r="H42" s="731"/>
      <c r="I42" s="1855"/>
      <c r="J42" s="1856"/>
      <c r="K42" s="750"/>
      <c r="L42" s="731"/>
      <c r="M42" s="731"/>
    </row>
    <row r="43" spans="1:18" ht="18" customHeight="1" thickBot="1">
      <c r="A43" s="379" t="s">
        <v>1030</v>
      </c>
      <c r="B43" s="380" t="s">
        <v>1483</v>
      </c>
      <c r="C43" s="381">
        <f ca="1">ROUND(C40*10000/F43,0)</f>
        <v>9177</v>
      </c>
      <c r="D43" s="382" t="s">
        <v>1484</v>
      </c>
      <c r="E43" s="383" t="s">
        <v>1485</v>
      </c>
      <c r="F43" s="384">
        <f ca="1">INDIRECT("'数据-取费表'!k"&amp;$G$1)</f>
        <v>2210.87</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1515</v>
      </c>
      <c r="P45" s="1834"/>
      <c r="Q45" s="1834"/>
      <c r="R45" s="1834"/>
    </row>
    <row r="46" spans="1:18" s="1837" customFormat="1" ht="13.5" thickBot="1">
      <c r="A46" s="1865" t="s">
        <v>1516</v>
      </c>
      <c r="C46" s="1866">
        <f ca="1">C68-C40</f>
        <v>-4083</v>
      </c>
      <c r="D46" s="1867" t="str">
        <f>C2</f>
        <v>万元</v>
      </c>
      <c r="E46" s="1861"/>
      <c r="F46" s="1861"/>
      <c r="I46" s="1868" t="s">
        <v>1517</v>
      </c>
      <c r="J46" s="1869"/>
      <c r="K46" s="1870"/>
      <c r="L46" s="2969"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1"/>
      <c r="I47" s="1875" t="s">
        <v>1522</v>
      </c>
      <c r="J47" s="1876" t="s">
        <v>3065</v>
      </c>
      <c r="K47" s="1877" t="s">
        <v>1523</v>
      </c>
      <c r="L47" s="1878">
        <f ca="1">INDIRECT("'数据-取费表'!d"&amp;$G$1)</f>
        <v>40</v>
      </c>
      <c r="M47" s="1833" t="str">
        <f>IF(ISNUMBER(FIND("住宅",C1)),"住宅","非住宅")</f>
        <v>非住宅</v>
      </c>
      <c r="O47" s="1879" t="s">
        <v>1037</v>
      </c>
      <c r="P47" s="1880" t="s">
        <v>1524</v>
      </c>
      <c r="Q47" s="1881">
        <f ca="1">C40+J29</f>
        <v>2029</v>
      </c>
      <c r="R47" s="1881" t="s">
        <v>1525</v>
      </c>
    </row>
    <row r="48" spans="1:18" s="1837" customFormat="1" ht="28.5" thickBot="1">
      <c r="A48" s="1355" t="s">
        <v>1132</v>
      </c>
      <c r="B48" s="344" t="s">
        <v>1397</v>
      </c>
      <c r="C48" s="2946">
        <f ca="1">C49+C53+C55</f>
        <v>0</v>
      </c>
      <c r="D48" s="1357"/>
      <c r="E48" s="1358"/>
      <c r="F48" s="1176"/>
      <c r="G48" s="791"/>
      <c r="H48" s="792"/>
      <c r="I48" s="1882" t="s">
        <v>1526</v>
      </c>
      <c r="J48" s="1883" t="s">
        <v>3112</v>
      </c>
      <c r="K48" s="1884" t="s">
        <v>1527</v>
      </c>
      <c r="L48" s="1885">
        <f ca="1">INDIRECT("'数据-取费表'!f"&amp;$G$1)</f>
        <v>35.49</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3026</v>
      </c>
      <c r="E49" s="1825" t="s">
        <v>1487</v>
      </c>
      <c r="F49" s="1276"/>
      <c r="G49" s="1886"/>
      <c r="H49" s="792"/>
      <c r="I49" s="1882" t="s">
        <v>1530</v>
      </c>
      <c r="J49" s="1887">
        <v>2020</v>
      </c>
      <c r="K49" s="1884" t="s">
        <v>1531</v>
      </c>
      <c r="L49" s="1888"/>
      <c r="O49" s="1889" t="s">
        <v>1039</v>
      </c>
      <c r="P49" s="1880" t="s">
        <v>1532</v>
      </c>
      <c r="Q49" s="1881">
        <f ca="1">C29</f>
        <v>1333</v>
      </c>
      <c r="R49" s="1881" t="s">
        <v>1525</v>
      </c>
    </row>
    <row r="50" spans="1:18" s="1837" customFormat="1" ht="13.5" thickBot="1">
      <c r="A50" s="1190"/>
      <c r="B50" s="1193"/>
      <c r="C50" s="1363"/>
      <c r="D50" s="1167"/>
      <c r="E50" s="1272" t="s">
        <v>1402</v>
      </c>
      <c r="F50" s="1273">
        <f ca="1">F7</f>
        <v>2210.87</v>
      </c>
      <c r="H50" s="792"/>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7">
        <f ca="1">F8</f>
        <v>365</v>
      </c>
      <c r="I51" s="1893" t="s">
        <v>1536</v>
      </c>
      <c r="J51" s="1894">
        <f>IF(J49="",J50,J49+J50-YEAR('数据-取费表'!B2))</f>
        <v>61</v>
      </c>
      <c r="K51" s="1895" t="s">
        <v>1537</v>
      </c>
      <c r="L51" s="1896">
        <f ca="1">ROUND(-PV(INDIRECT("'数据-取费表'!h"&amp;$G$1),L48,(C39-C13*C76),0),0)</f>
        <v>-384</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f ca="1">J53</f>
        <v>34.590000000000003</v>
      </c>
      <c r="R52" s="1881" t="s">
        <v>1542</v>
      </c>
    </row>
    <row r="53" spans="1:18" s="1837" customFormat="1" ht="24.75" thickBot="1">
      <c r="A53" s="1400" t="s">
        <v>1134</v>
      </c>
      <c r="B53" s="1826" t="s">
        <v>1405</v>
      </c>
      <c r="C53" s="360">
        <f ca="1">ROUND(IF(F53="押一",C49/12*F11,IF(F53="押二",C49/12*2*F11,IF(F53="押三",C49/12*3*F11,C54*F11))),0)</f>
        <v>0</v>
      </c>
      <c r="D53" s="1819" t="s">
        <v>3035</v>
      </c>
      <c r="E53" s="357"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34.590000000000003</v>
      </c>
      <c r="K53" s="3282" t="s">
        <v>1544</v>
      </c>
      <c r="L53" s="3283"/>
      <c r="O53" s="1879" t="s">
        <v>1043</v>
      </c>
      <c r="P53" s="1880" t="s">
        <v>1545</v>
      </c>
      <c r="Q53" s="1881">
        <f ca="1">Q47+Q48</f>
        <v>2029</v>
      </c>
      <c r="R53" s="1881" t="s">
        <v>1044</v>
      </c>
    </row>
    <row r="54" spans="1:18" s="1837" customFormat="1" ht="13.5" thickBot="1">
      <c r="A54" s="1401"/>
      <c r="B54" s="1820" t="s">
        <v>1384</v>
      </c>
      <c r="C54" s="1173"/>
      <c r="D54" s="1819"/>
      <c r="E54" s="295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2950"/>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5">
        <f ca="1">C13</f>
        <v>1333</v>
      </c>
      <c r="D56" s="1909"/>
      <c r="E56" s="1910"/>
      <c r="F56" s="1902"/>
      <c r="I56" s="1911" t="s">
        <v>1550</v>
      </c>
      <c r="J56" s="2970" t="s">
        <v>3091</v>
      </c>
      <c r="K56" s="1882" t="s">
        <v>1551</v>
      </c>
      <c r="L56" s="1885" t="str">
        <f ca="1">IF(L48&lt;J51,"——",L48-J53)</f>
        <v>——</v>
      </c>
      <c r="O56" s="1879" t="s">
        <v>1037</v>
      </c>
      <c r="P56" s="1880" t="s">
        <v>1524</v>
      </c>
      <c r="Q56" s="1881">
        <f ca="1">C40+J29</f>
        <v>2029</v>
      </c>
      <c r="R56" s="1881" t="s">
        <v>1525</v>
      </c>
    </row>
    <row r="57" spans="1:18" s="1837" customFormat="1" ht="24.75" thickBot="1">
      <c r="A57" s="1913"/>
      <c r="B57" s="1164" t="s">
        <v>1474</v>
      </c>
      <c r="C57" s="281">
        <f ca="1">C29</f>
        <v>1333</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59" t="s">
        <v>1027</v>
      </c>
      <c r="B58" s="1172" t="s">
        <v>1420</v>
      </c>
      <c r="C58" s="360">
        <f ca="1">ROUND(C59+C64+C65+C66,0)</f>
        <v>134</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112.4</v>
      </c>
      <c r="D59" s="1177" t="s">
        <v>1426</v>
      </c>
      <c r="E59" s="1178" t="s">
        <v>1427</v>
      </c>
      <c r="F59" s="367"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6">
        <f t="shared" ref="F60:F66" si="0">F32</f>
        <v>5.5000000000000007E-2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1433</v>
      </c>
      <c r="C61" s="24">
        <f ca="1">IF(项目基本情况!B11="自然人","——",IF(D61="按租金收入计税",ROUND(C48*F61,2),IF(D61="按房产原值计税",ROUND(C57*F61*0.7,2),INDIRECT("'数据-取费表'!Aj"&amp;$G$1))))</f>
        <v>111.97</v>
      </c>
      <c r="D61" s="1823" t="s">
        <v>1434</v>
      </c>
      <c r="E61" s="1164" t="s">
        <v>1418</v>
      </c>
      <c r="F61" s="366">
        <f t="shared" si="0"/>
        <v>0.12</v>
      </c>
      <c r="I61" s="1923"/>
      <c r="J61" s="1923"/>
      <c r="K61" s="1923"/>
      <c r="L61" s="1923"/>
      <c r="O61" s="1889" t="s">
        <v>1042</v>
      </c>
      <c r="P61" s="1880" t="str">
        <f>K59</f>
        <v>续建工期及建筑物耐用年限下的土地年期修正系数Kn</v>
      </c>
      <c r="Q61" s="1881" t="e">
        <f ca="1">L59</f>
        <v>#DIV/0!</v>
      </c>
      <c r="R61" s="1881" t="s">
        <v>1565</v>
      </c>
    </row>
    <row r="62" spans="1:18" s="1837" customFormat="1" ht="13.5" thickBot="1">
      <c r="A62" s="1196" t="s">
        <v>1491</v>
      </c>
      <c r="B62" s="1163" t="s">
        <v>1437</v>
      </c>
      <c r="C62" s="25">
        <f ca="1">IF(项目基本情况!B11="自然人","——",ROUND(F62*F63/10000,2))</f>
        <v>0.39</v>
      </c>
      <c r="D62" s="1179" t="s">
        <v>1438</v>
      </c>
      <c r="E62" s="1164" t="s">
        <v>1439</v>
      </c>
      <c r="F62" s="370">
        <f t="shared" si="0"/>
        <v>2</v>
      </c>
      <c r="I62" s="1924" t="s">
        <v>1566</v>
      </c>
      <c r="J62" s="1925" t="s">
        <v>1567</v>
      </c>
      <c r="K62" s="1925" t="s">
        <v>1568</v>
      </c>
      <c r="L62" s="1925" t="s">
        <v>1569</v>
      </c>
      <c r="M62" s="1926" t="s">
        <v>1570</v>
      </c>
      <c r="O62" s="1879" t="s">
        <v>1043</v>
      </c>
      <c r="P62" s="1880" t="s">
        <v>1545</v>
      </c>
      <c r="Q62" s="1881">
        <f ca="1">Q56+Q57</f>
        <v>2029</v>
      </c>
      <c r="R62" s="1881" t="s">
        <v>1044</v>
      </c>
    </row>
    <row r="63" spans="1:18" s="1837" customFormat="1" ht="13.5" thickBot="1">
      <c r="A63" s="371"/>
      <c r="B63" s="1170"/>
      <c r="C63" s="29"/>
      <c r="D63" s="1180"/>
      <c r="E63" s="1164" t="s">
        <v>1443</v>
      </c>
      <c r="F63" s="347">
        <f t="shared" ca="1" si="0"/>
        <v>1973.99</v>
      </c>
      <c r="I63" s="1924" t="s">
        <v>1572</v>
      </c>
      <c r="J63" s="1925">
        <v>70</v>
      </c>
      <c r="K63" s="1925">
        <v>50</v>
      </c>
      <c r="L63" s="1925">
        <v>80</v>
      </c>
      <c r="M63" s="1927">
        <v>0.02</v>
      </c>
      <c r="O63" s="1864" t="s">
        <v>1573</v>
      </c>
      <c r="P63" s="1834"/>
      <c r="Q63" s="1834"/>
      <c r="R63" s="1834"/>
    </row>
    <row r="64" spans="1:18" s="1837" customFormat="1" ht="13.5" thickBot="1">
      <c r="A64" s="1196" t="s">
        <v>1036</v>
      </c>
      <c r="B64" s="1164" t="s">
        <v>1445</v>
      </c>
      <c r="C64" s="24">
        <f ca="1">ROUND(C57*F64,1)</f>
        <v>20</v>
      </c>
      <c r="D64" s="1178" t="s">
        <v>1478</v>
      </c>
      <c r="E64" s="1164" t="s">
        <v>1418</v>
      </c>
      <c r="F64" s="373">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v>
      </c>
      <c r="D65" s="1178" t="s">
        <v>1450</v>
      </c>
      <c r="E65" s="1164" t="s">
        <v>1418</v>
      </c>
      <c r="F65" s="375">
        <f t="shared" ca="1" si="0"/>
        <v>1.5E-3</v>
      </c>
      <c r="I65" s="1924" t="s">
        <v>1575</v>
      </c>
      <c r="J65" s="1925">
        <v>40</v>
      </c>
      <c r="K65" s="1925">
        <v>30</v>
      </c>
      <c r="L65" s="1925">
        <v>50</v>
      </c>
      <c r="M65" s="1927">
        <v>0.02</v>
      </c>
      <c r="O65" s="1879" t="s">
        <v>1037</v>
      </c>
      <c r="P65" s="1880" t="s">
        <v>1524</v>
      </c>
      <c r="Q65" s="1881">
        <f ca="1">C40+J29</f>
        <v>2029</v>
      </c>
      <c r="R65" s="1881" t="s">
        <v>1525</v>
      </c>
    </row>
    <row r="66" spans="1:18" s="1837" customFormat="1" ht="16.5" thickBot="1">
      <c r="A66" s="1196" t="s">
        <v>1500</v>
      </c>
      <c r="B66" s="1164" t="s">
        <v>1435</v>
      </c>
      <c r="C66" s="24">
        <f ca="1">ROUND(C48*F66,1)</f>
        <v>0</v>
      </c>
      <c r="D66" s="1178" t="s">
        <v>1455</v>
      </c>
      <c r="E66" s="1164" t="s">
        <v>1418</v>
      </c>
      <c r="F66" s="356">
        <f t="shared" ca="1" si="0"/>
        <v>0.01</v>
      </c>
      <c r="O66" s="1879" t="s">
        <v>1038</v>
      </c>
      <c r="P66" s="1880" t="s">
        <v>1554</v>
      </c>
      <c r="Q66" s="1881">
        <f ca="1">L60</f>
        <v>0</v>
      </c>
      <c r="R66" s="1881" t="s">
        <v>1577</v>
      </c>
    </row>
    <row r="67" spans="1:18" s="1837" customFormat="1" ht="16.5" thickBot="1">
      <c r="A67" s="1171" t="s">
        <v>1028</v>
      </c>
      <c r="B67" s="1181" t="s">
        <v>1459</v>
      </c>
      <c r="C67" s="360">
        <f ca="1">C48-C58</f>
        <v>-134</v>
      </c>
      <c r="D67" s="1177" t="s">
        <v>1460</v>
      </c>
      <c r="E67" s="1182"/>
      <c r="F67" s="1183"/>
      <c r="O67" s="1889" t="s">
        <v>1039</v>
      </c>
      <c r="P67" s="1880" t="s">
        <v>1558</v>
      </c>
      <c r="Q67" s="1928">
        <f ca="1">L51</f>
        <v>-384</v>
      </c>
      <c r="R67" s="1881" t="s">
        <v>1578</v>
      </c>
    </row>
    <row r="68" spans="1:18" s="1837" customFormat="1" ht="16.5" thickBot="1">
      <c r="A68" s="1161" t="s">
        <v>1029</v>
      </c>
      <c r="B68" s="1162" t="s">
        <v>1481</v>
      </c>
      <c r="C68" s="345">
        <f ca="1">ROUND(C67*(1-((1+F70)/(1+F68))^F69)/(F68-F70),0)</f>
        <v>-2054</v>
      </c>
      <c r="D68" s="1179" t="s">
        <v>1465</v>
      </c>
      <c r="E68" s="1164" t="s">
        <v>1466</v>
      </c>
      <c r="F68" s="356">
        <f ca="1">F40</f>
        <v>5.5E-2</v>
      </c>
      <c r="O68" s="1889" t="s">
        <v>1040</v>
      </c>
      <c r="P68" s="1929" t="s">
        <v>1579</v>
      </c>
      <c r="Q68" s="1881">
        <f ca="1">ROUND(Q69-Q70*Q71,0)</f>
        <v>-23</v>
      </c>
      <c r="R68" s="1881" t="s">
        <v>1048</v>
      </c>
    </row>
    <row r="69" spans="1:18" s="1837" customFormat="1" ht="13.5" thickBot="1">
      <c r="A69" s="1165"/>
      <c r="B69" s="1166"/>
      <c r="C69" s="350"/>
      <c r="D69" s="1184" t="s">
        <v>1469</v>
      </c>
      <c r="E69" s="1164" t="s">
        <v>1470</v>
      </c>
      <c r="F69" s="378">
        <f ca="1">F41</f>
        <v>34.590000000000003</v>
      </c>
      <c r="O69" s="1889" t="s">
        <v>1045</v>
      </c>
      <c r="P69" s="1929" t="s">
        <v>1580</v>
      </c>
      <c r="Q69" s="1881">
        <f ca="1">C39</f>
        <v>90</v>
      </c>
      <c r="R69" s="1881" t="s">
        <v>1525</v>
      </c>
    </row>
    <row r="70" spans="1:18" s="1837" customFormat="1" ht="13.5" thickBot="1">
      <c r="A70" s="1168"/>
      <c r="B70" s="1169"/>
      <c r="C70" s="354"/>
      <c r="D70" s="1180"/>
      <c r="E70" s="1164" t="s">
        <v>1473</v>
      </c>
      <c r="F70" s="1270"/>
      <c r="O70" s="1889" t="s">
        <v>1046</v>
      </c>
      <c r="P70" s="1929" t="s">
        <v>1581</v>
      </c>
      <c r="Q70" s="1881">
        <f ca="1">C13</f>
        <v>1333</v>
      </c>
      <c r="R70" s="1881" t="s">
        <v>1525</v>
      </c>
    </row>
    <row r="71" spans="1:18" s="1837" customFormat="1" ht="13.5" thickBot="1">
      <c r="A71" s="1185" t="s">
        <v>1030</v>
      </c>
      <c r="B71" s="1186" t="s">
        <v>1483</v>
      </c>
      <c r="C71" s="381">
        <f ca="1">ROUND(C68*10000/F71,0)</f>
        <v>-9290</v>
      </c>
      <c r="D71" s="1187" t="s">
        <v>1484</v>
      </c>
      <c r="E71" s="1188" t="s">
        <v>1485</v>
      </c>
      <c r="F71" s="384">
        <f ca="1">F43</f>
        <v>2210.87</v>
      </c>
      <c r="O71" s="1889" t="s">
        <v>1047</v>
      </c>
      <c r="P71" s="1929" t="s">
        <v>1582</v>
      </c>
      <c r="Q71" s="1892">
        <f ca="1">C76</f>
        <v>8.5000000000000006E-2</v>
      </c>
      <c r="R71" s="1881"/>
    </row>
    <row r="72" spans="1:18" s="1837" customFormat="1" ht="13.5" thickBot="1">
      <c r="B72" s="795"/>
      <c r="C72" s="795"/>
      <c r="O72" s="1889" t="s">
        <v>1041</v>
      </c>
      <c r="P72" s="1880" t="s">
        <v>1560</v>
      </c>
      <c r="Q72" s="1892">
        <f>L52</f>
        <v>0</v>
      </c>
      <c r="R72" s="1881"/>
    </row>
    <row r="73" spans="1:18" ht="16.5" thickBot="1">
      <c r="A73" s="1837"/>
      <c r="B73" s="795"/>
      <c r="C73" s="795"/>
      <c r="D73" s="1837"/>
      <c r="E73" s="1837"/>
      <c r="F73" s="1837"/>
      <c r="O73" s="1889" t="s">
        <v>1042</v>
      </c>
      <c r="P73" s="1880" t="s">
        <v>1563</v>
      </c>
      <c r="Q73" s="1881" t="e">
        <f ca="1">L58</f>
        <v>#DIV/0!</v>
      </c>
      <c r="R73" s="1881" t="s">
        <v>1564</v>
      </c>
    </row>
    <row r="74" spans="1:18" ht="13.5" thickBot="1">
      <c r="A74" s="1837"/>
      <c r="B74" s="316" t="s">
        <v>1583</v>
      </c>
      <c r="C74" s="1931"/>
      <c r="D74" s="1837"/>
      <c r="E74" s="1837"/>
      <c r="F74" s="1837"/>
      <c r="O74" s="1889" t="s">
        <v>1049</v>
      </c>
      <c r="P74" s="1880" t="str">
        <f>K59</f>
        <v>续建工期及建筑物耐用年限下的土地年期修正系数Kn</v>
      </c>
      <c r="Q74" s="1881" t="e">
        <f ca="1">L59</f>
        <v>#DIV/0!</v>
      </c>
      <c r="R74" s="1881" t="s">
        <v>1565</v>
      </c>
    </row>
    <row r="75" spans="1:18" ht="13.5" thickBot="1">
      <c r="A75" s="1837"/>
      <c r="B75" s="385" t="s">
        <v>1502</v>
      </c>
      <c r="C75" s="386">
        <f ca="1">ROUND(C13*C76,0)</f>
        <v>113</v>
      </c>
      <c r="D75" s="1837"/>
      <c r="E75" s="1837"/>
      <c r="F75" s="1837"/>
      <c r="K75" s="1863"/>
      <c r="L75" s="1837"/>
      <c r="O75" s="1879" t="s">
        <v>1043</v>
      </c>
      <c r="P75" s="1880" t="s">
        <v>1545</v>
      </c>
      <c r="Q75" s="1881">
        <f ca="1">Q65+Q66</f>
        <v>2029</v>
      </c>
      <c r="R75" s="1881" t="s">
        <v>1044</v>
      </c>
    </row>
    <row r="76" spans="1:18">
      <c r="B76" s="387" t="s">
        <v>1503</v>
      </c>
      <c r="C76" s="388">
        <f ca="1">INDIRECT("'数据-取费表'!j"&amp;$G$1)</f>
        <v>8.5000000000000006E-2</v>
      </c>
      <c r="I76" s="1837"/>
      <c r="J76" s="1837"/>
      <c r="K76" s="1863"/>
      <c r="L76" s="1837"/>
    </row>
    <row r="77" spans="1:18">
      <c r="B77" s="389" t="s">
        <v>1504</v>
      </c>
      <c r="C77" s="390"/>
      <c r="I77" s="1837"/>
      <c r="J77" s="1837"/>
      <c r="K77" s="1863"/>
      <c r="L77" s="1837"/>
    </row>
    <row r="78" spans="1:18">
      <c r="B78" s="313" t="s">
        <v>1505</v>
      </c>
      <c r="C78" s="391"/>
    </row>
    <row r="79" spans="1:18">
      <c r="B79" s="385" t="s">
        <v>1506</v>
      </c>
      <c r="C79" s="317">
        <f ca="1">1-C80</f>
        <v>-0.25600000000000001</v>
      </c>
    </row>
    <row r="80" spans="1:18">
      <c r="B80" s="385" t="s">
        <v>1507</v>
      </c>
      <c r="C80" s="317">
        <f ca="1">ROUND(C75/C39,3)</f>
        <v>1.256</v>
      </c>
    </row>
    <row r="81" spans="2:3">
      <c r="B81" s="313" t="s">
        <v>1508</v>
      </c>
      <c r="C81" s="281"/>
    </row>
    <row r="82" spans="2:3">
      <c r="B82" s="316" t="s">
        <v>1509</v>
      </c>
      <c r="C82" s="318">
        <f ca="1">1-C83</f>
        <v>0.34299999999999997</v>
      </c>
    </row>
    <row r="83" spans="2:3">
      <c r="B83" s="316" t="s">
        <v>1510</v>
      </c>
      <c r="C83" s="317">
        <f ca="1">ROUND(C13/C40,3)</f>
        <v>0.65700000000000003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20" sqref="G2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581" t="s">
        <v>2637</v>
      </c>
      <c r="C1" s="1629" t="s">
        <v>2525</v>
      </c>
      <c r="D1" s="1616"/>
      <c r="E1" s="2653"/>
      <c r="F1" s="2583"/>
      <c r="G1" s="1626" t="s">
        <v>2638</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7" customFormat="1" ht="28.5" customHeight="1" thickTop="1">
      <c r="A2" s="1612" t="s">
        <v>2325</v>
      </c>
      <c r="B2" s="1413" t="e">
        <f ca="1">IF(C2="——",ROUND(C49*D3/10000,0),ROUND(C49*D3/10000,0)-D2)</f>
        <v>#DIV/0!</v>
      </c>
      <c r="C2" s="2585"/>
      <c r="D2" s="1360" t="e">
        <f ca="1">SUMIF(INDIRECT("'"&amp;F2&amp;"'"&amp;"!A:A"),"承租人权益价值",INDIRECT("'"&amp;F2&amp;"'"&amp;"!c:c"))</f>
        <v>#REF!</v>
      </c>
      <c r="E2" s="2586" t="s">
        <v>2326</v>
      </c>
      <c r="F2" s="2587"/>
      <c r="G2" s="1120"/>
      <c r="H2" s="1120"/>
      <c r="I2" s="1120"/>
      <c r="J2" s="1120"/>
      <c r="K2" s="1120"/>
      <c r="L2" s="1123"/>
      <c r="M2" s="1124"/>
      <c r="N2" s="1124"/>
      <c r="O2" s="1124"/>
      <c r="P2" s="2657"/>
      <c r="Q2" s="1124"/>
      <c r="R2" s="1124"/>
      <c r="S2" s="1124"/>
      <c r="T2" s="1124"/>
      <c r="U2" s="1124"/>
      <c r="V2" s="1124"/>
      <c r="W2" s="1124"/>
      <c r="X2" s="1124"/>
      <c r="Y2" s="1124"/>
      <c r="Z2" s="1124"/>
      <c r="AA2" s="1124"/>
      <c r="AB2" s="1124"/>
      <c r="AC2" s="2658"/>
    </row>
    <row r="3" spans="1:29" s="397" customFormat="1" ht="28.5" customHeight="1" thickBot="1">
      <c r="A3" s="246" t="s">
        <v>2327</v>
      </c>
      <c r="B3" s="608" t="e">
        <f ca="1">IF(C2="——",C49,ROUND(B2*10000/D3,0))</f>
        <v>#DIV/0!</v>
      </c>
      <c r="C3" s="399" t="s">
        <v>2639</v>
      </c>
      <c r="D3" s="398">
        <f>IF(D1="",'数据-汇总表'!E3,SUMIF('数据-汇总表'!$C19:$C33,D1,'数据-汇总表'!$E19:$E33))</f>
        <v>71473.9099999998</v>
      </c>
      <c r="E3" s="2659"/>
      <c r="F3" s="1121"/>
      <c r="G3" s="1120"/>
      <c r="H3" s="1120"/>
      <c r="I3" s="1120"/>
      <c r="J3" s="1120"/>
      <c r="K3" s="1122"/>
      <c r="L3" s="1123"/>
      <c r="M3" s="1124"/>
      <c r="N3" s="1124"/>
      <c r="O3" s="1124"/>
      <c r="P3" s="2657"/>
      <c r="Q3" s="1124"/>
      <c r="R3" s="1124"/>
      <c r="S3" s="1124"/>
      <c r="T3" s="1124"/>
      <c r="U3" s="1124"/>
      <c r="V3" s="1124"/>
      <c r="W3" s="1124"/>
      <c r="X3" s="1124"/>
      <c r="Y3" s="1124"/>
      <c r="Z3" s="1124"/>
      <c r="AA3" s="1124"/>
      <c r="AB3" s="1124"/>
      <c r="AC3" s="2659"/>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61" t="s">
        <v>2643</v>
      </c>
      <c r="AC4" s="3229" t="s">
        <v>2644</v>
      </c>
    </row>
    <row r="5" spans="1:29" ht="15">
      <c r="A5" s="403"/>
      <c r="B5" s="404"/>
      <c r="C5" s="3240" t="s">
        <v>2537</v>
      </c>
      <c r="D5" s="3241"/>
      <c r="E5" s="3309" t="s">
        <v>2538</v>
      </c>
      <c r="F5" s="3239"/>
      <c r="G5" s="3240" t="s">
        <v>2539</v>
      </c>
      <c r="H5" s="3241"/>
      <c r="I5" s="3240" t="s">
        <v>2540</v>
      </c>
      <c r="J5" s="3241"/>
      <c r="K5" s="609"/>
      <c r="L5" s="1125"/>
      <c r="M5" s="1126"/>
      <c r="N5" s="1126"/>
      <c r="O5" s="1126"/>
      <c r="P5" s="3255"/>
      <c r="Q5" s="3256"/>
      <c r="R5" s="3236"/>
      <c r="S5" s="3237"/>
      <c r="T5" s="3236"/>
      <c r="U5" s="3237"/>
      <c r="V5" s="3261"/>
      <c r="W5" s="3261"/>
      <c r="X5" s="1808"/>
      <c r="Y5" s="3236"/>
      <c r="Z5" s="3237"/>
      <c r="AA5" s="3230"/>
      <c r="AB5" s="3261"/>
      <c r="AC5" s="3230"/>
    </row>
    <row r="6" spans="1:29" ht="15.75" thickBot="1">
      <c r="A6" s="405"/>
      <c r="B6" s="406"/>
      <c r="C6" s="3242" t="s">
        <v>2541</v>
      </c>
      <c r="D6" s="3243"/>
      <c r="E6" s="3310" t="s">
        <v>2541</v>
      </c>
      <c r="F6" s="3246"/>
      <c r="G6" s="3242" t="s">
        <v>2541</v>
      </c>
      <c r="H6" s="3243"/>
      <c r="I6" s="3242" t="s">
        <v>2541</v>
      </c>
      <c r="J6" s="3243"/>
      <c r="K6" s="609" t="s">
        <v>2542</v>
      </c>
      <c r="L6" s="1125"/>
      <c r="M6" s="1126"/>
      <c r="N6" s="1126"/>
      <c r="O6" s="1126"/>
      <c r="P6" s="3257"/>
      <c r="Q6" s="3258"/>
      <c r="R6" s="3236"/>
      <c r="S6" s="3237"/>
      <c r="T6" s="3259"/>
      <c r="U6" s="3260"/>
      <c r="V6" s="3261"/>
      <c r="W6" s="3261"/>
      <c r="X6" s="1808"/>
      <c r="Y6" s="3259"/>
      <c r="Z6" s="3260"/>
      <c r="AA6" s="3231"/>
      <c r="AB6" s="3261"/>
      <c r="AC6" s="3231"/>
    </row>
    <row r="7" spans="1:29" s="116" customFormat="1" ht="15.75" thickBot="1">
      <c r="A7" s="407" t="s">
        <v>2543</v>
      </c>
      <c r="B7" s="408"/>
      <c r="C7" s="409">
        <f>'数据-取费表'!B2</f>
        <v>43758</v>
      </c>
      <c r="D7" s="410">
        <v>100</v>
      </c>
      <c r="E7" s="411"/>
      <c r="F7" s="412">
        <f>SUMIF(58:58,YEAR(E7)&amp;"-"&amp;MONTH(E7),59:59)</f>
        <v>0</v>
      </c>
      <c r="G7" s="411"/>
      <c r="H7" s="410">
        <f>SUMIF(58:58,YEAR(G7)&amp;"-"&amp;MONTH(G7),59:59)</f>
        <v>0</v>
      </c>
      <c r="I7" s="411"/>
      <c r="J7" s="410">
        <f>SUMIF(58:58,YEAR(I7)&amp;"-"&amp;MONTH(I7),59:59)</f>
        <v>0</v>
      </c>
      <c r="K7" s="610"/>
      <c r="L7" s="1127"/>
      <c r="M7" s="1128"/>
      <c r="N7" s="1128"/>
      <c r="O7" s="1128"/>
      <c r="P7" s="3232" t="s">
        <v>2544</v>
      </c>
      <c r="Q7" s="3262"/>
      <c r="R7" s="769" t="s">
        <v>17</v>
      </c>
      <c r="S7" s="770">
        <f t="shared" ref="S7:S15" si="0">F7</f>
        <v>0</v>
      </c>
      <c r="T7" s="769" t="s">
        <v>17</v>
      </c>
      <c r="U7" s="770">
        <f t="shared" ref="U7:U15" si="1">H7</f>
        <v>0</v>
      </c>
      <c r="V7" s="769" t="s">
        <v>17</v>
      </c>
      <c r="W7" s="770">
        <f t="shared" ref="W7:W15" si="2">J7</f>
        <v>0</v>
      </c>
      <c r="X7" s="771"/>
      <c r="Y7" s="3232" t="s">
        <v>2544</v>
      </c>
      <c r="Z7" s="3233"/>
      <c r="AA7" s="772" t="e">
        <f>D7/F7</f>
        <v>#DIV/0!</v>
      </c>
      <c r="AB7" s="772" t="e">
        <f>D7/H7</f>
        <v>#DIV/0!</v>
      </c>
      <c r="AC7" s="772" t="e">
        <f>D7/J7</f>
        <v>#DIV/0!</v>
      </c>
    </row>
    <row r="8" spans="1:29" s="116"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232" t="s">
        <v>2547</v>
      </c>
      <c r="Q8" s="3233"/>
      <c r="R8" s="769" t="s">
        <v>17</v>
      </c>
      <c r="S8" s="770">
        <f t="shared" si="0"/>
        <v>0</v>
      </c>
      <c r="T8" s="769" t="s">
        <v>17</v>
      </c>
      <c r="U8" s="770">
        <f t="shared" si="1"/>
        <v>0</v>
      </c>
      <c r="V8" s="769" t="s">
        <v>17</v>
      </c>
      <c r="W8" s="770">
        <f t="shared" si="2"/>
        <v>0</v>
      </c>
      <c r="X8" s="771"/>
      <c r="Y8" s="3232" t="s">
        <v>2547</v>
      </c>
      <c r="Z8" s="3233"/>
      <c r="AA8" s="772" t="e">
        <f t="shared" ref="AA8:AA46" si="3">D8/F8</f>
        <v>#DIV/0!</v>
      </c>
      <c r="AB8" s="772" t="e">
        <f t="shared" ref="AB8:AB46" si="4">D8/H8</f>
        <v>#DIV/0!</v>
      </c>
      <c r="AC8" s="772" t="e">
        <f t="shared" ref="AC8:AC46" si="5">D8/J8</f>
        <v>#DIV/0!</v>
      </c>
    </row>
    <row r="9" spans="1:29" s="116"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27"/>
      <c r="M9" s="1128"/>
      <c r="N9" s="1128"/>
      <c r="O9" s="1128"/>
      <c r="P9" s="3272"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0"/>
      <c r="M10" s="1131"/>
      <c r="N10" s="1131"/>
      <c r="O10" s="1131"/>
      <c r="P10" s="3272"/>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3"/>
      <c r="M11" s="1126"/>
      <c r="N11" s="1126"/>
      <c r="O11" s="1126"/>
      <c r="P11" s="3272"/>
      <c r="Q11" s="1790"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272"/>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72"/>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72"/>
      <c r="Q14" s="1790">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71.25">
      <c r="A15" s="439" t="s">
        <v>2554</v>
      </c>
      <c r="B15" s="69" t="s">
        <v>2648</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280" t="s">
        <v>2555</v>
      </c>
      <c r="Q15" s="1805" t="str">
        <f t="shared" si="6"/>
        <v>商业繁华度</v>
      </c>
      <c r="R15" s="773" t="s">
        <v>17</v>
      </c>
      <c r="S15" s="774">
        <f t="shared" si="0"/>
        <v>100</v>
      </c>
      <c r="T15" s="773" t="s">
        <v>17</v>
      </c>
      <c r="U15" s="774">
        <f t="shared" si="1"/>
        <v>100</v>
      </c>
      <c r="V15" s="773" t="s">
        <v>17</v>
      </c>
      <c r="W15" s="774">
        <f t="shared" si="2"/>
        <v>100</v>
      </c>
      <c r="X15" s="1808"/>
      <c r="Y15" s="3263" t="s">
        <v>2555</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26"/>
      <c r="P16" s="3281"/>
      <c r="Q16" s="1805"/>
      <c r="R16" s="773"/>
      <c r="S16" s="774"/>
      <c r="T16" s="773"/>
      <c r="U16" s="774"/>
      <c r="V16" s="773"/>
      <c r="W16" s="774"/>
      <c r="X16" s="1808"/>
      <c r="Y16" s="3264"/>
      <c r="Z16" s="1809"/>
      <c r="AA16" s="1806">
        <v>1</v>
      </c>
      <c r="AB16" s="1806">
        <v>1</v>
      </c>
      <c r="AC16" s="1806">
        <v>1</v>
      </c>
    </row>
    <row r="17" spans="1:29" ht="85.5">
      <c r="A17" s="427"/>
      <c r="B17" s="450" t="s">
        <v>2097</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281"/>
      <c r="Q17" s="1805" t="str">
        <f>B17</f>
        <v>交通便捷度</v>
      </c>
      <c r="R17" s="773" t="s">
        <v>17</v>
      </c>
      <c r="S17" s="774">
        <f>F17</f>
        <v>100</v>
      </c>
      <c r="T17" s="773" t="s">
        <v>17</v>
      </c>
      <c r="U17" s="774">
        <f>H17</f>
        <v>100</v>
      </c>
      <c r="V17" s="773" t="s">
        <v>17</v>
      </c>
      <c r="W17" s="774">
        <f>J17</f>
        <v>100</v>
      </c>
      <c r="X17" s="1808"/>
      <c r="Y17" s="3264"/>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26"/>
      <c r="P18" s="3281"/>
      <c r="Q18" s="1805"/>
      <c r="R18" s="773"/>
      <c r="S18" s="774"/>
      <c r="T18" s="773"/>
      <c r="U18" s="774"/>
      <c r="V18" s="773"/>
      <c r="W18" s="774"/>
      <c r="X18" s="1808"/>
      <c r="Y18" s="3264"/>
      <c r="Z18" s="1809"/>
      <c r="AA18" s="1806">
        <v>1</v>
      </c>
      <c r="AB18" s="1806">
        <v>1</v>
      </c>
      <c r="AC18" s="1806">
        <v>1</v>
      </c>
    </row>
    <row r="19" spans="1:29" ht="42.75">
      <c r="A19" s="427"/>
      <c r="B19" s="450" t="s">
        <v>2649</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281"/>
      <c r="Q19" s="1805" t="str">
        <f>B19</f>
        <v>公共配套设施</v>
      </c>
      <c r="R19" s="773" t="s">
        <v>17</v>
      </c>
      <c r="S19" s="774">
        <f>F19</f>
        <v>100</v>
      </c>
      <c r="T19" s="773" t="s">
        <v>17</v>
      </c>
      <c r="U19" s="774">
        <f>H19</f>
        <v>100</v>
      </c>
      <c r="V19" s="773" t="s">
        <v>17</v>
      </c>
      <c r="W19" s="774">
        <f>J19</f>
        <v>100</v>
      </c>
      <c r="X19" s="1808"/>
      <c r="Y19" s="3264"/>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26"/>
      <c r="P20" s="3281"/>
      <c r="Q20" s="1805"/>
      <c r="R20" s="773"/>
      <c r="S20" s="774"/>
      <c r="T20" s="773"/>
      <c r="U20" s="774"/>
      <c r="V20" s="773"/>
      <c r="W20" s="774"/>
      <c r="X20" s="1808"/>
      <c r="Y20" s="3264"/>
      <c r="Z20" s="1809"/>
      <c r="AA20" s="1806">
        <v>1</v>
      </c>
      <c r="AB20" s="1806">
        <v>1</v>
      </c>
      <c r="AC20" s="1806">
        <v>1</v>
      </c>
    </row>
    <row r="21" spans="1:29" ht="28.5">
      <c r="A21" s="427"/>
      <c r="B21" s="1379" t="s">
        <v>2650</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281"/>
      <c r="Q21" s="1805" t="str">
        <f>B21</f>
        <v>基础设施水平</v>
      </c>
      <c r="R21" s="773" t="s">
        <v>17</v>
      </c>
      <c r="S21" s="774">
        <f>F21</f>
        <v>100</v>
      </c>
      <c r="T21" s="773" t="s">
        <v>17</v>
      </c>
      <c r="U21" s="774">
        <f>H21</f>
        <v>100</v>
      </c>
      <c r="V21" s="773" t="s">
        <v>17</v>
      </c>
      <c r="W21" s="774">
        <f>J21</f>
        <v>100</v>
      </c>
      <c r="X21" s="1808"/>
      <c r="Y21" s="3264"/>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26"/>
      <c r="P22" s="3281"/>
      <c r="Q22" s="1805"/>
      <c r="R22" s="773"/>
      <c r="S22" s="774"/>
      <c r="T22" s="773"/>
      <c r="U22" s="774"/>
      <c r="V22" s="773"/>
      <c r="W22" s="774"/>
      <c r="X22" s="1808"/>
      <c r="Y22" s="3264"/>
      <c r="Z22" s="1809"/>
      <c r="AA22" s="1806">
        <v>1</v>
      </c>
      <c r="AB22" s="1806">
        <v>1</v>
      </c>
      <c r="AC22" s="1806">
        <v>1</v>
      </c>
    </row>
    <row r="23" spans="1:29" ht="57">
      <c r="A23" s="427"/>
      <c r="B23" s="450" t="s">
        <v>2102</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281"/>
      <c r="Q23" s="1805" t="str">
        <f>B23</f>
        <v>自然及人文环境</v>
      </c>
      <c r="R23" s="773" t="s">
        <v>17</v>
      </c>
      <c r="S23" s="774">
        <f>F23</f>
        <v>100</v>
      </c>
      <c r="T23" s="773" t="s">
        <v>17</v>
      </c>
      <c r="U23" s="774">
        <f>H23</f>
        <v>100</v>
      </c>
      <c r="V23" s="773" t="s">
        <v>17</v>
      </c>
      <c r="W23" s="774">
        <f>J23</f>
        <v>100</v>
      </c>
      <c r="X23" s="1808"/>
      <c r="Y23" s="3264"/>
      <c r="Z23" s="1809" t="str">
        <f>Q23</f>
        <v>自然及人文环境</v>
      </c>
      <c r="AA23" s="1806">
        <f t="shared" si="3"/>
        <v>1</v>
      </c>
      <c r="AB23" s="1806">
        <f t="shared" si="4"/>
        <v>1</v>
      </c>
      <c r="AC23" s="1806">
        <f t="shared" si="5"/>
        <v>1</v>
      </c>
    </row>
    <row r="24" spans="1:29" ht="15">
      <c r="A24" s="427"/>
      <c r="B24" s="455"/>
      <c r="C24" s="446"/>
      <c r="D24" s="447"/>
      <c r="E24" s="2603"/>
      <c r="F24" s="448"/>
      <c r="G24" s="2602"/>
      <c r="H24" s="447"/>
      <c r="I24" s="2603"/>
      <c r="J24" s="447"/>
      <c r="K24" s="614"/>
      <c r="L24" s="1135"/>
      <c r="M24" s="1126"/>
      <c r="N24" s="1126"/>
      <c r="O24" s="1126"/>
      <c r="P24" s="3281"/>
      <c r="Q24" s="1805"/>
      <c r="R24" s="773"/>
      <c r="S24" s="774"/>
      <c r="T24" s="773"/>
      <c r="U24" s="774"/>
      <c r="V24" s="773"/>
      <c r="W24" s="774"/>
      <c r="X24" s="1808"/>
      <c r="Y24" s="3264"/>
      <c r="Z24" s="1809"/>
      <c r="AA24" s="1806">
        <v>1</v>
      </c>
      <c r="AB24" s="1806">
        <v>1</v>
      </c>
      <c r="AC24" s="1806">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281"/>
      <c r="Q25" s="1805" t="str">
        <f t="shared" ref="Q25:Q46" si="11">B25</f>
        <v>临街状况</v>
      </c>
      <c r="R25" s="773" t="s">
        <v>17</v>
      </c>
      <c r="S25" s="774">
        <f>F25</f>
        <v>100</v>
      </c>
      <c r="T25" s="773" t="s">
        <v>17</v>
      </c>
      <c r="U25" s="774">
        <f>H25</f>
        <v>100</v>
      </c>
      <c r="V25" s="773" t="s">
        <v>17</v>
      </c>
      <c r="W25" s="774">
        <f>J25</f>
        <v>100</v>
      </c>
      <c r="X25" s="1808"/>
      <c r="Y25" s="3264"/>
      <c r="Z25" s="1809" t="str">
        <f>Q25</f>
        <v>临街状况</v>
      </c>
      <c r="AA25" s="1806">
        <f t="shared" si="3"/>
        <v>1</v>
      </c>
      <c r="AB25" s="1806">
        <f t="shared" si="4"/>
        <v>1</v>
      </c>
      <c r="AC25" s="1806">
        <f t="shared" si="5"/>
        <v>1</v>
      </c>
    </row>
    <row r="26" spans="1:29" ht="15">
      <c r="A26" s="427"/>
      <c r="B26" s="1381" t="s">
        <v>2652</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281"/>
      <c r="Q26" s="1805" t="str">
        <f t="shared" si="11"/>
        <v>平面位置/可视性</v>
      </c>
      <c r="R26" s="773" t="s">
        <v>17</v>
      </c>
      <c r="S26" s="774">
        <f>F26</f>
        <v>100</v>
      </c>
      <c r="T26" s="773" t="s">
        <v>17</v>
      </c>
      <c r="U26" s="774">
        <f>H26</f>
        <v>100</v>
      </c>
      <c r="V26" s="773" t="s">
        <v>17</v>
      </c>
      <c r="W26" s="774">
        <f>J26</f>
        <v>100</v>
      </c>
      <c r="X26" s="1808"/>
      <c r="Y26" s="3264"/>
      <c r="Z26" s="1809" t="str">
        <f>Q26</f>
        <v>平面位置/可视性</v>
      </c>
      <c r="AA26" s="1806">
        <f t="shared" si="3"/>
        <v>1</v>
      </c>
      <c r="AB26" s="1806">
        <f t="shared" si="4"/>
        <v>1</v>
      </c>
      <c r="AC26" s="1806">
        <f t="shared" si="5"/>
        <v>1</v>
      </c>
    </row>
    <row r="27" spans="1:29" s="116" customFormat="1" ht="15">
      <c r="A27" s="430"/>
      <c r="B27" s="450" t="s">
        <v>2653</v>
      </c>
      <c r="C27" s="2661"/>
      <c r="D27" s="461">
        <v>100</v>
      </c>
      <c r="E27" s="2661"/>
      <c r="F27" s="463">
        <f>SUMIF(90:90,E27,91:91)-SUMIF(90:90,C27,91:91)+100</f>
        <v>100</v>
      </c>
      <c r="G27" s="2661"/>
      <c r="H27" s="461">
        <f>SUMIF(90:90,G27,91:91)-SUMIF(90:90,C27,91:91)+100</f>
        <v>100</v>
      </c>
      <c r="I27" s="2661"/>
      <c r="J27" s="461">
        <f>SUMIF(90:90,I27,91:91)-SUMIF(90:90,C27,91:91)+100</f>
        <v>100</v>
      </c>
      <c r="K27" s="611"/>
      <c r="L27" s="1127"/>
      <c r="M27" s="1128"/>
      <c r="N27" s="1128"/>
      <c r="O27" s="1128"/>
      <c r="P27" s="3281"/>
      <c r="Q27" s="1790" t="str">
        <f t="shared" si="11"/>
        <v>人流量</v>
      </c>
      <c r="R27" s="769" t="s">
        <v>17</v>
      </c>
      <c r="S27" s="770">
        <f>F27</f>
        <v>100</v>
      </c>
      <c r="T27" s="769" t="s">
        <v>17</v>
      </c>
      <c r="U27" s="770">
        <f>H27</f>
        <v>100</v>
      </c>
      <c r="V27" s="769" t="s">
        <v>17</v>
      </c>
      <c r="W27" s="770">
        <f>J27</f>
        <v>100</v>
      </c>
      <c r="X27" s="771"/>
      <c r="Y27" s="3264"/>
      <c r="Z27" s="55" t="str">
        <f>Q27</f>
        <v>人流量</v>
      </c>
      <c r="AA27" s="1806">
        <f>D27/F27</f>
        <v>1</v>
      </c>
      <c r="AB27" s="1806">
        <f>D27/H27</f>
        <v>1</v>
      </c>
      <c r="AC27" s="1806">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281"/>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64"/>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81"/>
      <c r="Q29" s="1805">
        <f t="shared" si="11"/>
        <v>111</v>
      </c>
      <c r="R29" s="773" t="s">
        <v>17</v>
      </c>
      <c r="S29" s="774">
        <f t="shared" si="12"/>
        <v>100</v>
      </c>
      <c r="T29" s="773" t="s">
        <v>17</v>
      </c>
      <c r="U29" s="774">
        <f t="shared" si="13"/>
        <v>100</v>
      </c>
      <c r="V29" s="773" t="s">
        <v>17</v>
      </c>
      <c r="W29" s="774">
        <f t="shared" si="14"/>
        <v>100</v>
      </c>
      <c r="X29" s="1808"/>
      <c r="Y29" s="3264"/>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81"/>
      <c r="Q30" s="1805">
        <f t="shared" si="11"/>
        <v>111</v>
      </c>
      <c r="R30" s="773" t="s">
        <v>17</v>
      </c>
      <c r="S30" s="774">
        <f t="shared" si="12"/>
        <v>100</v>
      </c>
      <c r="T30" s="773" t="s">
        <v>17</v>
      </c>
      <c r="U30" s="774">
        <f t="shared" si="13"/>
        <v>100</v>
      </c>
      <c r="V30" s="773" t="s">
        <v>17</v>
      </c>
      <c r="W30" s="774">
        <f t="shared" si="14"/>
        <v>100</v>
      </c>
      <c r="X30" s="1808"/>
      <c r="Y30" s="3264"/>
      <c r="Z30" s="1809">
        <f t="shared" si="15"/>
        <v>111</v>
      </c>
      <c r="AA30" s="1806">
        <f t="shared" si="3"/>
        <v>1</v>
      </c>
      <c r="AB30" s="1806">
        <f t="shared" si="4"/>
        <v>1</v>
      </c>
      <c r="AC30" s="1806">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81"/>
      <c r="Q31" s="1805">
        <f t="shared" si="11"/>
        <v>111</v>
      </c>
      <c r="R31" s="773" t="s">
        <v>17</v>
      </c>
      <c r="S31" s="774">
        <f t="shared" si="12"/>
        <v>100</v>
      </c>
      <c r="T31" s="773" t="s">
        <v>17</v>
      </c>
      <c r="U31" s="774">
        <f t="shared" si="13"/>
        <v>100</v>
      </c>
      <c r="V31" s="773" t="s">
        <v>17</v>
      </c>
      <c r="W31" s="774">
        <f t="shared" si="14"/>
        <v>100</v>
      </c>
      <c r="X31" s="1808"/>
      <c r="Y31" s="3264"/>
      <c r="Z31" s="1809">
        <f t="shared" si="15"/>
        <v>111</v>
      </c>
      <c r="AA31" s="1806">
        <f t="shared" si="3"/>
        <v>1</v>
      </c>
      <c r="AB31" s="1806">
        <f t="shared" si="4"/>
        <v>1</v>
      </c>
      <c r="AC31" s="1806">
        <f t="shared" si="5"/>
        <v>1</v>
      </c>
    </row>
    <row r="32" spans="1:29" ht="15">
      <c r="A32" s="439" t="s">
        <v>2558</v>
      </c>
      <c r="B32" s="71" t="s">
        <v>2655</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5"/>
      <c r="M32" s="1126"/>
      <c r="N32" s="1126"/>
      <c r="O32" s="1126"/>
      <c r="P32" s="3276" t="s">
        <v>2560</v>
      </c>
      <c r="Q32" s="1805" t="str">
        <f t="shared" si="11"/>
        <v>商业类型</v>
      </c>
      <c r="R32" s="773" t="s">
        <v>17</v>
      </c>
      <c r="S32" s="774">
        <f t="shared" si="12"/>
        <v>100</v>
      </c>
      <c r="T32" s="773" t="s">
        <v>17</v>
      </c>
      <c r="U32" s="774">
        <f t="shared" si="13"/>
        <v>100</v>
      </c>
      <c r="V32" s="773" t="s">
        <v>17</v>
      </c>
      <c r="W32" s="774">
        <f t="shared" si="14"/>
        <v>100</v>
      </c>
      <c r="X32" s="1808"/>
      <c r="Y32" s="3266" t="s">
        <v>2560</v>
      </c>
      <c r="Z32" s="1809" t="str">
        <f t="shared" si="15"/>
        <v>商业类型</v>
      </c>
      <c r="AA32" s="1806">
        <f t="shared" si="3"/>
        <v>1</v>
      </c>
      <c r="AB32" s="1806">
        <f t="shared" si="4"/>
        <v>1</v>
      </c>
      <c r="AC32" s="1806">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3"/>
      <c r="M33" s="1136"/>
      <c r="N33" s="1136"/>
      <c r="O33" s="1136"/>
      <c r="P33" s="3277"/>
      <c r="Q33" s="775" t="str">
        <f t="shared" si="11"/>
        <v>项目建筑规模</v>
      </c>
      <c r="R33" s="776" t="s">
        <v>17</v>
      </c>
      <c r="S33" s="777" t="e">
        <f t="shared" si="12"/>
        <v>#N/A</v>
      </c>
      <c r="T33" s="776" t="s">
        <v>17</v>
      </c>
      <c r="U33" s="777" t="e">
        <f t="shared" si="13"/>
        <v>#N/A</v>
      </c>
      <c r="V33" s="776" t="s">
        <v>17</v>
      </c>
      <c r="W33" s="777" t="e">
        <f t="shared" si="14"/>
        <v>#N/A</v>
      </c>
      <c r="X33" s="778"/>
      <c r="Y33" s="3266"/>
      <c r="Z33" s="779" t="str">
        <f t="shared" si="15"/>
        <v>项目建筑规模</v>
      </c>
      <c r="AA33" s="1806" t="e">
        <f t="shared" si="3"/>
        <v>#N/A</v>
      </c>
      <c r="AB33" s="1806" t="e">
        <f t="shared" si="4"/>
        <v>#N/A</v>
      </c>
      <c r="AC33" s="1806" t="e">
        <f t="shared" si="5"/>
        <v>#N/A</v>
      </c>
    </row>
    <row r="34" spans="1:29" ht="15">
      <c r="A34" s="471"/>
      <c r="B34" s="421" t="s">
        <v>2562</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5"/>
      <c r="M34" s="1126"/>
      <c r="N34" s="1126"/>
      <c r="O34" s="1126"/>
      <c r="P34" s="3277"/>
      <c r="Q34" s="1805" t="str">
        <f t="shared" si="11"/>
        <v>建筑结构</v>
      </c>
      <c r="R34" s="773" t="s">
        <v>17</v>
      </c>
      <c r="S34" s="774">
        <f t="shared" si="12"/>
        <v>100</v>
      </c>
      <c r="T34" s="773" t="s">
        <v>17</v>
      </c>
      <c r="U34" s="774">
        <f t="shared" si="13"/>
        <v>100</v>
      </c>
      <c r="V34" s="773" t="s">
        <v>17</v>
      </c>
      <c r="W34" s="774">
        <f t="shared" si="14"/>
        <v>100</v>
      </c>
      <c r="X34" s="1808"/>
      <c r="Y34" s="3266"/>
      <c r="Z34" s="1809" t="str">
        <f t="shared" si="15"/>
        <v>建筑结构</v>
      </c>
      <c r="AA34" s="1806">
        <f t="shared" si="3"/>
        <v>1</v>
      </c>
      <c r="AB34" s="1806">
        <f t="shared" si="4"/>
        <v>1</v>
      </c>
      <c r="AC34" s="1806">
        <f t="shared" si="5"/>
        <v>1</v>
      </c>
    </row>
    <row r="35" spans="1:29" ht="15">
      <c r="A35" s="471"/>
      <c r="B35" s="421" t="s">
        <v>2656</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5"/>
      <c r="M35" s="1126"/>
      <c r="N35" s="1126"/>
      <c r="O35" s="1126"/>
      <c r="P35" s="3277"/>
      <c r="Q35" s="1805" t="str">
        <f t="shared" si="11"/>
        <v>公共部分装修</v>
      </c>
      <c r="R35" s="773" t="s">
        <v>17</v>
      </c>
      <c r="S35" s="774">
        <f t="shared" si="12"/>
        <v>100</v>
      </c>
      <c r="T35" s="773" t="s">
        <v>17</v>
      </c>
      <c r="U35" s="774">
        <f t="shared" si="13"/>
        <v>100</v>
      </c>
      <c r="V35" s="773" t="s">
        <v>17</v>
      </c>
      <c r="W35" s="774">
        <f t="shared" si="14"/>
        <v>100</v>
      </c>
      <c r="X35" s="1808"/>
      <c r="Y35" s="3266"/>
      <c r="Z35" s="1809" t="str">
        <f t="shared" si="15"/>
        <v>公共部分装修</v>
      </c>
      <c r="AA35" s="1806">
        <f t="shared" si="3"/>
        <v>1</v>
      </c>
      <c r="AB35" s="1806">
        <f t="shared" si="4"/>
        <v>1</v>
      </c>
      <c r="AC35" s="1806">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277"/>
      <c r="Q36" s="1805" t="str">
        <f t="shared" si="11"/>
        <v>成新度</v>
      </c>
      <c r="R36" s="773" t="s">
        <v>17</v>
      </c>
      <c r="S36" s="774" t="e">
        <f t="shared" si="12"/>
        <v>#N/A</v>
      </c>
      <c r="T36" s="773" t="s">
        <v>17</v>
      </c>
      <c r="U36" s="774" t="e">
        <f t="shared" si="13"/>
        <v>#N/A</v>
      </c>
      <c r="V36" s="773" t="s">
        <v>17</v>
      </c>
      <c r="W36" s="774" t="e">
        <f t="shared" si="14"/>
        <v>#N/A</v>
      </c>
      <c r="X36" s="1808"/>
      <c r="Y36" s="3266"/>
      <c r="Z36" s="1809" t="str">
        <f t="shared" si="15"/>
        <v>成新度</v>
      </c>
      <c r="AA36" s="1806" t="e">
        <f t="shared" si="3"/>
        <v>#N/A</v>
      </c>
      <c r="AB36" s="1806" t="e">
        <f t="shared" si="4"/>
        <v>#N/A</v>
      </c>
      <c r="AC36" s="1806" t="e">
        <f t="shared" si="5"/>
        <v>#N/A</v>
      </c>
    </row>
    <row r="37" spans="1:29" s="116" customFormat="1" ht="15">
      <c r="A37" s="472"/>
      <c r="B37" s="421" t="s">
        <v>2658</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27"/>
      <c r="M37" s="1128"/>
      <c r="N37" s="1128"/>
      <c r="O37" s="1128"/>
      <c r="P37" s="3277"/>
      <c r="Q37" s="1790" t="str">
        <f t="shared" si="11"/>
        <v>市政基础设施</v>
      </c>
      <c r="R37" s="769" t="s">
        <v>17</v>
      </c>
      <c r="S37" s="770">
        <f t="shared" si="12"/>
        <v>100</v>
      </c>
      <c r="T37" s="769" t="s">
        <v>17</v>
      </c>
      <c r="U37" s="770">
        <f t="shared" si="13"/>
        <v>100</v>
      </c>
      <c r="V37" s="769" t="s">
        <v>17</v>
      </c>
      <c r="W37" s="770">
        <f t="shared" si="14"/>
        <v>100</v>
      </c>
      <c r="X37" s="771"/>
      <c r="Y37" s="3266"/>
      <c r="Z37" s="55" t="str">
        <f t="shared" si="15"/>
        <v>市政基础设施</v>
      </c>
      <c r="AA37" s="772">
        <f t="shared" si="3"/>
        <v>1</v>
      </c>
      <c r="AB37" s="772">
        <f t="shared" si="4"/>
        <v>1</v>
      </c>
      <c r="AC37" s="772">
        <f t="shared" si="5"/>
        <v>1</v>
      </c>
    </row>
    <row r="38" spans="1:29" ht="15">
      <c r="A38" s="471"/>
      <c r="B38" s="421" t="s">
        <v>2659</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5"/>
      <c r="M38" s="1126"/>
      <c r="N38" s="1126"/>
      <c r="O38" s="1126"/>
      <c r="P38" s="3277" t="s">
        <v>2560</v>
      </c>
      <c r="Q38" s="1805" t="str">
        <f t="shared" si="11"/>
        <v>业态</v>
      </c>
      <c r="R38" s="773" t="s">
        <v>17</v>
      </c>
      <c r="S38" s="774">
        <f t="shared" si="12"/>
        <v>100</v>
      </c>
      <c r="T38" s="773" t="s">
        <v>17</v>
      </c>
      <c r="U38" s="774">
        <f t="shared" si="13"/>
        <v>100</v>
      </c>
      <c r="V38" s="773" t="s">
        <v>17</v>
      </c>
      <c r="W38" s="774">
        <f t="shared" si="14"/>
        <v>100</v>
      </c>
      <c r="X38" s="1808"/>
      <c r="Y38" s="3266" t="s">
        <v>2560</v>
      </c>
      <c r="Z38" s="1809" t="str">
        <f t="shared" si="15"/>
        <v>业态</v>
      </c>
      <c r="AA38" s="1806">
        <f t="shared" si="3"/>
        <v>1</v>
      </c>
      <c r="AB38" s="1806">
        <f t="shared" si="4"/>
        <v>1</v>
      </c>
      <c r="AC38" s="1806">
        <f t="shared" si="5"/>
        <v>1</v>
      </c>
    </row>
    <row r="39" spans="1:29" ht="15">
      <c r="A39" s="471"/>
      <c r="B39" s="421" t="s">
        <v>2660</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5"/>
      <c r="M39" s="1126"/>
      <c r="N39" s="1126"/>
      <c r="O39" s="1126"/>
      <c r="P39" s="3277"/>
      <c r="Q39" s="1805" t="str">
        <f t="shared" si="11"/>
        <v>层高</v>
      </c>
      <c r="R39" s="773" t="s">
        <v>17</v>
      </c>
      <c r="S39" s="774">
        <f t="shared" si="12"/>
        <v>100</v>
      </c>
      <c r="T39" s="773" t="s">
        <v>17</v>
      </c>
      <c r="U39" s="774">
        <f t="shared" si="13"/>
        <v>100</v>
      </c>
      <c r="V39" s="773" t="s">
        <v>17</v>
      </c>
      <c r="W39" s="774">
        <f t="shared" si="14"/>
        <v>100</v>
      </c>
      <c r="X39" s="1808"/>
      <c r="Y39" s="3266"/>
      <c r="Z39" s="1809" t="str">
        <f t="shared" si="15"/>
        <v>层高</v>
      </c>
      <c r="AA39" s="1806">
        <f t="shared" si="3"/>
        <v>1</v>
      </c>
      <c r="AB39" s="1806">
        <f t="shared" si="4"/>
        <v>1</v>
      </c>
      <c r="AC39" s="1806">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277"/>
      <c r="Q40" s="1805" t="str">
        <f t="shared" si="11"/>
        <v>单套建筑面积</v>
      </c>
      <c r="R40" s="773" t="s">
        <v>17</v>
      </c>
      <c r="S40" s="774">
        <f t="shared" si="12"/>
        <v>100</v>
      </c>
      <c r="T40" s="773" t="s">
        <v>17</v>
      </c>
      <c r="U40" s="774">
        <f t="shared" si="13"/>
        <v>100</v>
      </c>
      <c r="V40" s="773" t="s">
        <v>17</v>
      </c>
      <c r="W40" s="774">
        <f t="shared" si="14"/>
        <v>100</v>
      </c>
      <c r="X40" s="1808"/>
      <c r="Y40" s="3266"/>
      <c r="Z40" s="1809" t="str">
        <f t="shared" si="15"/>
        <v>单套建筑面积</v>
      </c>
      <c r="AA40" s="1806">
        <f t="shared" si="3"/>
        <v>1</v>
      </c>
      <c r="AB40" s="1806">
        <f t="shared" si="4"/>
        <v>1</v>
      </c>
      <c r="AC40" s="1806">
        <f t="shared" si="5"/>
        <v>1</v>
      </c>
    </row>
    <row r="41" spans="1:29" s="470" customFormat="1" ht="15">
      <c r="A41" s="467"/>
      <c r="B41" s="1807"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277"/>
      <c r="Q41" s="775" t="str">
        <f t="shared" si="11"/>
        <v>进深比</v>
      </c>
      <c r="R41" s="776" t="s">
        <v>17</v>
      </c>
      <c r="S41" s="777">
        <f t="shared" si="12"/>
        <v>100</v>
      </c>
      <c r="T41" s="776" t="s">
        <v>17</v>
      </c>
      <c r="U41" s="777">
        <f t="shared" si="13"/>
        <v>100</v>
      </c>
      <c r="V41" s="776" t="s">
        <v>17</v>
      </c>
      <c r="W41" s="777">
        <f t="shared" si="14"/>
        <v>100</v>
      </c>
      <c r="X41" s="778"/>
      <c r="Y41" s="3266"/>
      <c r="Z41" s="779" t="str">
        <f t="shared" si="15"/>
        <v>进深比</v>
      </c>
      <c r="AA41" s="1806">
        <f t="shared" si="3"/>
        <v>1</v>
      </c>
      <c r="AB41" s="1806">
        <f t="shared" si="4"/>
        <v>1</v>
      </c>
      <c r="AC41" s="1806">
        <f t="shared" si="5"/>
        <v>1</v>
      </c>
    </row>
    <row r="42" spans="1:29" ht="15">
      <c r="A42" s="471"/>
      <c r="B42" s="421" t="s">
        <v>2663</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5"/>
      <c r="M42" s="1126"/>
      <c r="N42" s="1126"/>
      <c r="O42" s="1126"/>
      <c r="P42" s="3277"/>
      <c r="Q42" s="1805" t="str">
        <f t="shared" si="11"/>
        <v>内部装修</v>
      </c>
      <c r="R42" s="773" t="s">
        <v>17</v>
      </c>
      <c r="S42" s="774">
        <f t="shared" si="12"/>
        <v>100</v>
      </c>
      <c r="T42" s="773" t="s">
        <v>17</v>
      </c>
      <c r="U42" s="774">
        <f t="shared" si="13"/>
        <v>100</v>
      </c>
      <c r="V42" s="773" t="s">
        <v>17</v>
      </c>
      <c r="W42" s="774">
        <f t="shared" si="14"/>
        <v>100</v>
      </c>
      <c r="X42" s="1808"/>
      <c r="Y42" s="3266"/>
      <c r="Z42" s="1809" t="str">
        <f t="shared" si="15"/>
        <v>内部装修</v>
      </c>
      <c r="AA42" s="1806">
        <f t="shared" si="3"/>
        <v>1</v>
      </c>
      <c r="AB42" s="1806">
        <f t="shared" si="4"/>
        <v>1</v>
      </c>
      <c r="AC42" s="1806">
        <f t="shared" si="5"/>
        <v>1</v>
      </c>
    </row>
    <row r="43" spans="1:29" ht="15">
      <c r="A43" s="471"/>
      <c r="B43" s="421" t="s">
        <v>2571</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5"/>
      <c r="M43" s="1126"/>
      <c r="N43" s="1126"/>
      <c r="O43" s="1126"/>
      <c r="P43" s="3277"/>
      <c r="Q43" s="1805" t="str">
        <f t="shared" si="11"/>
        <v>内部装修维护情况</v>
      </c>
      <c r="R43" s="773" t="s">
        <v>17</v>
      </c>
      <c r="S43" s="774">
        <f t="shared" si="12"/>
        <v>100</v>
      </c>
      <c r="T43" s="773" t="s">
        <v>17</v>
      </c>
      <c r="U43" s="774">
        <f t="shared" si="13"/>
        <v>100</v>
      </c>
      <c r="V43" s="773" t="s">
        <v>17</v>
      </c>
      <c r="W43" s="774">
        <f t="shared" si="14"/>
        <v>100</v>
      </c>
      <c r="X43" s="1808"/>
      <c r="Y43" s="3266"/>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77"/>
      <c r="Q44" s="1790">
        <f t="shared" si="11"/>
        <v>111</v>
      </c>
      <c r="R44" s="769" t="s">
        <v>17</v>
      </c>
      <c r="S44" s="770">
        <f t="shared" si="12"/>
        <v>100</v>
      </c>
      <c r="T44" s="769" t="s">
        <v>17</v>
      </c>
      <c r="U44" s="770">
        <f t="shared" si="13"/>
        <v>100</v>
      </c>
      <c r="V44" s="769" t="s">
        <v>17</v>
      </c>
      <c r="W44" s="770">
        <f t="shared" si="14"/>
        <v>100</v>
      </c>
      <c r="X44" s="771"/>
      <c r="Y44" s="3266"/>
      <c r="Z44" s="55">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77"/>
      <c r="Q45" s="1805">
        <f t="shared" si="11"/>
        <v>111</v>
      </c>
      <c r="R45" s="773" t="s">
        <v>17</v>
      </c>
      <c r="S45" s="774">
        <f t="shared" si="12"/>
        <v>100</v>
      </c>
      <c r="T45" s="773" t="s">
        <v>17</v>
      </c>
      <c r="U45" s="774">
        <f t="shared" si="13"/>
        <v>100</v>
      </c>
      <c r="V45" s="773" t="s">
        <v>17</v>
      </c>
      <c r="W45" s="774">
        <f t="shared" si="14"/>
        <v>100</v>
      </c>
      <c r="X45" s="1808"/>
      <c r="Y45" s="3266"/>
      <c r="Z45" s="1809">
        <f t="shared" si="15"/>
        <v>111</v>
      </c>
      <c r="AA45" s="1806">
        <f t="shared" si="3"/>
        <v>1</v>
      </c>
      <c r="AB45" s="1806">
        <f t="shared" si="4"/>
        <v>1</v>
      </c>
      <c r="AC45" s="1806">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78"/>
      <c r="Q46" s="1805">
        <f t="shared" si="11"/>
        <v>111</v>
      </c>
      <c r="R46" s="773" t="s">
        <v>17</v>
      </c>
      <c r="S46" s="774">
        <f t="shared" si="12"/>
        <v>100</v>
      </c>
      <c r="T46" s="773" t="s">
        <v>17</v>
      </c>
      <c r="U46" s="774">
        <f t="shared" si="13"/>
        <v>100</v>
      </c>
      <c r="V46" s="773" t="s">
        <v>17</v>
      </c>
      <c r="W46" s="774">
        <f t="shared" si="14"/>
        <v>100</v>
      </c>
      <c r="X46" s="1808"/>
      <c r="Y46" s="3279"/>
      <c r="Z46" s="1809">
        <f t="shared" si="15"/>
        <v>111</v>
      </c>
      <c r="AA46" s="1806">
        <f t="shared" si="3"/>
        <v>1</v>
      </c>
      <c r="AB46" s="1806">
        <f t="shared" si="4"/>
        <v>1</v>
      </c>
      <c r="AC46" s="1806">
        <f t="shared" si="5"/>
        <v>1</v>
      </c>
    </row>
    <row r="47" spans="1:29" ht="15">
      <c r="A47" s="478" t="s">
        <v>2572</v>
      </c>
      <c r="B47" s="479"/>
      <c r="C47" s="1402" t="s">
        <v>1</v>
      </c>
      <c r="D47" s="1403"/>
      <c r="E47" s="1404"/>
      <c r="F47" s="1405"/>
      <c r="G47" s="1406"/>
      <c r="H47" s="1407"/>
      <c r="I47" s="1404"/>
      <c r="J47" s="1407"/>
      <c r="K47" s="782"/>
      <c r="L47" s="1138"/>
      <c r="M47" s="1139"/>
      <c r="N47" s="1126"/>
      <c r="O47" s="1139"/>
      <c r="P47" s="3248" t="str">
        <f>A47</f>
        <v>成交单价（元/平方米）</v>
      </c>
      <c r="Q47" s="3248"/>
      <c r="R47" s="3261">
        <f>E47</f>
        <v>0</v>
      </c>
      <c r="S47" s="3261"/>
      <c r="T47" s="3261">
        <f>G47</f>
        <v>0</v>
      </c>
      <c r="U47" s="3261"/>
      <c r="V47" s="3261">
        <f>I47</f>
        <v>0</v>
      </c>
      <c r="W47" s="3261"/>
      <c r="X47" s="758"/>
      <c r="Y47" s="780"/>
      <c r="Z47" s="758"/>
      <c r="AA47" s="758"/>
      <c r="AB47" s="758"/>
      <c r="AC47" s="758"/>
    </row>
    <row r="48" spans="1:29" ht="15.75" thickBot="1">
      <c r="A48" s="485" t="s">
        <v>2664</v>
      </c>
      <c r="B48" s="486"/>
      <c r="C48" s="1408" t="e">
        <f>R49</f>
        <v>#DIV/0!</v>
      </c>
      <c r="D48" s="1409"/>
      <c r="E48" s="1410" t="e">
        <f>R48</f>
        <v>#DIV/0!</v>
      </c>
      <c r="F48" s="1410"/>
      <c r="G48" s="1408" t="e">
        <f>T48</f>
        <v>#DIV/0!</v>
      </c>
      <c r="H48" s="1409"/>
      <c r="I48" s="1410" t="e">
        <f>V48</f>
        <v>#DIV/0!</v>
      </c>
      <c r="J48" s="1409"/>
      <c r="K48" s="783"/>
      <c r="L48" s="1138"/>
      <c r="M48" s="1139"/>
      <c r="N48" s="1126"/>
      <c r="O48" s="1139"/>
      <c r="P48" s="3248" t="str">
        <f>A48</f>
        <v>比较价值（元/平方米）</v>
      </c>
      <c r="Q48" s="3248"/>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8"/>
      <c r="Y48" s="758"/>
      <c r="Z48" s="758"/>
      <c r="AA48" s="758"/>
      <c r="AB48" s="758"/>
      <c r="AC48" s="758"/>
    </row>
    <row r="49" spans="1:29" ht="15.75" thickBot="1">
      <c r="A49" s="491" t="s">
        <v>2665</v>
      </c>
      <c r="B49" s="492"/>
      <c r="C49" s="1412" t="e">
        <f>R49</f>
        <v>#DIV/0!</v>
      </c>
      <c r="D49" s="1412"/>
      <c r="E49" s="1412"/>
      <c r="F49" s="1412"/>
      <c r="G49" s="1412"/>
      <c r="H49" s="1412"/>
      <c r="I49" s="1412"/>
      <c r="J49" s="1412"/>
      <c r="K49" s="784"/>
      <c r="L49" s="1138"/>
      <c r="M49" s="1139"/>
      <c r="N49" s="1126"/>
      <c r="O49" s="1139"/>
      <c r="P49" s="3268" t="str">
        <f>A49</f>
        <v>估价对象XX用房的比较价值（楼面单价，元/平方米）</v>
      </c>
      <c r="Q49" s="3269"/>
      <c r="R49" s="3274" t="e">
        <f>IF(F1="售价",ROUND(AVERAGE(R48:V48),0),ROUND(AVERAGE(R48:V48),1))</f>
        <v>#DIV/0!</v>
      </c>
      <c r="S49" s="3274"/>
      <c r="T49" s="3274"/>
      <c r="U49" s="3274"/>
      <c r="V49" s="3274"/>
      <c r="W49" s="3274"/>
      <c r="X49" s="758"/>
      <c r="Y49" s="758"/>
      <c r="Z49" s="758"/>
      <c r="AA49" s="758"/>
      <c r="AB49" s="758"/>
      <c r="AC49" s="758"/>
    </row>
    <row r="50" spans="1:29">
      <c r="A50" s="1139"/>
      <c r="B50" s="1139"/>
      <c r="C50" s="1139"/>
      <c r="D50" s="1139"/>
      <c r="E50" s="1139"/>
      <c r="F50" s="1139"/>
      <c r="G50" s="1142"/>
      <c r="H50" s="1139"/>
      <c r="I50" s="1139"/>
      <c r="J50" s="1139"/>
      <c r="K50" s="1100"/>
      <c r="L50" s="1101"/>
      <c r="M50" s="1139"/>
      <c r="N50" s="1139"/>
      <c r="O50" s="1139"/>
      <c r="P50" s="674"/>
      <c r="Q50" s="758"/>
      <c r="R50" s="758"/>
      <c r="S50" s="758"/>
      <c r="T50" s="758"/>
      <c r="U50" s="758"/>
      <c r="V50" s="758"/>
      <c r="W50" s="758"/>
      <c r="X50" s="758"/>
      <c r="Y50" s="758"/>
      <c r="Z50" s="758"/>
      <c r="AA50" s="758"/>
      <c r="AB50" s="758"/>
      <c r="AC50" s="758"/>
    </row>
    <row r="51" spans="1:29">
      <c r="A51" s="1139"/>
      <c r="B51" s="1139"/>
      <c r="C51" s="1139"/>
      <c r="D51" s="1139"/>
      <c r="E51" s="1139"/>
      <c r="F51" s="1139"/>
      <c r="G51" s="1139"/>
      <c r="H51" s="1139"/>
      <c r="I51" s="1139"/>
      <c r="J51" s="1139"/>
      <c r="K51" s="1100"/>
      <c r="L51" s="1101"/>
      <c r="M51" s="1139"/>
      <c r="N51" s="1139"/>
      <c r="O51" s="1139"/>
      <c r="P51" s="674"/>
      <c r="Q51" s="758"/>
      <c r="R51" s="758"/>
      <c r="S51" s="758"/>
      <c r="T51" s="758"/>
      <c r="U51" s="758"/>
      <c r="V51" s="758"/>
      <c r="W51" s="758"/>
      <c r="X51" s="758"/>
      <c r="Y51" s="758"/>
      <c r="Z51" s="758"/>
      <c r="AA51" s="758"/>
      <c r="AB51" s="758"/>
      <c r="AC51" s="758"/>
    </row>
    <row r="52" spans="1:29" ht="13.5" customHeight="1">
      <c r="A52" s="1139"/>
      <c r="B52" s="1139"/>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8"/>
      <c r="R52" s="758"/>
      <c r="S52" s="758"/>
      <c r="T52" s="758"/>
      <c r="U52" s="758"/>
      <c r="V52" s="758"/>
      <c r="W52" s="758"/>
      <c r="X52" s="758"/>
      <c r="Y52" s="758"/>
      <c r="Z52" s="758"/>
      <c r="AA52" s="758"/>
      <c r="AB52" s="758"/>
      <c r="AC52" s="758"/>
    </row>
    <row r="53" spans="1:29" ht="13.5" customHeight="1">
      <c r="A53" s="1139"/>
      <c r="B53" s="1139"/>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8"/>
      <c r="R53" s="758"/>
      <c r="S53" s="758"/>
      <c r="T53" s="758"/>
      <c r="U53" s="758"/>
      <c r="V53" s="758"/>
      <c r="W53" s="758"/>
      <c r="X53" s="758"/>
      <c r="Y53" s="758"/>
      <c r="Z53" s="758"/>
      <c r="AA53" s="758"/>
      <c r="AB53" s="758"/>
      <c r="AC53" s="758"/>
    </row>
    <row r="54" spans="1:29" s="501" customFormat="1" ht="13.5" customHeight="1">
      <c r="A54" s="1140"/>
      <c r="B54" s="1140"/>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62"/>
      <c r="Q54" s="759"/>
      <c r="R54" s="759"/>
      <c r="S54" s="759"/>
      <c r="T54" s="759"/>
      <c r="U54" s="759"/>
      <c r="V54" s="759"/>
      <c r="W54" s="759"/>
      <c r="X54" s="759"/>
      <c r="Y54" s="759"/>
      <c r="Z54" s="759"/>
      <c r="AA54" s="759"/>
      <c r="AB54" s="759"/>
      <c r="AC54" s="759"/>
    </row>
    <row r="55" spans="1:29" s="501" customFormat="1">
      <c r="A55" s="1140"/>
      <c r="B55" s="1141"/>
      <c r="C55" s="1145"/>
      <c r="D55" s="1140"/>
      <c r="E55" s="1140"/>
      <c r="F55" s="1140"/>
      <c r="G55" s="1140"/>
      <c r="H55" s="1140"/>
      <c r="I55" s="1140"/>
      <c r="J55" s="1140"/>
      <c r="K55" s="1143"/>
      <c r="L55" s="1144"/>
      <c r="M55" s="1140"/>
      <c r="N55" s="1140"/>
      <c r="O55" s="1140"/>
      <c r="P55" s="2662"/>
      <c r="Q55" s="759"/>
      <c r="R55" s="759"/>
      <c r="S55" s="759"/>
      <c r="T55" s="759"/>
      <c r="U55" s="759"/>
      <c r="V55" s="759"/>
      <c r="W55" s="759"/>
      <c r="X55" s="759"/>
      <c r="Y55" s="759"/>
      <c r="Z55" s="759"/>
      <c r="AA55" s="759"/>
      <c r="AB55" s="759"/>
      <c r="AC55" s="759"/>
    </row>
    <row r="56" spans="1:29">
      <c r="A56" s="1139"/>
      <c r="B56" s="1141"/>
      <c r="C56" s="1145"/>
      <c r="D56" s="1139"/>
      <c r="E56" s="1139"/>
      <c r="F56" s="1139"/>
      <c r="G56" s="1139"/>
      <c r="H56" s="1139"/>
      <c r="I56" s="1139"/>
      <c r="J56" s="1139"/>
      <c r="K56" s="1100"/>
      <c r="L56" s="1101"/>
      <c r="M56" s="1139"/>
      <c r="N56" s="1139"/>
      <c r="O56" s="1139"/>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56"/>
      <c r="M57" s="1154"/>
      <c r="N57" s="1154"/>
      <c r="O57" s="1154"/>
      <c r="P57" s="2663"/>
      <c r="Q57" s="2664"/>
      <c r="R57" s="758"/>
      <c r="S57" s="758"/>
      <c r="T57" s="758"/>
      <c r="U57" s="758"/>
      <c r="V57" s="758"/>
      <c r="W57" s="758"/>
      <c r="X57" s="758"/>
      <c r="Y57" s="758"/>
      <c r="Z57" s="758"/>
      <c r="AA57" s="758"/>
      <c r="AB57" s="758"/>
      <c r="AC57" s="758"/>
    </row>
    <row r="58" spans="1:29" s="507" customFormat="1" ht="15">
      <c r="A58" s="504" t="s">
        <v>2543</v>
      </c>
      <c r="B58" s="505"/>
      <c r="C58" s="1569" t="str">
        <f>YEAR(C7)&amp;"-"&amp;MONTH(C7)</f>
        <v>2019-10</v>
      </c>
      <c r="D58" s="1570">
        <f>EDATE(C58,-1)</f>
        <v>43709</v>
      </c>
      <c r="E58" s="1570">
        <f t="shared" ref="E58:N58" si="16">EDATE(D58,-1)</f>
        <v>43678</v>
      </c>
      <c r="F58" s="1570">
        <f t="shared" si="16"/>
        <v>43647</v>
      </c>
      <c r="G58" s="1570">
        <f t="shared" si="16"/>
        <v>43617</v>
      </c>
      <c r="H58" s="1570">
        <f t="shared" si="16"/>
        <v>43586</v>
      </c>
      <c r="I58" s="1570">
        <f t="shared" si="16"/>
        <v>43556</v>
      </c>
      <c r="J58" s="1570">
        <f t="shared" si="16"/>
        <v>43525</v>
      </c>
      <c r="K58" s="1570">
        <f t="shared" si="16"/>
        <v>43497</v>
      </c>
      <c r="L58" s="1570">
        <f t="shared" si="16"/>
        <v>43466</v>
      </c>
      <c r="M58" s="1570">
        <f t="shared" si="16"/>
        <v>43435</v>
      </c>
      <c r="N58" s="1570">
        <f t="shared" si="16"/>
        <v>43405</v>
      </c>
      <c r="O58" s="1570">
        <f>EDATE(N58,-1)</f>
        <v>43374</v>
      </c>
      <c r="P58" s="1565"/>
    </row>
    <row r="59" spans="1:29" s="116" customFormat="1" ht="15">
      <c r="A59" s="508"/>
      <c r="B59" s="509"/>
      <c r="C59" s="1568">
        <v>100</v>
      </c>
      <c r="D59" s="511"/>
      <c r="E59" s="511"/>
      <c r="F59" s="511"/>
      <c r="G59" s="511"/>
      <c r="H59" s="511"/>
      <c r="I59" s="511"/>
      <c r="J59" s="511"/>
      <c r="K59" s="511"/>
      <c r="L59" s="511"/>
      <c r="M59" s="512"/>
      <c r="N59" s="511"/>
      <c r="O59" s="512"/>
      <c r="P59" s="2624"/>
    </row>
    <row r="60" spans="1:29" s="116" customFormat="1" ht="15.75" thickBot="1">
      <c r="A60" s="514" t="s">
        <v>2580</v>
      </c>
      <c r="B60" s="515"/>
      <c r="C60" s="516"/>
      <c r="D60" s="517"/>
      <c r="E60" s="517"/>
      <c r="F60" s="517"/>
      <c r="G60" s="517"/>
      <c r="H60" s="517"/>
      <c r="I60" s="517"/>
      <c r="J60" s="517"/>
      <c r="K60" s="517"/>
      <c r="L60" s="517"/>
      <c r="M60" s="518"/>
      <c r="N60" s="517"/>
      <c r="O60" s="518"/>
      <c r="P60" s="2624"/>
      <c r="Q60" s="503"/>
    </row>
    <row r="61" spans="1:29" s="116" customFormat="1" ht="15">
      <c r="A61" s="520" t="s">
        <v>2545</v>
      </c>
      <c r="B61" s="509"/>
      <c r="C61" s="521" t="s">
        <v>2647</v>
      </c>
      <c r="D61" s="522"/>
      <c r="E61" s="522"/>
      <c r="F61" s="522"/>
      <c r="G61" s="522"/>
      <c r="H61" s="522"/>
      <c r="I61" s="522"/>
      <c r="J61" s="522"/>
      <c r="K61" s="522"/>
      <c r="L61" s="523"/>
      <c r="M61" s="524"/>
      <c r="N61" s="1146"/>
      <c r="O61" s="1146"/>
      <c r="P61" s="2625"/>
      <c r="Q61" s="503"/>
    </row>
    <row r="62" spans="1:29" s="116" customFormat="1" ht="15.75" thickBot="1">
      <c r="A62" s="520"/>
      <c r="B62" s="509"/>
      <c r="C62" s="510">
        <v>100</v>
      </c>
      <c r="D62" s="511"/>
      <c r="E62" s="511"/>
      <c r="F62" s="511"/>
      <c r="G62" s="511"/>
      <c r="H62" s="511"/>
      <c r="I62" s="511"/>
      <c r="J62" s="511"/>
      <c r="K62" s="511"/>
      <c r="L62" s="511"/>
      <c r="M62" s="513"/>
      <c r="N62" s="1146"/>
      <c r="O62" s="1146"/>
      <c r="P62" s="2624"/>
      <c r="Q62" s="503"/>
    </row>
    <row r="63" spans="1:29">
      <c r="A63" s="526" t="s">
        <v>2583</v>
      </c>
      <c r="B63" s="527" t="s">
        <v>2549</v>
      </c>
      <c r="C63" s="528">
        <f>C9</f>
        <v>0</v>
      </c>
      <c r="D63" s="529"/>
      <c r="E63" s="529"/>
      <c r="F63" s="529"/>
      <c r="G63" s="529"/>
      <c r="H63" s="529"/>
      <c r="I63" s="529"/>
      <c r="J63" s="529"/>
      <c r="K63" s="530"/>
      <c r="L63" s="531"/>
      <c r="M63" s="532"/>
      <c r="N63" s="1147"/>
      <c r="O63" s="1147"/>
      <c r="P63" s="2626"/>
      <c r="Q63" s="503"/>
    </row>
    <row r="64" spans="1:29" ht="15.75" thickBot="1">
      <c r="A64" s="533"/>
      <c r="B64" s="534"/>
      <c r="C64" s="535">
        <v>100</v>
      </c>
      <c r="D64" s="535"/>
      <c r="E64" s="535"/>
      <c r="F64" s="535"/>
      <c r="G64" s="535"/>
      <c r="H64" s="535"/>
      <c r="I64" s="535"/>
      <c r="J64" s="535"/>
      <c r="K64" s="535"/>
      <c r="L64" s="535"/>
      <c r="M64" s="536"/>
      <c r="N64" s="1148"/>
      <c r="O64" s="1148"/>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7"/>
      <c r="O65" s="1147"/>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6"/>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6"/>
      <c r="Q67" s="503"/>
    </row>
    <row r="68" spans="1:17" ht="15">
      <c r="A68" s="533"/>
      <c r="B68" s="547"/>
      <c r="C68" s="548"/>
      <c r="D68" s="548"/>
      <c r="E68" s="548"/>
      <c r="F68" s="548"/>
      <c r="G68" s="548"/>
      <c r="H68" s="548"/>
      <c r="I68" s="548"/>
      <c r="J68" s="548"/>
      <c r="K68" s="549"/>
      <c r="L68" s="550"/>
      <c r="M68" s="551"/>
      <c r="N68" s="1147"/>
      <c r="O68" s="1147"/>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6"/>
      <c r="Q69" s="503"/>
    </row>
    <row r="70" spans="1:17" s="470" customFormat="1" ht="15.75" thickTop="1">
      <c r="A70" s="552"/>
      <c r="B70" s="537">
        <f>B12</f>
        <v>111</v>
      </c>
      <c r="C70" s="553"/>
      <c r="D70" s="553"/>
      <c r="E70" s="553"/>
      <c r="F70" s="553"/>
      <c r="G70" s="553"/>
      <c r="H70" s="554"/>
      <c r="I70" s="554"/>
      <c r="J70" s="554"/>
      <c r="K70" s="554"/>
      <c r="L70" s="555"/>
      <c r="M70" s="556"/>
      <c r="N70" s="1149"/>
      <c r="O70" s="1149"/>
      <c r="P70" s="2627"/>
      <c r="Q70" s="558"/>
    </row>
    <row r="71" spans="1:17" s="470" customFormat="1" ht="15.75" thickBot="1">
      <c r="A71" s="552"/>
      <c r="B71" s="542"/>
      <c r="C71" s="559"/>
      <c r="D71" s="535"/>
      <c r="E71" s="535"/>
      <c r="F71" s="535"/>
      <c r="G71" s="535"/>
      <c r="H71" s="535"/>
      <c r="I71" s="535"/>
      <c r="J71" s="535"/>
      <c r="K71" s="535"/>
      <c r="L71" s="535"/>
      <c r="M71" s="536"/>
      <c r="N71" s="1148"/>
      <c r="O71" s="1148"/>
      <c r="P71" s="2627"/>
      <c r="Q71" s="558"/>
    </row>
    <row r="72" spans="1:17" s="470" customFormat="1" ht="15.75" thickTop="1">
      <c r="A72" s="552"/>
      <c r="B72" s="537">
        <f>B13</f>
        <v>111</v>
      </c>
      <c r="C72" s="553"/>
      <c r="D72" s="553"/>
      <c r="E72" s="553"/>
      <c r="F72" s="553"/>
      <c r="G72" s="553"/>
      <c r="H72" s="554"/>
      <c r="I72" s="554"/>
      <c r="J72" s="554"/>
      <c r="K72" s="554"/>
      <c r="L72" s="555"/>
      <c r="M72" s="556"/>
      <c r="N72" s="1149"/>
      <c r="O72" s="1149"/>
      <c r="P72" s="2628"/>
      <c r="Q72" s="560"/>
    </row>
    <row r="73" spans="1:17" s="470" customFormat="1" ht="15.75" thickBot="1">
      <c r="A73" s="552"/>
      <c r="B73" s="542"/>
      <c r="C73" s="559"/>
      <c r="D73" s="535"/>
      <c r="E73" s="535"/>
      <c r="F73" s="535"/>
      <c r="G73" s="559"/>
      <c r="H73" s="561"/>
      <c r="I73" s="561"/>
      <c r="J73" s="561"/>
      <c r="K73" s="561"/>
      <c r="L73" s="561"/>
      <c r="M73" s="562"/>
      <c r="N73" s="1149"/>
      <c r="O73" s="1149"/>
      <c r="P73" s="2627"/>
      <c r="Q73" s="558"/>
    </row>
    <row r="74" spans="1:17" s="470" customFormat="1" ht="15.75" thickTop="1">
      <c r="A74" s="552"/>
      <c r="B74" s="545">
        <f>B14</f>
        <v>111</v>
      </c>
      <c r="C74" s="553"/>
      <c r="D74" s="553"/>
      <c r="E74" s="553"/>
      <c r="F74" s="553"/>
      <c r="G74" s="522"/>
      <c r="H74" s="563"/>
      <c r="I74" s="563"/>
      <c r="J74" s="563"/>
      <c r="K74" s="563"/>
      <c r="L74" s="564"/>
      <c r="M74" s="565"/>
      <c r="N74" s="1149"/>
      <c r="O74" s="1149"/>
      <c r="P74" s="2629"/>
      <c r="Q74" s="558"/>
    </row>
    <row r="75" spans="1:17" s="470" customFormat="1" ht="15.75" thickBot="1">
      <c r="A75" s="567"/>
      <c r="B75" s="568"/>
      <c r="C75" s="569"/>
      <c r="D75" s="569"/>
      <c r="E75" s="569"/>
      <c r="F75" s="569"/>
      <c r="G75" s="569"/>
      <c r="H75" s="570"/>
      <c r="I75" s="570"/>
      <c r="J75" s="570"/>
      <c r="K75" s="570"/>
      <c r="L75" s="570"/>
      <c r="M75" s="571"/>
      <c r="N75" s="1149"/>
      <c r="O75" s="1149"/>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7"/>
      <c r="O76" s="1147"/>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7"/>
      <c r="O78" s="1147"/>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7"/>
      <c r="O80" s="1147"/>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6"/>
      <c r="Q81" s="503"/>
    </row>
    <row r="82" spans="1:17" ht="15.75" thickTop="1">
      <c r="A82" s="533"/>
      <c r="B82" s="545" t="s">
        <v>2650</v>
      </c>
      <c r="C82" s="659" t="s">
        <v>2670</v>
      </c>
      <c r="D82" s="659" t="s">
        <v>2671</v>
      </c>
      <c r="E82" s="659" t="s">
        <v>2672</v>
      </c>
      <c r="F82" s="659" t="s">
        <v>2673</v>
      </c>
      <c r="G82" s="659" t="s">
        <v>2674</v>
      </c>
      <c r="H82" s="538"/>
      <c r="I82" s="538"/>
      <c r="J82" s="538"/>
      <c r="K82" s="538"/>
      <c r="L82" s="538"/>
      <c r="M82" s="1377"/>
      <c r="N82" s="1148"/>
      <c r="O82" s="1148"/>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7"/>
      <c r="O84" s="1147"/>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6"/>
      <c r="Q85" s="503"/>
    </row>
    <row r="86" spans="1:17" s="116" customFormat="1" ht="15.75" thickTop="1">
      <c r="A86" s="578"/>
      <c r="B86" s="537" t="s">
        <v>2675</v>
      </c>
      <c r="C86" s="553"/>
      <c r="D86" s="553"/>
      <c r="E86" s="553"/>
      <c r="F86" s="553"/>
      <c r="G86" s="553"/>
      <c r="H86" s="553"/>
      <c r="I86" s="553"/>
      <c r="J86" s="553"/>
      <c r="K86" s="553"/>
      <c r="L86" s="579"/>
      <c r="M86" s="580"/>
      <c r="N86" s="1146"/>
      <c r="O86" s="1146"/>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6"/>
      <c r="O88" s="1146"/>
      <c r="P88" s="2626"/>
      <c r="Q88" s="503"/>
    </row>
    <row r="89" spans="1:17" s="116" customFormat="1" ht="15.75" thickBot="1">
      <c r="A89" s="578"/>
      <c r="B89" s="542"/>
      <c r="C89" s="559"/>
      <c r="D89" s="535"/>
      <c r="E89" s="535"/>
      <c r="F89" s="535"/>
      <c r="G89" s="535"/>
      <c r="H89" s="535"/>
      <c r="I89" s="535"/>
      <c r="J89" s="535"/>
      <c r="K89" s="535"/>
      <c r="L89" s="535"/>
      <c r="M89" s="535"/>
      <c r="N89" s="1148"/>
      <c r="O89" s="1148"/>
      <c r="P89" s="2626"/>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27"/>
      <c r="Q91" s="558"/>
    </row>
    <row r="92" spans="1:17" ht="15.75" thickTop="1">
      <c r="A92" s="533"/>
      <c r="B92" s="537" t="str">
        <f>B28</f>
        <v>楼层</v>
      </c>
      <c r="C92" s="553"/>
      <c r="D92" s="553"/>
      <c r="E92" s="553"/>
      <c r="F92" s="553"/>
      <c r="G92" s="553"/>
      <c r="H92" s="553"/>
      <c r="I92" s="553"/>
      <c r="J92" s="553"/>
      <c r="K92" s="553"/>
      <c r="L92" s="579"/>
      <c r="M92" s="580"/>
      <c r="N92" s="1147"/>
      <c r="O92" s="1147"/>
      <c r="P92" s="2626"/>
      <c r="Q92" s="503"/>
    </row>
    <row r="93" spans="1:17" ht="15.75" thickBot="1">
      <c r="A93" s="533"/>
      <c r="B93" s="542"/>
      <c r="C93" s="535"/>
      <c r="D93" s="535"/>
      <c r="E93" s="535"/>
      <c r="F93" s="535"/>
      <c r="G93" s="535"/>
      <c r="H93" s="535"/>
      <c r="I93" s="535"/>
      <c r="J93" s="535"/>
      <c r="K93" s="535"/>
      <c r="L93" s="535"/>
      <c r="M93" s="536"/>
      <c r="N93" s="1148"/>
      <c r="O93" s="1148"/>
      <c r="P93" s="2626"/>
      <c r="Q93" s="503"/>
    </row>
    <row r="94" spans="1:17" ht="15.75" thickTop="1">
      <c r="A94" s="533"/>
      <c r="B94" s="537">
        <f>B29</f>
        <v>111</v>
      </c>
      <c r="C94" s="553"/>
      <c r="D94" s="553"/>
      <c r="E94" s="553"/>
      <c r="F94" s="553"/>
      <c r="G94" s="582"/>
      <c r="H94" s="582"/>
      <c r="I94" s="582"/>
      <c r="J94" s="582"/>
      <c r="K94" s="583"/>
      <c r="L94" s="584"/>
      <c r="M94" s="585"/>
      <c r="N94" s="1147"/>
      <c r="O94" s="1147"/>
      <c r="P94" s="2626"/>
      <c r="Q94" s="503"/>
    </row>
    <row r="95" spans="1:17" ht="15.75" thickBot="1">
      <c r="A95" s="533"/>
      <c r="B95" s="542"/>
      <c r="C95" s="559"/>
      <c r="D95" s="535"/>
      <c r="E95" s="535"/>
      <c r="F95" s="535"/>
      <c r="G95" s="535"/>
      <c r="H95" s="535"/>
      <c r="I95" s="535"/>
      <c r="J95" s="535"/>
      <c r="K95" s="535"/>
      <c r="L95" s="535"/>
      <c r="M95" s="536"/>
      <c r="N95" s="1148"/>
      <c r="O95" s="1148"/>
      <c r="P95" s="2626"/>
      <c r="Q95" s="503"/>
    </row>
    <row r="96" spans="1:17" ht="15.75" thickTop="1">
      <c r="A96" s="533"/>
      <c r="B96" s="537">
        <f>B30</f>
        <v>111</v>
      </c>
      <c r="C96" s="553"/>
      <c r="D96" s="553"/>
      <c r="E96" s="553"/>
      <c r="F96" s="553"/>
      <c r="G96" s="582"/>
      <c r="H96" s="582"/>
      <c r="I96" s="582"/>
      <c r="J96" s="582"/>
      <c r="K96" s="583"/>
      <c r="L96" s="584"/>
      <c r="M96" s="585"/>
      <c r="N96" s="1147"/>
      <c r="O96" s="1147"/>
      <c r="P96" s="2626"/>
      <c r="Q96" s="503"/>
    </row>
    <row r="97" spans="1:17" ht="15.75" thickBot="1">
      <c r="A97" s="533"/>
      <c r="B97" s="542"/>
      <c r="C97" s="559"/>
      <c r="D97" s="535"/>
      <c r="E97" s="535"/>
      <c r="F97" s="535"/>
      <c r="G97" s="535"/>
      <c r="H97" s="535"/>
      <c r="I97" s="535"/>
      <c r="J97" s="535"/>
      <c r="K97" s="535"/>
      <c r="L97" s="535"/>
      <c r="M97" s="536"/>
      <c r="N97" s="1148"/>
      <c r="O97" s="1148"/>
      <c r="P97" s="2626"/>
      <c r="Q97" s="503"/>
    </row>
    <row r="98" spans="1:17" ht="15.75" thickTop="1">
      <c r="A98" s="533"/>
      <c r="B98" s="545">
        <f>B31</f>
        <v>111</v>
      </c>
      <c r="C98" s="553"/>
      <c r="D98" s="553"/>
      <c r="E98" s="553"/>
      <c r="F98" s="553"/>
      <c r="G98" s="586"/>
      <c r="H98" s="586"/>
      <c r="I98" s="586"/>
      <c r="J98" s="586"/>
      <c r="K98" s="587"/>
      <c r="L98" s="588"/>
      <c r="M98" s="589"/>
      <c r="N98" s="1147"/>
      <c r="O98" s="1147"/>
      <c r="P98" s="2626"/>
      <c r="Q98" s="503"/>
    </row>
    <row r="99" spans="1:17" ht="15.75" thickBot="1">
      <c r="A99" s="2632"/>
      <c r="B99" s="568"/>
      <c r="C99" s="569"/>
      <c r="D99" s="569"/>
      <c r="E99" s="569"/>
      <c r="F99" s="569"/>
      <c r="G99" s="590"/>
      <c r="H99" s="590"/>
      <c r="I99" s="590"/>
      <c r="J99" s="590"/>
      <c r="K99" s="590"/>
      <c r="L99" s="590"/>
      <c r="M99" s="591"/>
      <c r="N99" s="1148"/>
      <c r="O99" s="1148"/>
      <c r="P99" s="2626"/>
      <c r="Q99" s="503"/>
    </row>
    <row r="100" spans="1:17">
      <c r="A100" s="526" t="s">
        <v>2558</v>
      </c>
      <c r="B100" s="527" t="s">
        <v>2676</v>
      </c>
      <c r="C100" s="529"/>
      <c r="D100" s="529"/>
      <c r="E100" s="529"/>
      <c r="F100" s="529"/>
      <c r="G100" s="529"/>
      <c r="H100" s="529"/>
      <c r="I100" s="529"/>
      <c r="J100" s="529"/>
      <c r="K100" s="530"/>
      <c r="L100" s="531"/>
      <c r="M100" s="532"/>
      <c r="N100" s="1147"/>
      <c r="O100" s="1147"/>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26"/>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26"/>
      <c r="Q102" s="503"/>
    </row>
    <row r="103" spans="1:17" s="470" customFormat="1">
      <c r="A103" s="592"/>
      <c r="B103" s="593"/>
      <c r="C103" s="594"/>
      <c r="D103" s="594"/>
      <c r="E103" s="594"/>
      <c r="F103" s="594"/>
      <c r="G103" s="594"/>
      <c r="H103" s="594"/>
      <c r="I103" s="594"/>
      <c r="J103" s="595"/>
      <c r="K103" s="595"/>
      <c r="L103" s="596"/>
      <c r="M103" s="597"/>
      <c r="N103" s="1149"/>
      <c r="O103" s="1149"/>
      <c r="P103" s="2627"/>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7"/>
      <c r="Q104" s="558"/>
    </row>
    <row r="105" spans="1:17" ht="15" thickTop="1">
      <c r="A105" s="598"/>
      <c r="B105" s="537" t="s">
        <v>2609</v>
      </c>
      <c r="C105" s="553"/>
      <c r="D105" s="553"/>
      <c r="E105" s="582"/>
      <c r="F105" s="582"/>
      <c r="G105" s="582"/>
      <c r="H105" s="582"/>
      <c r="I105" s="582"/>
      <c r="J105" s="582"/>
      <c r="K105" s="583"/>
      <c r="L105" s="584"/>
      <c r="M105" s="585"/>
      <c r="N105" s="1147"/>
      <c r="O105" s="1147"/>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26"/>
      <c r="Q106" s="503"/>
    </row>
    <row r="107" spans="1:17" ht="15" thickTop="1">
      <c r="A107" s="598"/>
      <c r="B107" s="537" t="s">
        <v>2611</v>
      </c>
      <c r="C107" s="553"/>
      <c r="D107" s="553"/>
      <c r="E107" s="553"/>
      <c r="F107" s="582"/>
      <c r="G107" s="582"/>
      <c r="H107" s="582"/>
      <c r="I107" s="582"/>
      <c r="J107" s="582"/>
      <c r="K107" s="583"/>
      <c r="L107" s="584"/>
      <c r="M107" s="585"/>
      <c r="N107" s="1147"/>
      <c r="O107" s="1147"/>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26"/>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6"/>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26"/>
      <c r="Q111" s="503"/>
    </row>
    <row r="112" spans="1:17" s="470" customFormat="1" ht="15" thickTop="1">
      <c r="A112" s="592"/>
      <c r="B112" s="537" t="s">
        <v>2613</v>
      </c>
      <c r="C112" s="553"/>
      <c r="D112" s="553"/>
      <c r="E112" s="553"/>
      <c r="F112" s="553"/>
      <c r="G112" s="553"/>
      <c r="H112" s="582"/>
      <c r="I112" s="582"/>
      <c r="J112" s="582"/>
      <c r="K112" s="583"/>
      <c r="L112" s="584"/>
      <c r="M112" s="585"/>
      <c r="N112" s="1149"/>
      <c r="O112" s="1149"/>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27"/>
      <c r="Q113" s="558"/>
    </row>
    <row r="114" spans="1:17" ht="15" thickTop="1">
      <c r="A114" s="598"/>
      <c r="B114" s="537" t="s">
        <v>2677</v>
      </c>
      <c r="C114" s="553"/>
      <c r="D114" s="553"/>
      <c r="E114" s="582"/>
      <c r="F114" s="582"/>
      <c r="G114" s="582"/>
      <c r="H114" s="582"/>
      <c r="I114" s="582"/>
      <c r="J114" s="582"/>
      <c r="K114" s="583"/>
      <c r="L114" s="584"/>
      <c r="M114" s="585"/>
      <c r="N114" s="1147"/>
      <c r="O114" s="1147"/>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26"/>
      <c r="Q115" s="503"/>
    </row>
    <row r="116" spans="1:17" ht="15" thickTop="1">
      <c r="A116" s="598"/>
      <c r="B116" s="537" t="s">
        <v>2678</v>
      </c>
      <c r="C116" s="553"/>
      <c r="D116" s="553"/>
      <c r="E116" s="553"/>
      <c r="F116" s="553"/>
      <c r="G116" s="553"/>
      <c r="H116" s="582"/>
      <c r="I116" s="582"/>
      <c r="J116" s="582"/>
      <c r="K116" s="583"/>
      <c r="L116" s="584"/>
      <c r="M116" s="585"/>
      <c r="N116" s="1147"/>
      <c r="O116" s="1147"/>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6"/>
      <c r="Q117" s="503"/>
    </row>
    <row r="118" spans="1:17" ht="15" thickTop="1">
      <c r="A118" s="598"/>
      <c r="B118" s="537" t="s">
        <v>2679</v>
      </c>
      <c r="C118" s="626"/>
      <c r="D118" s="626"/>
      <c r="E118" s="626"/>
      <c r="F118" s="626"/>
      <c r="G118" s="626"/>
      <c r="H118" s="554"/>
      <c r="I118" s="554"/>
      <c r="J118" s="554"/>
      <c r="K118" s="554"/>
      <c r="L118" s="555"/>
      <c r="M118" s="556"/>
      <c r="N118" s="1147"/>
      <c r="O118" s="1147"/>
      <c r="P118" s="2626"/>
      <c r="Q118" s="503"/>
    </row>
    <row r="119" spans="1:17" ht="15.75" thickBot="1">
      <c r="A119" s="533"/>
      <c r="B119" s="542"/>
      <c r="C119" s="559"/>
      <c r="D119" s="535"/>
      <c r="E119" s="535"/>
      <c r="F119" s="535"/>
      <c r="G119" s="535"/>
      <c r="H119" s="535"/>
      <c r="I119" s="535"/>
      <c r="J119" s="535"/>
      <c r="K119" s="535"/>
      <c r="L119" s="535"/>
      <c r="M119" s="536"/>
      <c r="N119" s="1148"/>
      <c r="O119" s="1148"/>
      <c r="P119" s="2626"/>
      <c r="Q119" s="503"/>
    </row>
    <row r="120" spans="1:17" s="470" customFormat="1" ht="15" thickTop="1">
      <c r="A120" s="592"/>
      <c r="B120" s="537" t="s">
        <v>2680</v>
      </c>
      <c r="C120" s="582"/>
      <c r="D120" s="582"/>
      <c r="E120" s="582"/>
      <c r="F120" s="582"/>
      <c r="G120" s="554"/>
      <c r="H120" s="554"/>
      <c r="I120" s="554"/>
      <c r="J120" s="554"/>
      <c r="K120" s="554"/>
      <c r="L120" s="555"/>
      <c r="M120" s="556"/>
      <c r="N120" s="1149"/>
      <c r="O120" s="1149"/>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27"/>
      <c r="Q121" s="558"/>
    </row>
    <row r="122" spans="1:17" ht="15" thickTop="1">
      <c r="A122" s="598"/>
      <c r="B122" s="537" t="s">
        <v>2615</v>
      </c>
      <c r="C122" s="553"/>
      <c r="D122" s="553"/>
      <c r="E122" s="553"/>
      <c r="F122" s="582"/>
      <c r="G122" s="582"/>
      <c r="H122" s="582"/>
      <c r="I122" s="582"/>
      <c r="J122" s="582"/>
      <c r="K122" s="583"/>
      <c r="L122" s="584"/>
      <c r="M122" s="585"/>
      <c r="N122" s="1147"/>
      <c r="O122" s="1147"/>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7"/>
      <c r="O124" s="1147"/>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6"/>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7"/>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7"/>
      <c r="Q127" s="558"/>
    </row>
    <row r="128" spans="1:17" ht="15" thickTop="1">
      <c r="A128" s="598"/>
      <c r="B128" s="537">
        <f>B45</f>
        <v>111</v>
      </c>
      <c r="C128" s="553"/>
      <c r="D128" s="553"/>
      <c r="E128" s="553"/>
      <c r="F128" s="553"/>
      <c r="G128" s="582"/>
      <c r="H128" s="582"/>
      <c r="I128" s="582"/>
      <c r="J128" s="582"/>
      <c r="K128" s="583"/>
      <c r="L128" s="584"/>
      <c r="M128" s="585"/>
      <c r="N128" s="1147"/>
      <c r="O128" s="1147"/>
      <c r="P128" s="2626"/>
      <c r="Q128" s="503"/>
    </row>
    <row r="129" spans="1:17" ht="15.75" thickBot="1">
      <c r="A129" s="533"/>
      <c r="B129" s="542"/>
      <c r="C129" s="559"/>
      <c r="D129" s="535"/>
      <c r="E129" s="535"/>
      <c r="F129" s="535"/>
      <c r="G129" s="535"/>
      <c r="H129" s="535"/>
      <c r="I129" s="535"/>
      <c r="J129" s="535"/>
      <c r="K129" s="535"/>
      <c r="L129" s="535"/>
      <c r="M129" s="536"/>
      <c r="N129" s="1148"/>
      <c r="O129" s="1148"/>
      <c r="P129" s="2626"/>
      <c r="Q129" s="503"/>
    </row>
    <row r="130" spans="1:17" ht="15" thickTop="1">
      <c r="A130" s="598"/>
      <c r="B130" s="545">
        <f>B46</f>
        <v>111</v>
      </c>
      <c r="C130" s="553"/>
      <c r="D130" s="553"/>
      <c r="E130" s="553"/>
      <c r="F130" s="553"/>
      <c r="G130" s="586"/>
      <c r="H130" s="586"/>
      <c r="I130" s="586"/>
      <c r="J130" s="586"/>
      <c r="K130" s="522"/>
      <c r="L130" s="523"/>
      <c r="M130" s="589"/>
      <c r="N130" s="1147"/>
      <c r="O130" s="1147"/>
      <c r="P130" s="2626"/>
      <c r="Q130" s="503"/>
    </row>
    <row r="131" spans="1:17" ht="15.75" thickBot="1">
      <c r="A131" s="2632"/>
      <c r="B131" s="568"/>
      <c r="C131" s="569"/>
      <c r="D131" s="569"/>
      <c r="E131" s="569"/>
      <c r="F131" s="569"/>
      <c r="G131" s="590"/>
      <c r="H131" s="590"/>
      <c r="I131" s="590"/>
      <c r="J131" s="590"/>
      <c r="K131" s="590"/>
      <c r="L131" s="590"/>
      <c r="M131" s="591"/>
      <c r="N131" s="1148"/>
      <c r="O131" s="1148"/>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665" t="s">
        <v>2681</v>
      </c>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IF(C2="——",ROUND(C50*D3/10000,0),ROUND(C50*D3/10000,0)-D2)</f>
        <v>#DIV/0!</v>
      </c>
      <c r="C2" s="2585"/>
      <c r="D2" s="1360" t="e">
        <f ca="1">SUMIF(INDIRECT("'"&amp;F2&amp;"'"&amp;"!A:A"),"承租人权益价值",INDIRECT("'"&amp;F2&amp;"'"&amp;"!c:c"))</f>
        <v>#REF!</v>
      </c>
      <c r="E2" s="2586" t="s">
        <v>2326</v>
      </c>
      <c r="F2" s="2587"/>
      <c r="G2" s="1120"/>
      <c r="H2" s="1120"/>
      <c r="I2" s="1120"/>
      <c r="J2" s="1120"/>
      <c r="K2" s="1120"/>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71473.9099999998</v>
      </c>
      <c r="E3" s="2659"/>
      <c r="F3" s="1121"/>
      <c r="G3" s="1120"/>
      <c r="H3" s="1120"/>
      <c r="I3" s="1120"/>
      <c r="J3" s="1120"/>
      <c r="K3" s="1122"/>
      <c r="L3" s="1123"/>
      <c r="M3" s="1124"/>
      <c r="N3" s="1124"/>
      <c r="O3" s="1124"/>
      <c r="P3" s="767"/>
      <c r="Q3" s="767"/>
      <c r="R3" s="767"/>
      <c r="S3" s="767"/>
      <c r="T3" s="767"/>
      <c r="U3" s="767"/>
      <c r="V3" s="767"/>
      <c r="W3" s="767"/>
      <c r="X3" s="767"/>
      <c r="Y3" s="767"/>
      <c r="Z3" s="767"/>
      <c r="AA3" s="767"/>
      <c r="AB3" s="767"/>
      <c r="AC3" s="768"/>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317" t="s">
        <v>2646</v>
      </c>
      <c r="Q4" s="3318"/>
      <c r="R4" s="3312" t="s">
        <v>2642</v>
      </c>
      <c r="S4" s="3313"/>
      <c r="T4" s="3312" t="s">
        <v>2643</v>
      </c>
      <c r="U4" s="3313"/>
      <c r="V4" s="3321" t="s">
        <v>2644</v>
      </c>
      <c r="W4" s="3321"/>
      <c r="X4" s="2666"/>
      <c r="Y4" s="3312" t="s">
        <v>2646</v>
      </c>
      <c r="Z4" s="3313"/>
      <c r="AA4" s="3311" t="s">
        <v>2642</v>
      </c>
      <c r="AB4" s="3311" t="s">
        <v>2643</v>
      </c>
      <c r="AC4" s="3314" t="s">
        <v>2644</v>
      </c>
    </row>
    <row r="5" spans="1:29" ht="15">
      <c r="A5" s="403"/>
      <c r="B5" s="404"/>
      <c r="C5" s="3240" t="s">
        <v>2537</v>
      </c>
      <c r="D5" s="3241"/>
      <c r="E5" s="3309" t="s">
        <v>2538</v>
      </c>
      <c r="F5" s="3239"/>
      <c r="G5" s="3240" t="s">
        <v>2539</v>
      </c>
      <c r="H5" s="3241"/>
      <c r="I5" s="3240" t="s">
        <v>2540</v>
      </c>
      <c r="J5" s="3241"/>
      <c r="K5" s="609"/>
      <c r="L5" s="1125"/>
      <c r="M5" s="1126"/>
      <c r="N5" s="1126"/>
      <c r="O5" s="1126"/>
      <c r="P5" s="3319"/>
      <c r="Q5" s="3256"/>
      <c r="R5" s="3236"/>
      <c r="S5" s="3237"/>
      <c r="T5" s="3236"/>
      <c r="U5" s="3237"/>
      <c r="V5" s="3261"/>
      <c r="W5" s="3261"/>
      <c r="X5" s="1808"/>
      <c r="Y5" s="3236"/>
      <c r="Z5" s="3237"/>
      <c r="AA5" s="3230"/>
      <c r="AB5" s="3230"/>
      <c r="AC5" s="3315"/>
    </row>
    <row r="6" spans="1:29" ht="15.75" thickBot="1">
      <c r="A6" s="405"/>
      <c r="B6" s="406"/>
      <c r="C6" s="3242" t="s">
        <v>2541</v>
      </c>
      <c r="D6" s="3243"/>
      <c r="E6" s="3310" t="s">
        <v>2541</v>
      </c>
      <c r="F6" s="3246"/>
      <c r="G6" s="3242" t="s">
        <v>2541</v>
      </c>
      <c r="H6" s="3243"/>
      <c r="I6" s="3242" t="s">
        <v>2541</v>
      </c>
      <c r="J6" s="3243"/>
      <c r="K6" s="609" t="s">
        <v>2542</v>
      </c>
      <c r="L6" s="1125"/>
      <c r="M6" s="1126"/>
      <c r="N6" s="1126"/>
      <c r="O6" s="1126"/>
      <c r="P6" s="3320"/>
      <c r="Q6" s="3258"/>
      <c r="R6" s="3236"/>
      <c r="S6" s="3237"/>
      <c r="T6" s="3259"/>
      <c r="U6" s="3260"/>
      <c r="V6" s="3261"/>
      <c r="W6" s="3261"/>
      <c r="X6" s="1808"/>
      <c r="Y6" s="3259"/>
      <c r="Z6" s="3260"/>
      <c r="AA6" s="3231"/>
      <c r="AB6" s="3231"/>
      <c r="AC6" s="3316"/>
    </row>
    <row r="7" spans="1:29" s="116" customFormat="1" ht="15.75" thickBot="1">
      <c r="A7" s="407" t="s">
        <v>2543</v>
      </c>
      <c r="B7" s="408"/>
      <c r="C7" s="409">
        <f>'数据-取费表'!B2</f>
        <v>43758</v>
      </c>
      <c r="D7" s="410">
        <v>100</v>
      </c>
      <c r="E7" s="411"/>
      <c r="F7" s="412">
        <f>SUMIF(59:59,YEAR(E7)&amp;"-"&amp;MONTH(E7),60:60)</f>
        <v>0</v>
      </c>
      <c r="G7" s="411"/>
      <c r="H7" s="410">
        <f>SUMIF(59:59,YEAR(G7)&amp;"-"&amp;MONTH(G7),60:60)</f>
        <v>0</v>
      </c>
      <c r="I7" s="411"/>
      <c r="J7" s="410">
        <f>SUMIF(59:59,YEAR(I7)&amp;"-"&amp;MONTH(I7),60:60)</f>
        <v>0</v>
      </c>
      <c r="K7" s="610"/>
      <c r="L7" s="1127"/>
      <c r="M7" s="1128"/>
      <c r="N7" s="1128"/>
      <c r="O7" s="1128"/>
      <c r="P7" s="3322" t="s">
        <v>2544</v>
      </c>
      <c r="Q7" s="3262"/>
      <c r="R7" s="769" t="s">
        <v>17</v>
      </c>
      <c r="S7" s="770">
        <f t="shared" ref="S7:S15" si="0">F7</f>
        <v>0</v>
      </c>
      <c r="T7" s="769" t="s">
        <v>17</v>
      </c>
      <c r="U7" s="770">
        <f t="shared" ref="U7:U15" si="1">H7</f>
        <v>0</v>
      </c>
      <c r="V7" s="769" t="s">
        <v>17</v>
      </c>
      <c r="W7" s="770">
        <f t="shared" ref="W7:W15" si="2">J7</f>
        <v>0</v>
      </c>
      <c r="X7" s="771"/>
      <c r="Y7" s="3232" t="s">
        <v>2544</v>
      </c>
      <c r="Z7" s="3233"/>
      <c r="AA7" s="772" t="e">
        <f>D7/F7</f>
        <v>#DIV/0!</v>
      </c>
      <c r="AB7" s="772" t="e">
        <f>D7/H7</f>
        <v>#DIV/0!</v>
      </c>
      <c r="AC7" s="2667"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322" t="s">
        <v>2547</v>
      </c>
      <c r="Q8" s="3233"/>
      <c r="R8" s="769" t="s">
        <v>17</v>
      </c>
      <c r="S8" s="770">
        <f t="shared" si="0"/>
        <v>0</v>
      </c>
      <c r="T8" s="769" t="s">
        <v>17</v>
      </c>
      <c r="U8" s="770">
        <f t="shared" si="1"/>
        <v>0</v>
      </c>
      <c r="V8" s="769" t="s">
        <v>17</v>
      </c>
      <c r="W8" s="770">
        <f t="shared" si="2"/>
        <v>0</v>
      </c>
      <c r="X8" s="771"/>
      <c r="Y8" s="3232" t="s">
        <v>2547</v>
      </c>
      <c r="Z8" s="3233"/>
      <c r="AA8" s="772" t="e">
        <f t="shared" ref="AA8:AA47" si="3">D8/F8</f>
        <v>#DIV/0!</v>
      </c>
      <c r="AB8" s="772" t="e">
        <f t="shared" ref="AB8:AB47" si="4">D8/H8</f>
        <v>#DIV/0!</v>
      </c>
      <c r="AC8" s="2667"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272"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2667">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272"/>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2667">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272"/>
      <c r="Q11" s="1790"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2667" t="e">
        <f t="shared" si="5"/>
        <v>#N/A</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27"/>
      <c r="M12" s="1128"/>
      <c r="N12" s="1128"/>
      <c r="O12" s="1128"/>
      <c r="P12" s="3272"/>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5"/>
      <c r="M13" s="1126"/>
      <c r="N13" s="1126"/>
      <c r="O13" s="1126"/>
      <c r="P13" s="3272"/>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5"/>
      <c r="M14" s="1126"/>
      <c r="N14" s="1126"/>
      <c r="O14" s="1126"/>
      <c r="P14" s="3272"/>
      <c r="Q14" s="1790">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2667">
        <f t="shared" si="5"/>
        <v>1</v>
      </c>
    </row>
    <row r="15" spans="1:29" ht="71.25">
      <c r="A15" s="439" t="s">
        <v>2554</v>
      </c>
      <c r="B15" s="628" t="s">
        <v>2682</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280" t="s">
        <v>2555</v>
      </c>
      <c r="Q15" s="1805" t="str">
        <f t="shared" si="6"/>
        <v>办公集聚程度</v>
      </c>
      <c r="R15" s="773" t="s">
        <v>17</v>
      </c>
      <c r="S15" s="774">
        <f t="shared" si="0"/>
        <v>100</v>
      </c>
      <c r="T15" s="773" t="s">
        <v>17</v>
      </c>
      <c r="U15" s="774">
        <f t="shared" si="1"/>
        <v>100</v>
      </c>
      <c r="V15" s="773" t="s">
        <v>17</v>
      </c>
      <c r="W15" s="774">
        <f t="shared" si="2"/>
        <v>100</v>
      </c>
      <c r="X15" s="1808"/>
      <c r="Y15" s="3263" t="s">
        <v>2555</v>
      </c>
      <c r="Z15" s="1809" t="str">
        <f t="shared" si="7"/>
        <v>办公集聚程度</v>
      </c>
      <c r="AA15" s="1806">
        <f t="shared" si="3"/>
        <v>1</v>
      </c>
      <c r="AB15" s="1806">
        <f t="shared" si="4"/>
        <v>1</v>
      </c>
      <c r="AC15" s="2670">
        <f t="shared" si="5"/>
        <v>1</v>
      </c>
    </row>
    <row r="16" spans="1:29" ht="15">
      <c r="A16" s="427"/>
      <c r="B16" s="629"/>
      <c r="C16" s="2609"/>
      <c r="D16" s="447"/>
      <c r="E16" s="446"/>
      <c r="F16" s="447"/>
      <c r="G16" s="2609"/>
      <c r="H16" s="449"/>
      <c r="I16" s="446"/>
      <c r="J16" s="447"/>
      <c r="K16" s="614"/>
      <c r="L16" s="1135"/>
      <c r="M16" s="1126"/>
      <c r="N16" s="1126"/>
      <c r="O16" s="1126"/>
      <c r="P16" s="3281"/>
      <c r="Q16" s="1805"/>
      <c r="R16" s="773"/>
      <c r="S16" s="774"/>
      <c r="T16" s="773"/>
      <c r="U16" s="774"/>
      <c r="V16" s="773"/>
      <c r="W16" s="774"/>
      <c r="X16" s="1808"/>
      <c r="Y16" s="3264"/>
      <c r="Z16" s="1809"/>
      <c r="AA16" s="1806">
        <v>1</v>
      </c>
      <c r="AB16" s="1806">
        <v>1</v>
      </c>
      <c r="AC16" s="2670">
        <v>1</v>
      </c>
    </row>
    <row r="17" spans="1:29" ht="71.25">
      <c r="A17" s="427"/>
      <c r="B17" s="630" t="s">
        <v>2097</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281"/>
      <c r="Q17" s="1805" t="str">
        <f>B17</f>
        <v>交通便捷度</v>
      </c>
      <c r="R17" s="773" t="s">
        <v>17</v>
      </c>
      <c r="S17" s="774">
        <f>F17</f>
        <v>100</v>
      </c>
      <c r="T17" s="773" t="s">
        <v>17</v>
      </c>
      <c r="U17" s="774">
        <f>H17</f>
        <v>100</v>
      </c>
      <c r="V17" s="773" t="s">
        <v>17</v>
      </c>
      <c r="W17" s="774">
        <f>J17</f>
        <v>100</v>
      </c>
      <c r="X17" s="1808"/>
      <c r="Y17" s="3264"/>
      <c r="Z17" s="1809" t="str">
        <f>Q17</f>
        <v>交通便捷度</v>
      </c>
      <c r="AA17" s="1806">
        <f t="shared" si="3"/>
        <v>1</v>
      </c>
      <c r="AB17" s="1806">
        <f t="shared" si="4"/>
        <v>1</v>
      </c>
      <c r="AC17" s="2670">
        <f t="shared" si="5"/>
        <v>1</v>
      </c>
    </row>
    <row r="18" spans="1:29" ht="15">
      <c r="A18" s="427"/>
      <c r="B18" s="631"/>
      <c r="C18" s="2672"/>
      <c r="D18" s="449"/>
      <c r="E18" s="2607"/>
      <c r="F18" s="449"/>
      <c r="G18" s="2608"/>
      <c r="H18" s="447"/>
      <c r="I18" s="2608"/>
      <c r="J18" s="447"/>
      <c r="K18" s="614"/>
      <c r="L18" s="1135"/>
      <c r="M18" s="1126"/>
      <c r="N18" s="1126"/>
      <c r="O18" s="1126"/>
      <c r="P18" s="3281"/>
      <c r="Q18" s="1805"/>
      <c r="R18" s="773"/>
      <c r="S18" s="774"/>
      <c r="T18" s="773"/>
      <c r="U18" s="774"/>
      <c r="V18" s="773"/>
      <c r="W18" s="774"/>
      <c r="X18" s="1808"/>
      <c r="Y18" s="3264"/>
      <c r="Z18" s="1809"/>
      <c r="AA18" s="1806">
        <v>1</v>
      </c>
      <c r="AB18" s="1806">
        <v>1</v>
      </c>
      <c r="AC18" s="2670">
        <v>1</v>
      </c>
    </row>
    <row r="19" spans="1:29" ht="42.75">
      <c r="A19" s="427"/>
      <c r="B19" s="630" t="s">
        <v>2683</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281"/>
      <c r="Q19" s="1805" t="str">
        <f>B19</f>
        <v>公共配套设施</v>
      </c>
      <c r="R19" s="773" t="s">
        <v>17</v>
      </c>
      <c r="S19" s="774">
        <f>F19</f>
        <v>100</v>
      </c>
      <c r="T19" s="773" t="s">
        <v>17</v>
      </c>
      <c r="U19" s="774">
        <f>H19</f>
        <v>100</v>
      </c>
      <c r="V19" s="773" t="s">
        <v>17</v>
      </c>
      <c r="W19" s="774">
        <f>J19</f>
        <v>100</v>
      </c>
      <c r="X19" s="1808"/>
      <c r="Y19" s="3264"/>
      <c r="Z19" s="1809" t="str">
        <f>Q19</f>
        <v>公共配套设施</v>
      </c>
      <c r="AA19" s="1806">
        <f t="shared" si="3"/>
        <v>1</v>
      </c>
      <c r="AB19" s="1806">
        <f t="shared" si="4"/>
        <v>1</v>
      </c>
      <c r="AC19" s="2670">
        <f t="shared" si="5"/>
        <v>1</v>
      </c>
    </row>
    <row r="20" spans="1:29" ht="15">
      <c r="A20" s="427"/>
      <c r="B20" s="631"/>
      <c r="C20" s="2609"/>
      <c r="D20" s="447"/>
      <c r="E20" s="2602"/>
      <c r="F20" s="447"/>
      <c r="G20" s="2603"/>
      <c r="H20" s="447"/>
      <c r="I20" s="2603"/>
      <c r="J20" s="447"/>
      <c r="K20" s="614"/>
      <c r="L20" s="1135"/>
      <c r="M20" s="1126"/>
      <c r="N20" s="1126"/>
      <c r="O20" s="1126"/>
      <c r="P20" s="3281"/>
      <c r="Q20" s="1805"/>
      <c r="R20" s="773"/>
      <c r="S20" s="774"/>
      <c r="T20" s="773"/>
      <c r="U20" s="774"/>
      <c r="V20" s="773"/>
      <c r="W20" s="774"/>
      <c r="X20" s="1808"/>
      <c r="Y20" s="3264"/>
      <c r="Z20" s="1809"/>
      <c r="AA20" s="1806">
        <v>1</v>
      </c>
      <c r="AB20" s="1806">
        <v>1</v>
      </c>
      <c r="AC20" s="2670">
        <v>1</v>
      </c>
    </row>
    <row r="21" spans="1:29" ht="28.5">
      <c r="A21" s="427"/>
      <c r="B21" s="632" t="s">
        <v>2684</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281"/>
      <c r="Q21" s="1805" t="str">
        <f>B21</f>
        <v>基础设施水平</v>
      </c>
      <c r="R21" s="773" t="s">
        <v>17</v>
      </c>
      <c r="S21" s="774">
        <f>F21</f>
        <v>100</v>
      </c>
      <c r="T21" s="773" t="s">
        <v>17</v>
      </c>
      <c r="U21" s="774">
        <f>H21</f>
        <v>100</v>
      </c>
      <c r="V21" s="773" t="s">
        <v>17</v>
      </c>
      <c r="W21" s="774">
        <f>J21</f>
        <v>100</v>
      </c>
      <c r="X21" s="1808"/>
      <c r="Y21" s="3264"/>
      <c r="Z21" s="1809" t="str">
        <f>Q21</f>
        <v>基础设施水平</v>
      </c>
      <c r="AA21" s="1806">
        <f t="shared" ref="AA21" si="8">D21/F21</f>
        <v>1</v>
      </c>
      <c r="AB21" s="1806">
        <f t="shared" ref="AB21" si="9">D21/H21</f>
        <v>1</v>
      </c>
      <c r="AC21" s="2670">
        <f t="shared" ref="AC21" si="10">D21/J21</f>
        <v>1</v>
      </c>
    </row>
    <row r="22" spans="1:29" ht="15">
      <c r="A22" s="427"/>
      <c r="B22" s="632"/>
      <c r="C22" s="2672"/>
      <c r="D22" s="447"/>
      <c r="E22" s="446"/>
      <c r="F22" s="447"/>
      <c r="G22" s="2609"/>
      <c r="H22" s="447"/>
      <c r="I22" s="2609"/>
      <c r="J22" s="447"/>
      <c r="K22" s="1378"/>
      <c r="L22" s="1135"/>
      <c r="M22" s="1126"/>
      <c r="N22" s="1126"/>
      <c r="O22" s="1126"/>
      <c r="P22" s="3281"/>
      <c r="Q22" s="1805"/>
      <c r="R22" s="773"/>
      <c r="S22" s="774"/>
      <c r="T22" s="773"/>
      <c r="U22" s="774"/>
      <c r="V22" s="773"/>
      <c r="W22" s="774"/>
      <c r="X22" s="1808"/>
      <c r="Y22" s="3264"/>
      <c r="Z22" s="1809"/>
      <c r="AA22" s="1806">
        <v>1</v>
      </c>
      <c r="AB22" s="1806">
        <v>1</v>
      </c>
      <c r="AC22" s="2670">
        <v>1</v>
      </c>
    </row>
    <row r="23" spans="1:29" ht="42.75">
      <c r="A23" s="427"/>
      <c r="B23" s="630" t="s">
        <v>2685</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281"/>
      <c r="Q23" s="1805" t="str">
        <f>B23</f>
        <v>环境质量</v>
      </c>
      <c r="R23" s="773" t="s">
        <v>17</v>
      </c>
      <c r="S23" s="774">
        <f>F23</f>
        <v>100</v>
      </c>
      <c r="T23" s="773" t="s">
        <v>17</v>
      </c>
      <c r="U23" s="774">
        <f>H23</f>
        <v>100</v>
      </c>
      <c r="V23" s="773" t="s">
        <v>17</v>
      </c>
      <c r="W23" s="774">
        <f>J23</f>
        <v>100</v>
      </c>
      <c r="X23" s="1808"/>
      <c r="Y23" s="3264"/>
      <c r="Z23" s="1809" t="str">
        <f>Q23</f>
        <v>环境质量</v>
      </c>
      <c r="AA23" s="1806">
        <f t="shared" si="3"/>
        <v>1</v>
      </c>
      <c r="AB23" s="1806">
        <f t="shared" si="4"/>
        <v>1</v>
      </c>
      <c r="AC23" s="2670">
        <f t="shared" si="5"/>
        <v>1</v>
      </c>
    </row>
    <row r="24" spans="1:29" ht="15">
      <c r="A24" s="427"/>
      <c r="B24" s="632"/>
      <c r="C24" s="2609"/>
      <c r="D24" s="447"/>
      <c r="E24" s="2602"/>
      <c r="F24" s="447"/>
      <c r="G24" s="2603"/>
      <c r="H24" s="447"/>
      <c r="I24" s="2603"/>
      <c r="J24" s="447"/>
      <c r="K24" s="614"/>
      <c r="L24" s="1135"/>
      <c r="M24" s="1126"/>
      <c r="N24" s="1126"/>
      <c r="O24" s="1126"/>
      <c r="P24" s="3281"/>
      <c r="Q24" s="1805"/>
      <c r="R24" s="773"/>
      <c r="S24" s="774"/>
      <c r="T24" s="773"/>
      <c r="U24" s="774"/>
      <c r="V24" s="773"/>
      <c r="W24" s="774"/>
      <c r="X24" s="1808"/>
      <c r="Y24" s="3264"/>
      <c r="Z24" s="1809"/>
      <c r="AA24" s="1806">
        <v>1</v>
      </c>
      <c r="AB24" s="1806">
        <v>1</v>
      </c>
      <c r="AC24" s="2670">
        <v>1</v>
      </c>
    </row>
    <row r="25" spans="1:29" ht="27">
      <c r="A25" s="403"/>
      <c r="B25" s="630" t="s">
        <v>2686</v>
      </c>
      <c r="C25" s="2613"/>
      <c r="D25" s="434">
        <v>100</v>
      </c>
      <c r="E25" s="433"/>
      <c r="F25" s="434">
        <f>SUMIF(87:87,E26,88:88)-SUMIF(87:87,C26,88:88)+100</f>
        <v>100</v>
      </c>
      <c r="G25" s="2613"/>
      <c r="H25" s="434">
        <f>SUMIF(87:87,G26,88:88)-SUMIF(87:87,C26,88:88)+100</f>
        <v>100</v>
      </c>
      <c r="I25" s="433"/>
      <c r="J25" s="434">
        <f>SUMIF(87:87,I26,88:88)-SUMIF(87:87,C26,88:88)+100</f>
        <v>100</v>
      </c>
      <c r="K25" s="613"/>
      <c r="L25" s="1135"/>
      <c r="M25" s="1126"/>
      <c r="N25" s="1126"/>
      <c r="O25" s="1126"/>
      <c r="P25" s="3281"/>
      <c r="Q25" s="1805" t="str">
        <f>B25</f>
        <v>毗邻道路的类型与等级</v>
      </c>
      <c r="R25" s="773" t="s">
        <v>17</v>
      </c>
      <c r="S25" s="774">
        <f>F25</f>
        <v>100</v>
      </c>
      <c r="T25" s="773" t="s">
        <v>17</v>
      </c>
      <c r="U25" s="774">
        <f>H25</f>
        <v>100</v>
      </c>
      <c r="V25" s="773" t="s">
        <v>17</v>
      </c>
      <c r="W25" s="774">
        <f>J25</f>
        <v>100</v>
      </c>
      <c r="X25" s="1808"/>
      <c r="Y25" s="3264"/>
      <c r="Z25" s="1809" t="str">
        <f>Q25</f>
        <v>毗邻道路的类型与等级</v>
      </c>
      <c r="AA25" s="1806">
        <f t="shared" si="3"/>
        <v>1</v>
      </c>
      <c r="AB25" s="1806">
        <f t="shared" si="4"/>
        <v>1</v>
      </c>
      <c r="AC25" s="2670">
        <f t="shared" si="5"/>
        <v>1</v>
      </c>
    </row>
    <row r="26" spans="1:29" ht="15">
      <c r="A26" s="403"/>
      <c r="B26" s="631"/>
      <c r="C26" s="633"/>
      <c r="D26" s="434"/>
      <c r="E26" s="615"/>
      <c r="F26" s="434"/>
      <c r="G26" s="633"/>
      <c r="H26" s="434"/>
      <c r="I26" s="615"/>
      <c r="J26" s="434"/>
      <c r="K26" s="614"/>
      <c r="L26" s="1135"/>
      <c r="M26" s="1126"/>
      <c r="N26" s="1126"/>
      <c r="O26" s="1126"/>
      <c r="P26" s="3281"/>
      <c r="Q26" s="1805"/>
      <c r="R26" s="773"/>
      <c r="S26" s="774"/>
      <c r="T26" s="773"/>
      <c r="U26" s="774"/>
      <c r="V26" s="773"/>
      <c r="W26" s="774"/>
      <c r="X26" s="1808"/>
      <c r="Y26" s="3264"/>
      <c r="Z26" s="1809"/>
      <c r="AA26" s="1806">
        <v>1</v>
      </c>
      <c r="AB26" s="1806">
        <v>1</v>
      </c>
      <c r="AC26" s="2670">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81"/>
      <c r="Q27" s="1805" t="str">
        <f t="shared" ref="Q27:Q47" si="11">B27</f>
        <v>楼层</v>
      </c>
      <c r="R27" s="773" t="s">
        <v>17</v>
      </c>
      <c r="S27" s="774">
        <f>F27</f>
        <v>100</v>
      </c>
      <c r="T27" s="773" t="s">
        <v>17</v>
      </c>
      <c r="U27" s="774">
        <f>H27</f>
        <v>100</v>
      </c>
      <c r="V27" s="773" t="s">
        <v>17</v>
      </c>
      <c r="W27" s="774">
        <f>J27</f>
        <v>100</v>
      </c>
      <c r="X27" s="1808"/>
      <c r="Y27" s="3264"/>
      <c r="Z27" s="1809" t="str">
        <f>Q27</f>
        <v>楼层</v>
      </c>
      <c r="AA27" s="1806">
        <f t="shared" si="3"/>
        <v>1</v>
      </c>
      <c r="AB27" s="1806">
        <f t="shared" si="4"/>
        <v>1</v>
      </c>
      <c r="AC27" s="2670">
        <f t="shared" si="5"/>
        <v>1</v>
      </c>
    </row>
    <row r="28" spans="1:29" s="116" customFormat="1" ht="15">
      <c r="A28" s="430"/>
      <c r="B28" s="630" t="s">
        <v>2687</v>
      </c>
      <c r="C28" s="2673"/>
      <c r="D28" s="461">
        <v>100</v>
      </c>
      <c r="E28" s="2661"/>
      <c r="F28" s="461">
        <f>SUMIF(91:91,E28,92:92)-SUMIF(91:91,C28,92:92)+100</f>
        <v>100</v>
      </c>
      <c r="G28" s="2673"/>
      <c r="H28" s="461">
        <f>SUMIF(91:91,G28,92:92)-SUMIF(91:91,C28,92:92)+100</f>
        <v>100</v>
      </c>
      <c r="I28" s="2661"/>
      <c r="J28" s="461">
        <f>SUMIF(91:91,I28,92:92)-SUMIF(91:91,C28,92:92)+100</f>
        <v>100</v>
      </c>
      <c r="K28" s="611"/>
      <c r="L28" s="1127"/>
      <c r="M28" s="1128"/>
      <c r="N28" s="1128"/>
      <c r="O28" s="1128"/>
      <c r="P28" s="3281"/>
      <c r="Q28" s="1790" t="str">
        <f t="shared" si="11"/>
        <v>朝向</v>
      </c>
      <c r="R28" s="769" t="s">
        <v>17</v>
      </c>
      <c r="S28" s="770">
        <f>F28</f>
        <v>100</v>
      </c>
      <c r="T28" s="769" t="s">
        <v>17</v>
      </c>
      <c r="U28" s="770">
        <f>H28</f>
        <v>100</v>
      </c>
      <c r="V28" s="769" t="s">
        <v>17</v>
      </c>
      <c r="W28" s="770">
        <f>J28</f>
        <v>100</v>
      </c>
      <c r="X28" s="771"/>
      <c r="Y28" s="3264"/>
      <c r="Z28" s="55" t="str">
        <f>Q28</f>
        <v>朝向</v>
      </c>
      <c r="AA28" s="1806">
        <f>D28/F28</f>
        <v>1</v>
      </c>
      <c r="AB28" s="1806">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35"/>
      <c r="M29" s="1126"/>
      <c r="N29" s="1126"/>
      <c r="O29" s="1126"/>
      <c r="P29" s="3281"/>
      <c r="Q29" s="1805">
        <f t="shared" si="11"/>
        <v>111</v>
      </c>
      <c r="R29" s="773" t="s">
        <v>17</v>
      </c>
      <c r="S29" s="774">
        <f t="shared" ref="S29:S47" si="12">F29</f>
        <v>100</v>
      </c>
      <c r="T29" s="773" t="s">
        <v>17</v>
      </c>
      <c r="U29" s="774">
        <f t="shared" ref="U29:U47" si="13">H29</f>
        <v>100</v>
      </c>
      <c r="V29" s="773" t="s">
        <v>17</v>
      </c>
      <c r="W29" s="774">
        <f t="shared" ref="W29:W47" si="14">J29</f>
        <v>100</v>
      </c>
      <c r="X29" s="1808"/>
      <c r="Y29" s="3264"/>
      <c r="Z29" s="1809">
        <f t="shared" ref="Z29:Z47" si="15">Q29</f>
        <v>111</v>
      </c>
      <c r="AA29" s="1806">
        <f t="shared" si="3"/>
        <v>1</v>
      </c>
      <c r="AB29" s="1806">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5"/>
      <c r="M30" s="1126"/>
      <c r="N30" s="1126"/>
      <c r="O30" s="1126"/>
      <c r="P30" s="3281"/>
      <c r="Q30" s="1805">
        <f t="shared" si="11"/>
        <v>111</v>
      </c>
      <c r="R30" s="773" t="s">
        <v>17</v>
      </c>
      <c r="S30" s="774">
        <f t="shared" si="12"/>
        <v>100</v>
      </c>
      <c r="T30" s="773" t="s">
        <v>17</v>
      </c>
      <c r="U30" s="774">
        <f t="shared" si="13"/>
        <v>100</v>
      </c>
      <c r="V30" s="773" t="s">
        <v>17</v>
      </c>
      <c r="W30" s="774">
        <f t="shared" si="14"/>
        <v>100</v>
      </c>
      <c r="X30" s="1808"/>
      <c r="Y30" s="3264"/>
      <c r="Z30" s="1809">
        <f t="shared" si="15"/>
        <v>111</v>
      </c>
      <c r="AA30" s="1806">
        <f t="shared" si="3"/>
        <v>1</v>
      </c>
      <c r="AB30" s="1806">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5"/>
      <c r="M31" s="1126"/>
      <c r="N31" s="1126"/>
      <c r="O31" s="1126"/>
      <c r="P31" s="3281"/>
      <c r="Q31" s="1805">
        <f t="shared" si="11"/>
        <v>111</v>
      </c>
      <c r="R31" s="773" t="s">
        <v>17</v>
      </c>
      <c r="S31" s="774">
        <f t="shared" si="12"/>
        <v>100</v>
      </c>
      <c r="T31" s="773" t="s">
        <v>17</v>
      </c>
      <c r="U31" s="774">
        <f t="shared" si="13"/>
        <v>100</v>
      </c>
      <c r="V31" s="773" t="s">
        <v>17</v>
      </c>
      <c r="W31" s="774">
        <f t="shared" si="14"/>
        <v>100</v>
      </c>
      <c r="X31" s="1808"/>
      <c r="Y31" s="3264"/>
      <c r="Z31" s="1809">
        <f t="shared" si="15"/>
        <v>111</v>
      </c>
      <c r="AA31" s="1806">
        <f t="shared" si="3"/>
        <v>1</v>
      </c>
      <c r="AB31" s="1806">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5"/>
      <c r="M32" s="1126"/>
      <c r="N32" s="1126"/>
      <c r="O32" s="1126"/>
      <c r="P32" s="3281"/>
      <c r="Q32" s="1805">
        <f t="shared" si="11"/>
        <v>111</v>
      </c>
      <c r="R32" s="773" t="s">
        <v>17</v>
      </c>
      <c r="S32" s="774">
        <f t="shared" si="12"/>
        <v>100</v>
      </c>
      <c r="T32" s="773" t="s">
        <v>17</v>
      </c>
      <c r="U32" s="774">
        <f t="shared" si="13"/>
        <v>100</v>
      </c>
      <c r="V32" s="773" t="s">
        <v>17</v>
      </c>
      <c r="W32" s="774">
        <f t="shared" si="14"/>
        <v>100</v>
      </c>
      <c r="X32" s="1808"/>
      <c r="Y32" s="3264"/>
      <c r="Z32" s="1809">
        <f t="shared" si="15"/>
        <v>111</v>
      </c>
      <c r="AA32" s="1806">
        <f t="shared" si="3"/>
        <v>1</v>
      </c>
      <c r="AB32" s="1806">
        <f t="shared" si="4"/>
        <v>1</v>
      </c>
      <c r="AC32" s="2670">
        <f t="shared" si="5"/>
        <v>1</v>
      </c>
    </row>
    <row r="33" spans="1:29" ht="15">
      <c r="A33" s="439" t="s">
        <v>2558</v>
      </c>
      <c r="B33" s="71" t="s">
        <v>2688</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5"/>
      <c r="M33" s="1126"/>
      <c r="N33" s="1126"/>
      <c r="O33" s="1126"/>
      <c r="P33" s="3276" t="s">
        <v>2560</v>
      </c>
      <c r="Q33" s="1805" t="str">
        <f t="shared" si="11"/>
        <v>建筑类型</v>
      </c>
      <c r="R33" s="773" t="s">
        <v>17</v>
      </c>
      <c r="S33" s="774">
        <f t="shared" si="12"/>
        <v>100</v>
      </c>
      <c r="T33" s="773" t="s">
        <v>17</v>
      </c>
      <c r="U33" s="774">
        <f t="shared" si="13"/>
        <v>100</v>
      </c>
      <c r="V33" s="773" t="s">
        <v>17</v>
      </c>
      <c r="W33" s="774">
        <f t="shared" si="14"/>
        <v>100</v>
      </c>
      <c r="X33" s="1808"/>
      <c r="Y33" s="3266" t="s">
        <v>2560</v>
      </c>
      <c r="Z33" s="1809" t="str">
        <f t="shared" si="15"/>
        <v>建筑类型</v>
      </c>
      <c r="AA33" s="1806">
        <f t="shared" si="3"/>
        <v>1</v>
      </c>
      <c r="AB33" s="1806">
        <f t="shared" si="4"/>
        <v>1</v>
      </c>
      <c r="AC33" s="2670">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277"/>
      <c r="Q34" s="775" t="str">
        <f t="shared" si="11"/>
        <v>项目建筑规模</v>
      </c>
      <c r="R34" s="776" t="s">
        <v>17</v>
      </c>
      <c r="S34" s="777" t="e">
        <f t="shared" si="12"/>
        <v>#N/A</v>
      </c>
      <c r="T34" s="776" t="s">
        <v>17</v>
      </c>
      <c r="U34" s="777" t="e">
        <f t="shared" si="13"/>
        <v>#N/A</v>
      </c>
      <c r="V34" s="776" t="s">
        <v>17</v>
      </c>
      <c r="W34" s="777" t="e">
        <f t="shared" si="14"/>
        <v>#N/A</v>
      </c>
      <c r="X34" s="778"/>
      <c r="Y34" s="3266"/>
      <c r="Z34" s="779" t="str">
        <f t="shared" si="15"/>
        <v>项目建筑规模</v>
      </c>
      <c r="AA34" s="1806" t="e">
        <f t="shared" si="3"/>
        <v>#N/A</v>
      </c>
      <c r="AB34" s="1806" t="e">
        <f t="shared" si="4"/>
        <v>#N/A</v>
      </c>
      <c r="AC34" s="2670"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277"/>
      <c r="Q35" s="1805" t="str">
        <f t="shared" si="11"/>
        <v>建筑结构</v>
      </c>
      <c r="R35" s="773" t="s">
        <v>17</v>
      </c>
      <c r="S35" s="774">
        <f t="shared" si="12"/>
        <v>100</v>
      </c>
      <c r="T35" s="773" t="s">
        <v>17</v>
      </c>
      <c r="U35" s="774">
        <f t="shared" si="13"/>
        <v>100</v>
      </c>
      <c r="V35" s="773" t="s">
        <v>17</v>
      </c>
      <c r="W35" s="774">
        <f t="shared" si="14"/>
        <v>100</v>
      </c>
      <c r="X35" s="1808"/>
      <c r="Y35" s="3266"/>
      <c r="Z35" s="1809" t="str">
        <f t="shared" si="15"/>
        <v>建筑结构</v>
      </c>
      <c r="AA35" s="1806">
        <f t="shared" si="3"/>
        <v>1</v>
      </c>
      <c r="AB35" s="1806">
        <f t="shared" si="4"/>
        <v>1</v>
      </c>
      <c r="AC35" s="2670">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277"/>
      <c r="Q36" s="1805" t="str">
        <f t="shared" si="11"/>
        <v>公共部分装修</v>
      </c>
      <c r="R36" s="773" t="s">
        <v>17</v>
      </c>
      <c r="S36" s="774">
        <f t="shared" si="12"/>
        <v>100</v>
      </c>
      <c r="T36" s="773" t="s">
        <v>17</v>
      </c>
      <c r="U36" s="774">
        <f t="shared" si="13"/>
        <v>100</v>
      </c>
      <c r="V36" s="773" t="s">
        <v>17</v>
      </c>
      <c r="W36" s="774">
        <f t="shared" si="14"/>
        <v>100</v>
      </c>
      <c r="X36" s="1808"/>
      <c r="Y36" s="3266"/>
      <c r="Z36" s="1809" t="str">
        <f t="shared" si="15"/>
        <v>公共部分装修</v>
      </c>
      <c r="AA36" s="1806">
        <f t="shared" si="3"/>
        <v>1</v>
      </c>
      <c r="AB36" s="1806">
        <f t="shared" si="4"/>
        <v>1</v>
      </c>
      <c r="AC36" s="2670">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277"/>
      <c r="Q37" s="1805" t="str">
        <f t="shared" si="11"/>
        <v>成新度</v>
      </c>
      <c r="R37" s="773" t="s">
        <v>17</v>
      </c>
      <c r="S37" s="774" t="e">
        <f t="shared" si="12"/>
        <v>#N/A</v>
      </c>
      <c r="T37" s="773" t="s">
        <v>17</v>
      </c>
      <c r="U37" s="774" t="e">
        <f t="shared" si="13"/>
        <v>#N/A</v>
      </c>
      <c r="V37" s="773" t="s">
        <v>17</v>
      </c>
      <c r="W37" s="774" t="e">
        <f t="shared" si="14"/>
        <v>#N/A</v>
      </c>
      <c r="X37" s="1808"/>
      <c r="Y37" s="3266"/>
      <c r="Z37" s="1809" t="str">
        <f t="shared" si="15"/>
        <v>成新度</v>
      </c>
      <c r="AA37" s="1806" t="e">
        <f t="shared" si="3"/>
        <v>#N/A</v>
      </c>
      <c r="AB37" s="1806" t="e">
        <f t="shared" si="4"/>
        <v>#N/A</v>
      </c>
      <c r="AC37" s="2670"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277"/>
      <c r="Q38" s="1790" t="str">
        <f t="shared" si="11"/>
        <v>写字楼等级</v>
      </c>
      <c r="R38" s="769" t="s">
        <v>17</v>
      </c>
      <c r="S38" s="770">
        <f t="shared" si="12"/>
        <v>100</v>
      </c>
      <c r="T38" s="769" t="s">
        <v>17</v>
      </c>
      <c r="U38" s="770">
        <f t="shared" si="13"/>
        <v>100</v>
      </c>
      <c r="V38" s="769" t="s">
        <v>17</v>
      </c>
      <c r="W38" s="770">
        <f t="shared" si="14"/>
        <v>100</v>
      </c>
      <c r="X38" s="771"/>
      <c r="Y38" s="3266"/>
      <c r="Z38" s="55" t="str">
        <f t="shared" si="15"/>
        <v>写字楼等级</v>
      </c>
      <c r="AA38" s="772">
        <f t="shared" si="3"/>
        <v>1</v>
      </c>
      <c r="AB38" s="772">
        <f t="shared" si="4"/>
        <v>1</v>
      </c>
      <c r="AC38" s="2667">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277" t="s">
        <v>2560</v>
      </c>
      <c r="Q39" s="1805" t="str">
        <f t="shared" si="11"/>
        <v>物业管理</v>
      </c>
      <c r="R39" s="773" t="s">
        <v>17</v>
      </c>
      <c r="S39" s="774">
        <f t="shared" si="12"/>
        <v>100</v>
      </c>
      <c r="T39" s="773" t="s">
        <v>17</v>
      </c>
      <c r="U39" s="774">
        <f t="shared" si="13"/>
        <v>100</v>
      </c>
      <c r="V39" s="773" t="s">
        <v>17</v>
      </c>
      <c r="W39" s="774">
        <f t="shared" si="14"/>
        <v>100</v>
      </c>
      <c r="X39" s="1808"/>
      <c r="Y39" s="3266" t="s">
        <v>2560</v>
      </c>
      <c r="Z39" s="1809" t="str">
        <f t="shared" si="15"/>
        <v>物业管理</v>
      </c>
      <c r="AA39" s="1806">
        <f t="shared" si="3"/>
        <v>1</v>
      </c>
      <c r="AB39" s="1806">
        <f t="shared" si="4"/>
        <v>1</v>
      </c>
      <c r="AC39" s="2670">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277"/>
      <c r="Q40" s="1805" t="str">
        <f t="shared" si="11"/>
        <v>市政基础设施</v>
      </c>
      <c r="R40" s="773" t="s">
        <v>17</v>
      </c>
      <c r="S40" s="774">
        <f t="shared" si="12"/>
        <v>100</v>
      </c>
      <c r="T40" s="773" t="s">
        <v>17</v>
      </c>
      <c r="U40" s="774">
        <f t="shared" si="13"/>
        <v>100</v>
      </c>
      <c r="V40" s="773" t="s">
        <v>17</v>
      </c>
      <c r="W40" s="774">
        <f t="shared" si="14"/>
        <v>100</v>
      </c>
      <c r="X40" s="1808"/>
      <c r="Y40" s="3266"/>
      <c r="Z40" s="1809" t="str">
        <f t="shared" si="15"/>
        <v>市政基础设施</v>
      </c>
      <c r="AA40" s="1806">
        <f t="shared" si="3"/>
        <v>1</v>
      </c>
      <c r="AB40" s="1806">
        <f t="shared" si="4"/>
        <v>1</v>
      </c>
      <c r="AC40" s="2670">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277"/>
      <c r="Q41" s="1805" t="str">
        <f t="shared" si="11"/>
        <v>层高</v>
      </c>
      <c r="R41" s="773" t="s">
        <v>17</v>
      </c>
      <c r="S41" s="774">
        <f t="shared" si="12"/>
        <v>100</v>
      </c>
      <c r="T41" s="773" t="s">
        <v>17</v>
      </c>
      <c r="U41" s="774">
        <f t="shared" si="13"/>
        <v>100</v>
      </c>
      <c r="V41" s="773" t="s">
        <v>17</v>
      </c>
      <c r="W41" s="774">
        <f t="shared" si="14"/>
        <v>100</v>
      </c>
      <c r="X41" s="1808"/>
      <c r="Y41" s="3266"/>
      <c r="Z41" s="1809" t="str">
        <f t="shared" si="15"/>
        <v>层高</v>
      </c>
      <c r="AA41" s="1806">
        <f t="shared" si="3"/>
        <v>1</v>
      </c>
      <c r="AB41" s="1806">
        <f t="shared" si="4"/>
        <v>1</v>
      </c>
      <c r="AC41" s="2670">
        <f t="shared" si="5"/>
        <v>1</v>
      </c>
    </row>
    <row r="42" spans="1:29" s="470" customFormat="1" ht="15">
      <c r="A42" s="467"/>
      <c r="B42" s="1807"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77"/>
      <c r="Q42" s="775" t="str">
        <f t="shared" si="11"/>
        <v>单套建筑面积</v>
      </c>
      <c r="R42" s="776" t="s">
        <v>17</v>
      </c>
      <c r="S42" s="777">
        <f t="shared" si="12"/>
        <v>100</v>
      </c>
      <c r="T42" s="776" t="s">
        <v>17</v>
      </c>
      <c r="U42" s="777">
        <f t="shared" si="13"/>
        <v>100</v>
      </c>
      <c r="V42" s="776" t="s">
        <v>17</v>
      </c>
      <c r="W42" s="777">
        <f t="shared" si="14"/>
        <v>100</v>
      </c>
      <c r="X42" s="778"/>
      <c r="Y42" s="3266"/>
      <c r="Z42" s="779" t="str">
        <f t="shared" si="15"/>
        <v>单套建筑面积</v>
      </c>
      <c r="AA42" s="1806">
        <f t="shared" si="3"/>
        <v>1</v>
      </c>
      <c r="AB42" s="1806">
        <f t="shared" si="4"/>
        <v>1</v>
      </c>
      <c r="AC42" s="2670">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277"/>
      <c r="Q43" s="1805" t="str">
        <f t="shared" si="11"/>
        <v>内部装修</v>
      </c>
      <c r="R43" s="773" t="s">
        <v>17</v>
      </c>
      <c r="S43" s="774">
        <f t="shared" si="12"/>
        <v>100</v>
      </c>
      <c r="T43" s="773" t="s">
        <v>17</v>
      </c>
      <c r="U43" s="774">
        <f t="shared" si="13"/>
        <v>100</v>
      </c>
      <c r="V43" s="773" t="s">
        <v>17</v>
      </c>
      <c r="W43" s="774">
        <f t="shared" si="14"/>
        <v>100</v>
      </c>
      <c r="X43" s="1808"/>
      <c r="Y43" s="3266"/>
      <c r="Z43" s="1809" t="str">
        <f t="shared" si="15"/>
        <v>内部装修</v>
      </c>
      <c r="AA43" s="1806">
        <f t="shared" si="3"/>
        <v>1</v>
      </c>
      <c r="AB43" s="1806">
        <f t="shared" si="4"/>
        <v>1</v>
      </c>
      <c r="AC43" s="2670">
        <f t="shared" si="5"/>
        <v>1</v>
      </c>
    </row>
    <row r="44" spans="1:29" ht="15">
      <c r="A44" s="471"/>
      <c r="B44" s="421" t="s">
        <v>2571</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5"/>
      <c r="M44" s="1126"/>
      <c r="N44" s="1126"/>
      <c r="O44" s="1126"/>
      <c r="P44" s="3277"/>
      <c r="Q44" s="1805" t="str">
        <f t="shared" si="11"/>
        <v>内部装修维护情况</v>
      </c>
      <c r="R44" s="773" t="s">
        <v>17</v>
      </c>
      <c r="S44" s="774">
        <f t="shared" si="12"/>
        <v>100</v>
      </c>
      <c r="T44" s="773" t="s">
        <v>17</v>
      </c>
      <c r="U44" s="774">
        <f t="shared" si="13"/>
        <v>100</v>
      </c>
      <c r="V44" s="773" t="s">
        <v>17</v>
      </c>
      <c r="W44" s="774">
        <f t="shared" si="14"/>
        <v>100</v>
      </c>
      <c r="X44" s="1808"/>
      <c r="Y44" s="3266"/>
      <c r="Z44" s="1809" t="str">
        <f t="shared" si="15"/>
        <v>内部装修维护情况</v>
      </c>
      <c r="AA44" s="1806">
        <f t="shared" si="3"/>
        <v>1</v>
      </c>
      <c r="AB44" s="1806">
        <f t="shared" si="4"/>
        <v>1</v>
      </c>
      <c r="AC44" s="2670">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77"/>
      <c r="Q45" s="1790">
        <f t="shared" si="11"/>
        <v>111</v>
      </c>
      <c r="R45" s="769" t="s">
        <v>17</v>
      </c>
      <c r="S45" s="770">
        <f t="shared" si="12"/>
        <v>100</v>
      </c>
      <c r="T45" s="769" t="s">
        <v>17</v>
      </c>
      <c r="U45" s="770">
        <f t="shared" si="13"/>
        <v>100</v>
      </c>
      <c r="V45" s="769" t="s">
        <v>17</v>
      </c>
      <c r="W45" s="770">
        <f t="shared" si="14"/>
        <v>100</v>
      </c>
      <c r="X45" s="771"/>
      <c r="Y45" s="3266"/>
      <c r="Z45" s="55">
        <f t="shared" si="15"/>
        <v>111</v>
      </c>
      <c r="AA45" s="772">
        <f t="shared" si="3"/>
        <v>1</v>
      </c>
      <c r="AB45" s="772">
        <f t="shared" si="4"/>
        <v>1</v>
      </c>
      <c r="AC45" s="2667">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77"/>
      <c r="Q46" s="1805">
        <f t="shared" si="11"/>
        <v>111</v>
      </c>
      <c r="R46" s="773" t="s">
        <v>17</v>
      </c>
      <c r="S46" s="774">
        <f t="shared" si="12"/>
        <v>100</v>
      </c>
      <c r="T46" s="773" t="s">
        <v>17</v>
      </c>
      <c r="U46" s="774">
        <f t="shared" si="13"/>
        <v>100</v>
      </c>
      <c r="V46" s="773" t="s">
        <v>17</v>
      </c>
      <c r="W46" s="774">
        <f t="shared" si="14"/>
        <v>100</v>
      </c>
      <c r="X46" s="1808"/>
      <c r="Y46" s="3266"/>
      <c r="Z46" s="1809">
        <f t="shared" si="15"/>
        <v>111</v>
      </c>
      <c r="AA46" s="1806">
        <f t="shared" si="3"/>
        <v>1</v>
      </c>
      <c r="AB46" s="1806">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78"/>
      <c r="Q47" s="1805">
        <f t="shared" si="11"/>
        <v>111</v>
      </c>
      <c r="R47" s="773" t="s">
        <v>17</v>
      </c>
      <c r="S47" s="774">
        <f t="shared" si="12"/>
        <v>100</v>
      </c>
      <c r="T47" s="773" t="s">
        <v>17</v>
      </c>
      <c r="U47" s="774">
        <f t="shared" si="13"/>
        <v>100</v>
      </c>
      <c r="V47" s="773" t="s">
        <v>17</v>
      </c>
      <c r="W47" s="774">
        <f t="shared" si="14"/>
        <v>100</v>
      </c>
      <c r="X47" s="1808"/>
      <c r="Y47" s="3279"/>
      <c r="Z47" s="1809">
        <f t="shared" si="15"/>
        <v>111</v>
      </c>
      <c r="AA47" s="1806">
        <f t="shared" si="3"/>
        <v>1</v>
      </c>
      <c r="AB47" s="1806">
        <f t="shared" si="4"/>
        <v>1</v>
      </c>
      <c r="AC47" s="2670">
        <f t="shared" si="5"/>
        <v>1</v>
      </c>
    </row>
    <row r="48" spans="1:29" ht="15">
      <c r="A48" s="478" t="s">
        <v>2572</v>
      </c>
      <c r="B48" s="479"/>
      <c r="C48" s="1402" t="s">
        <v>1</v>
      </c>
      <c r="D48" s="1403"/>
      <c r="E48" s="1404"/>
      <c r="F48" s="1405"/>
      <c r="G48" s="1406"/>
      <c r="H48" s="1407"/>
      <c r="I48" s="1404"/>
      <c r="J48" s="484"/>
      <c r="K48" s="782"/>
      <c r="L48" s="1138"/>
      <c r="M48" s="1126"/>
      <c r="N48" s="1126"/>
      <c r="O48" s="1126"/>
      <c r="P48" s="3272" t="str">
        <f>A48</f>
        <v>成交单价（元/平方米）</v>
      </c>
      <c r="Q48" s="3248"/>
      <c r="R48" s="3275">
        <f>E48</f>
        <v>0</v>
      </c>
      <c r="S48" s="3275"/>
      <c r="T48" s="3275">
        <f>G48</f>
        <v>0</v>
      </c>
      <c r="U48" s="3275"/>
      <c r="V48" s="3275">
        <f>I48</f>
        <v>0</v>
      </c>
      <c r="W48" s="3275"/>
      <c r="X48" s="445"/>
      <c r="Y48" s="780"/>
      <c r="Z48" s="445"/>
      <c r="AA48" s="445"/>
      <c r="AB48" s="445"/>
      <c r="AC48" s="629"/>
    </row>
    <row r="49" spans="1:29" ht="15.75" thickBot="1">
      <c r="A49" s="485" t="s">
        <v>2664</v>
      </c>
      <c r="B49" s="486"/>
      <c r="C49" s="1408" t="e">
        <f>R50</f>
        <v>#DIV/0!</v>
      </c>
      <c r="D49" s="1409"/>
      <c r="E49" s="1410" t="e">
        <f>R49</f>
        <v>#DIV/0!</v>
      </c>
      <c r="F49" s="1410"/>
      <c r="G49" s="1408" t="e">
        <f>T49</f>
        <v>#DIV/0!</v>
      </c>
      <c r="H49" s="1409"/>
      <c r="I49" s="1410" t="e">
        <f>V49</f>
        <v>#DIV/0!</v>
      </c>
      <c r="J49" s="488"/>
      <c r="K49" s="783"/>
      <c r="L49" s="1138"/>
      <c r="M49" s="1126"/>
      <c r="N49" s="1126"/>
      <c r="O49" s="1126"/>
      <c r="P49" s="3272" t="str">
        <f>A49</f>
        <v>比较价值（元/平方米）</v>
      </c>
      <c r="Q49" s="3248"/>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5"/>
      <c r="Y49" s="445"/>
      <c r="Z49" s="445"/>
      <c r="AA49" s="445"/>
      <c r="AB49" s="445"/>
      <c r="AC49" s="629"/>
    </row>
    <row r="50" spans="1:29" ht="15.75" thickBot="1">
      <c r="A50" s="491" t="s">
        <v>2665</v>
      </c>
      <c r="B50" s="492"/>
      <c r="C50" s="1412" t="e">
        <f>R50</f>
        <v>#DIV/0!</v>
      </c>
      <c r="D50" s="1412"/>
      <c r="E50" s="1412"/>
      <c r="F50" s="1412"/>
      <c r="G50" s="1412"/>
      <c r="H50" s="1412"/>
      <c r="I50" s="1412"/>
      <c r="J50" s="493"/>
      <c r="K50" s="784"/>
      <c r="L50" s="1138"/>
      <c r="M50" s="1126"/>
      <c r="N50" s="1126"/>
      <c r="O50" s="1126"/>
      <c r="P50" s="3323" t="str">
        <f>A50</f>
        <v>估价对象XX用房的比较价值（楼面单价，元/平方米）</v>
      </c>
      <c r="Q50" s="3324"/>
      <c r="R50" s="3325" t="e">
        <f>IF(F1="售价",ROUND(AVERAGE(R49:V49),0),ROUND(AVERAGE(R49:V49),1))</f>
        <v>#DIV/0!</v>
      </c>
      <c r="S50" s="3325"/>
      <c r="T50" s="3325"/>
      <c r="U50" s="3325"/>
      <c r="V50" s="3325"/>
      <c r="W50" s="3325"/>
      <c r="X50" s="2650"/>
      <c r="Y50" s="2650"/>
      <c r="Z50" s="2650"/>
      <c r="AA50" s="2650"/>
      <c r="AB50" s="2650"/>
      <c r="AC50" s="265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6"/>
    </row>
    <row r="56" spans="1:29" s="501" customFormat="1">
      <c r="A56" s="1140"/>
      <c r="B56" s="1141"/>
      <c r="C56" s="1145"/>
      <c r="D56" s="1140"/>
      <c r="E56" s="1140"/>
      <c r="F56" s="1140"/>
      <c r="G56" s="1140"/>
      <c r="H56" s="1140"/>
      <c r="I56" s="1140"/>
      <c r="J56" s="1140"/>
      <c r="K56" s="1143"/>
      <c r="L56" s="1144"/>
      <c r="M56" s="1140"/>
      <c r="N56" s="1140"/>
      <c r="O56" s="1140"/>
      <c r="P56" s="2676"/>
    </row>
    <row r="57" spans="1:29">
      <c r="A57" s="1139"/>
      <c r="B57" s="1141"/>
      <c r="C57" s="1145"/>
      <c r="D57" s="1139"/>
      <c r="E57" s="1139"/>
      <c r="F57" s="1139"/>
      <c r="G57" s="1139"/>
      <c r="H57" s="1139"/>
      <c r="I57" s="1139"/>
      <c r="J57" s="1139"/>
      <c r="K57" s="1100"/>
      <c r="L57" s="1101"/>
      <c r="M57" s="1139"/>
      <c r="N57" s="1139"/>
      <c r="O57" s="1139"/>
    </row>
    <row r="58" spans="1:29" ht="21.75" thickBot="1">
      <c r="A58" s="762" t="s">
        <v>2669</v>
      </c>
      <c r="B58" s="758"/>
      <c r="C58" s="763"/>
      <c r="D58" s="763"/>
      <c r="E58" s="763"/>
      <c r="F58" s="764"/>
      <c r="G58" s="764"/>
      <c r="H58" s="763"/>
      <c r="I58" s="763"/>
      <c r="J58" s="763"/>
      <c r="K58" s="765"/>
      <c r="L58" s="1156"/>
      <c r="M58" s="1154"/>
      <c r="N58" s="1154"/>
      <c r="O58" s="1154"/>
      <c r="P58" s="2677"/>
      <c r="Q58" s="503"/>
    </row>
    <row r="59" spans="1:29" s="507" customFormat="1" ht="15">
      <c r="A59" s="504" t="s">
        <v>2543</v>
      </c>
      <c r="B59" s="505"/>
      <c r="C59" s="1569" t="str">
        <f>YEAR(C7)&amp;"-"&amp;MONTH(C7)</f>
        <v>2019-10</v>
      </c>
      <c r="D59" s="1570">
        <f>EDATE(C59,-1)</f>
        <v>43709</v>
      </c>
      <c r="E59" s="1570">
        <f>EDATE(D59,-1)</f>
        <v>43678</v>
      </c>
      <c r="F59" s="1570">
        <f t="shared" ref="F59:O59" si="16">EDATE(E59,-1)</f>
        <v>43647</v>
      </c>
      <c r="G59" s="1570">
        <f t="shared" si="16"/>
        <v>43617</v>
      </c>
      <c r="H59" s="1570">
        <f t="shared" si="16"/>
        <v>43586</v>
      </c>
      <c r="I59" s="1570">
        <f t="shared" si="16"/>
        <v>43556</v>
      </c>
      <c r="J59" s="1570">
        <f t="shared" si="16"/>
        <v>43525</v>
      </c>
      <c r="K59" s="1570">
        <f t="shared" si="16"/>
        <v>43497</v>
      </c>
      <c r="L59" s="1570">
        <f t="shared" si="16"/>
        <v>43466</v>
      </c>
      <c r="M59" s="1570">
        <f t="shared" si="16"/>
        <v>43435</v>
      </c>
      <c r="N59" s="1570">
        <f t="shared" si="16"/>
        <v>43405</v>
      </c>
      <c r="O59" s="1570">
        <f t="shared" si="16"/>
        <v>43374</v>
      </c>
      <c r="P59" s="1566"/>
    </row>
    <row r="60" spans="1:29" s="116" customFormat="1" ht="15">
      <c r="A60" s="508"/>
      <c r="B60" s="509"/>
      <c r="C60" s="1568">
        <v>100</v>
      </c>
      <c r="D60" s="511"/>
      <c r="E60" s="511"/>
      <c r="F60" s="511"/>
      <c r="G60" s="511"/>
      <c r="H60" s="511"/>
      <c r="I60" s="511"/>
      <c r="J60" s="511"/>
      <c r="K60" s="511"/>
      <c r="L60" s="511"/>
      <c r="M60" s="512"/>
      <c r="N60" s="511"/>
      <c r="O60" s="512"/>
      <c r="P60" s="2678"/>
    </row>
    <row r="61" spans="1:29" s="116" customFormat="1" ht="15.75" thickBot="1">
      <c r="A61" s="514" t="s">
        <v>2580</v>
      </c>
      <c r="B61" s="515"/>
      <c r="C61" s="516"/>
      <c r="D61" s="517"/>
      <c r="E61" s="517"/>
      <c r="F61" s="517"/>
      <c r="G61" s="517"/>
      <c r="H61" s="517"/>
      <c r="I61" s="517"/>
      <c r="J61" s="517"/>
      <c r="K61" s="517"/>
      <c r="L61" s="517"/>
      <c r="M61" s="518"/>
      <c r="N61" s="517"/>
      <c r="O61" s="518"/>
      <c r="P61" s="2678"/>
      <c r="Q61" s="503"/>
    </row>
    <row r="62" spans="1:29" s="116" customFormat="1" ht="15">
      <c r="A62" s="520" t="s">
        <v>2545</v>
      </c>
      <c r="B62" s="509"/>
      <c r="C62" s="521" t="s">
        <v>2647</v>
      </c>
      <c r="D62" s="522"/>
      <c r="E62" s="522"/>
      <c r="F62" s="522"/>
      <c r="G62" s="522"/>
      <c r="H62" s="522"/>
      <c r="I62" s="522"/>
      <c r="J62" s="522"/>
      <c r="K62" s="522"/>
      <c r="L62" s="523"/>
      <c r="M62" s="524"/>
      <c r="N62" s="1146"/>
      <c r="O62" s="1146"/>
      <c r="P62" s="2679"/>
      <c r="Q62" s="503"/>
    </row>
    <row r="63" spans="1:29" s="116" customFormat="1" ht="15.75" thickBot="1">
      <c r="A63" s="520"/>
      <c r="B63" s="509"/>
      <c r="C63" s="510">
        <v>100</v>
      </c>
      <c r="D63" s="511"/>
      <c r="E63" s="511"/>
      <c r="F63" s="511"/>
      <c r="G63" s="511"/>
      <c r="H63" s="511"/>
      <c r="I63" s="511"/>
      <c r="J63" s="511"/>
      <c r="K63" s="511"/>
      <c r="L63" s="511"/>
      <c r="M63" s="513"/>
      <c r="N63" s="1146"/>
      <c r="O63" s="1146"/>
      <c r="P63" s="2678"/>
      <c r="Q63" s="503"/>
    </row>
    <row r="64" spans="1:29">
      <c r="A64" s="526" t="s">
        <v>2583</v>
      </c>
      <c r="B64" s="527" t="s">
        <v>2549</v>
      </c>
      <c r="C64" s="528">
        <f>C9</f>
        <v>0</v>
      </c>
      <c r="D64" s="529"/>
      <c r="E64" s="529"/>
      <c r="F64" s="529"/>
      <c r="G64" s="529"/>
      <c r="H64" s="529"/>
      <c r="I64" s="529"/>
      <c r="J64" s="529"/>
      <c r="K64" s="530"/>
      <c r="L64" s="531"/>
      <c r="M64" s="532"/>
      <c r="N64" s="1147"/>
      <c r="O64" s="1147"/>
      <c r="P64" s="2680"/>
      <c r="Q64" s="503"/>
    </row>
    <row r="65" spans="1:17" ht="15.75" thickBot="1">
      <c r="A65" s="533"/>
      <c r="B65" s="534"/>
      <c r="C65" s="535">
        <v>100</v>
      </c>
      <c r="D65" s="535"/>
      <c r="E65" s="535"/>
      <c r="F65" s="535"/>
      <c r="G65" s="535"/>
      <c r="H65" s="535"/>
      <c r="I65" s="535"/>
      <c r="J65" s="535"/>
      <c r="K65" s="535"/>
      <c r="L65" s="535"/>
      <c r="M65" s="536"/>
      <c r="N65" s="1148"/>
      <c r="O65" s="1148"/>
      <c r="P65" s="2680"/>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7"/>
      <c r="O66" s="1147"/>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80"/>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80"/>
      <c r="Q68" s="503"/>
    </row>
    <row r="69" spans="1:17" ht="15">
      <c r="A69" s="533"/>
      <c r="B69" s="547"/>
      <c r="C69" s="548"/>
      <c r="D69" s="548"/>
      <c r="E69" s="548"/>
      <c r="F69" s="548"/>
      <c r="G69" s="548"/>
      <c r="H69" s="548"/>
      <c r="I69" s="548"/>
      <c r="J69" s="548"/>
      <c r="K69" s="549"/>
      <c r="L69" s="550"/>
      <c r="M69" s="551"/>
      <c r="N69" s="1147"/>
      <c r="O69" s="1147"/>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80"/>
      <c r="Q70" s="503"/>
    </row>
    <row r="71" spans="1:17" s="470" customFormat="1" ht="15.75" thickTop="1">
      <c r="A71" s="552"/>
      <c r="B71" s="537">
        <f>B12</f>
        <v>111</v>
      </c>
      <c r="C71" s="553"/>
      <c r="D71" s="553"/>
      <c r="E71" s="553"/>
      <c r="F71" s="553"/>
      <c r="G71" s="553"/>
      <c r="H71" s="554"/>
      <c r="I71" s="554"/>
      <c r="J71" s="554"/>
      <c r="K71" s="554"/>
      <c r="L71" s="555"/>
      <c r="M71" s="556"/>
      <c r="N71" s="1149"/>
      <c r="O71" s="1149"/>
      <c r="P71" s="2681"/>
      <c r="Q71" s="558"/>
    </row>
    <row r="72" spans="1:17" s="470" customFormat="1" ht="15.75" thickBot="1">
      <c r="A72" s="552"/>
      <c r="B72" s="542"/>
      <c r="C72" s="559"/>
      <c r="D72" s="535"/>
      <c r="E72" s="535"/>
      <c r="F72" s="535"/>
      <c r="G72" s="535"/>
      <c r="H72" s="535"/>
      <c r="I72" s="535"/>
      <c r="J72" s="535"/>
      <c r="K72" s="535"/>
      <c r="L72" s="535"/>
      <c r="M72" s="536"/>
      <c r="N72" s="1148"/>
      <c r="O72" s="1148"/>
      <c r="P72" s="2681"/>
      <c r="Q72" s="558"/>
    </row>
    <row r="73" spans="1:17" s="470" customFormat="1" ht="15.75" thickTop="1">
      <c r="A73" s="552"/>
      <c r="B73" s="537">
        <f>B13</f>
        <v>111</v>
      </c>
      <c r="C73" s="553"/>
      <c r="D73" s="553"/>
      <c r="E73" s="553"/>
      <c r="F73" s="553"/>
      <c r="G73" s="553"/>
      <c r="H73" s="554"/>
      <c r="I73" s="554"/>
      <c r="J73" s="554"/>
      <c r="K73" s="554"/>
      <c r="L73" s="555"/>
      <c r="M73" s="556"/>
      <c r="N73" s="1149"/>
      <c r="O73" s="1149"/>
      <c r="P73" s="2682"/>
      <c r="Q73" s="560"/>
    </row>
    <row r="74" spans="1:17" s="470" customFormat="1" ht="15.75" thickBot="1">
      <c r="A74" s="552"/>
      <c r="B74" s="542"/>
      <c r="C74" s="559"/>
      <c r="D74" s="559"/>
      <c r="E74" s="559"/>
      <c r="F74" s="559"/>
      <c r="G74" s="559"/>
      <c r="H74" s="561"/>
      <c r="I74" s="561"/>
      <c r="J74" s="561"/>
      <c r="K74" s="561"/>
      <c r="L74" s="561"/>
      <c r="M74" s="562"/>
      <c r="N74" s="1149"/>
      <c r="O74" s="1149"/>
      <c r="P74" s="2681"/>
      <c r="Q74" s="558"/>
    </row>
    <row r="75" spans="1:17" s="470" customFormat="1" ht="15.75" thickTop="1">
      <c r="A75" s="552"/>
      <c r="B75" s="545">
        <f>B14</f>
        <v>111</v>
      </c>
      <c r="C75" s="522"/>
      <c r="D75" s="522"/>
      <c r="E75" s="522"/>
      <c r="F75" s="522"/>
      <c r="G75" s="522"/>
      <c r="H75" s="563"/>
      <c r="I75" s="563"/>
      <c r="J75" s="563"/>
      <c r="K75" s="563"/>
      <c r="L75" s="564"/>
      <c r="M75" s="565"/>
      <c r="N75" s="1149"/>
      <c r="O75" s="1149"/>
      <c r="P75" s="2683"/>
      <c r="Q75" s="558"/>
    </row>
    <row r="76" spans="1:17" s="470" customFormat="1" ht="15.75" thickBot="1">
      <c r="A76" s="567"/>
      <c r="B76" s="568"/>
      <c r="C76" s="569"/>
      <c r="D76" s="569"/>
      <c r="E76" s="569"/>
      <c r="F76" s="569"/>
      <c r="G76" s="569"/>
      <c r="H76" s="570"/>
      <c r="I76" s="570"/>
      <c r="J76" s="570"/>
      <c r="K76" s="570"/>
      <c r="L76" s="570"/>
      <c r="M76" s="571"/>
      <c r="N76" s="1149"/>
      <c r="O76" s="1149"/>
      <c r="P76" s="2681"/>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7"/>
      <c r="O77" s="1147"/>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80"/>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7"/>
      <c r="O79" s="1147"/>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80"/>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7"/>
      <c r="O81" s="1147"/>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80"/>
      <c r="Q82" s="503"/>
    </row>
    <row r="83" spans="1:17" ht="15.75" thickTop="1">
      <c r="A83" s="533"/>
      <c r="B83" s="545" t="s">
        <v>2684</v>
      </c>
      <c r="C83" s="659" t="s">
        <v>2670</v>
      </c>
      <c r="D83" s="659" t="s">
        <v>2671</v>
      </c>
      <c r="E83" s="659" t="s">
        <v>2672</v>
      </c>
      <c r="F83" s="659" t="s">
        <v>2673</v>
      </c>
      <c r="G83" s="659" t="s">
        <v>2674</v>
      </c>
      <c r="H83" s="538"/>
      <c r="I83" s="538"/>
      <c r="J83" s="538"/>
      <c r="K83" s="538"/>
      <c r="L83" s="538"/>
      <c r="M83" s="1377"/>
      <c r="N83" s="1148"/>
      <c r="O83" s="1148"/>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80"/>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7"/>
      <c r="O85" s="1147"/>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80"/>
      <c r="Q86" s="503"/>
    </row>
    <row r="87" spans="1:17" s="116" customFormat="1" ht="27.75" thickTop="1">
      <c r="A87" s="578"/>
      <c r="B87" s="537" t="s">
        <v>2694</v>
      </c>
      <c r="C87" s="553"/>
      <c r="D87" s="553"/>
      <c r="E87" s="553"/>
      <c r="F87" s="553"/>
      <c r="G87" s="553"/>
      <c r="H87" s="553"/>
      <c r="I87" s="553"/>
      <c r="J87" s="553"/>
      <c r="K87" s="553"/>
      <c r="L87" s="579"/>
      <c r="M87" s="580"/>
      <c r="N87" s="1146"/>
      <c r="O87" s="1146"/>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80"/>
      <c r="Q88" s="503"/>
    </row>
    <row r="89" spans="1:17" s="116" customFormat="1" ht="15.75" thickTop="1">
      <c r="A89" s="578"/>
      <c r="B89" s="537" t="str">
        <f>B27</f>
        <v>楼层</v>
      </c>
      <c r="C89" s="553"/>
      <c r="D89" s="553"/>
      <c r="E89" s="553"/>
      <c r="F89" s="2631"/>
      <c r="G89" s="553"/>
      <c r="H89" s="553"/>
      <c r="I89" s="553"/>
      <c r="J89" s="553"/>
      <c r="K89" s="553"/>
      <c r="L89" s="553"/>
      <c r="M89" s="580"/>
      <c r="N89" s="1146"/>
      <c r="O89" s="1146"/>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80"/>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81"/>
      <c r="Q92" s="558"/>
    </row>
    <row r="93" spans="1:17" ht="15.75" thickTop="1">
      <c r="A93" s="533"/>
      <c r="B93" s="537">
        <f>B29</f>
        <v>111</v>
      </c>
      <c r="C93" s="553"/>
      <c r="D93" s="553"/>
      <c r="E93" s="553"/>
      <c r="F93" s="553"/>
      <c r="G93" s="553"/>
      <c r="H93" s="553"/>
      <c r="I93" s="553"/>
      <c r="J93" s="553"/>
      <c r="K93" s="553"/>
      <c r="L93" s="579"/>
      <c r="M93" s="580"/>
      <c r="N93" s="1147"/>
      <c r="O93" s="1147"/>
      <c r="P93" s="2680"/>
      <c r="Q93" s="503"/>
    </row>
    <row r="94" spans="1:17" ht="15.75" thickBot="1">
      <c r="A94" s="533"/>
      <c r="B94" s="542"/>
      <c r="C94" s="559"/>
      <c r="D94" s="535"/>
      <c r="E94" s="535"/>
      <c r="F94" s="535"/>
      <c r="G94" s="535"/>
      <c r="H94" s="535"/>
      <c r="I94" s="535"/>
      <c r="J94" s="535"/>
      <c r="K94" s="535"/>
      <c r="L94" s="535"/>
      <c r="M94" s="536"/>
      <c r="N94" s="1148"/>
      <c r="O94" s="1148"/>
      <c r="P94" s="2680"/>
      <c r="Q94" s="503"/>
    </row>
    <row r="95" spans="1:17" ht="15.75" thickTop="1">
      <c r="A95" s="533"/>
      <c r="B95" s="537">
        <f>B30</f>
        <v>111</v>
      </c>
      <c r="C95" s="553"/>
      <c r="D95" s="553"/>
      <c r="E95" s="553"/>
      <c r="F95" s="553"/>
      <c r="G95" s="582"/>
      <c r="H95" s="582"/>
      <c r="I95" s="582"/>
      <c r="J95" s="582"/>
      <c r="K95" s="583"/>
      <c r="L95" s="584"/>
      <c r="M95" s="585"/>
      <c r="N95" s="1147"/>
      <c r="O95" s="1147"/>
      <c r="P95" s="2680"/>
      <c r="Q95" s="503"/>
    </row>
    <row r="96" spans="1:17" ht="15.75" thickBot="1">
      <c r="A96" s="533"/>
      <c r="B96" s="542"/>
      <c r="C96" s="559"/>
      <c r="D96" s="559"/>
      <c r="E96" s="559"/>
      <c r="F96" s="559"/>
      <c r="G96" s="535"/>
      <c r="H96" s="535"/>
      <c r="I96" s="535"/>
      <c r="J96" s="535"/>
      <c r="K96" s="535"/>
      <c r="L96" s="535"/>
      <c r="M96" s="536"/>
      <c r="N96" s="1148"/>
      <c r="O96" s="1148"/>
      <c r="P96" s="2680"/>
      <c r="Q96" s="503"/>
    </row>
    <row r="97" spans="1:17" ht="15.75" thickTop="1">
      <c r="A97" s="533"/>
      <c r="B97" s="537">
        <f>B31</f>
        <v>111</v>
      </c>
      <c r="C97" s="553"/>
      <c r="D97" s="553"/>
      <c r="E97" s="553"/>
      <c r="F97" s="553"/>
      <c r="G97" s="582"/>
      <c r="H97" s="582"/>
      <c r="I97" s="582"/>
      <c r="J97" s="582"/>
      <c r="K97" s="583"/>
      <c r="L97" s="584"/>
      <c r="M97" s="585"/>
      <c r="N97" s="1147"/>
      <c r="O97" s="1147"/>
      <c r="P97" s="2680"/>
      <c r="Q97" s="503"/>
    </row>
    <row r="98" spans="1:17" ht="15.75" thickBot="1">
      <c r="A98" s="533"/>
      <c r="B98" s="542"/>
      <c r="C98" s="559"/>
      <c r="D98" s="535"/>
      <c r="E98" s="535"/>
      <c r="F98" s="535"/>
      <c r="G98" s="535"/>
      <c r="H98" s="535"/>
      <c r="I98" s="535"/>
      <c r="J98" s="535"/>
      <c r="K98" s="535"/>
      <c r="L98" s="535"/>
      <c r="M98" s="536"/>
      <c r="N98" s="1148"/>
      <c r="O98" s="1148"/>
      <c r="P98" s="2680"/>
      <c r="Q98" s="503"/>
    </row>
    <row r="99" spans="1:17" ht="15.75" thickTop="1">
      <c r="A99" s="533"/>
      <c r="B99" s="545">
        <f>B32</f>
        <v>111</v>
      </c>
      <c r="C99" s="522"/>
      <c r="D99" s="522"/>
      <c r="E99" s="522"/>
      <c r="F99" s="522"/>
      <c r="G99" s="586"/>
      <c r="H99" s="586"/>
      <c r="I99" s="586"/>
      <c r="J99" s="586"/>
      <c r="K99" s="587"/>
      <c r="L99" s="588"/>
      <c r="M99" s="589"/>
      <c r="N99" s="1147"/>
      <c r="O99" s="1147"/>
      <c r="P99" s="2680"/>
      <c r="Q99" s="503"/>
    </row>
    <row r="100" spans="1:17" ht="15.75" thickBot="1">
      <c r="A100" s="2632"/>
      <c r="B100" s="568"/>
      <c r="C100" s="569"/>
      <c r="D100" s="569"/>
      <c r="E100" s="569"/>
      <c r="F100" s="569"/>
      <c r="G100" s="590"/>
      <c r="H100" s="590"/>
      <c r="I100" s="590"/>
      <c r="J100" s="590"/>
      <c r="K100" s="590"/>
      <c r="L100" s="590"/>
      <c r="M100" s="591"/>
      <c r="N100" s="1148"/>
      <c r="O100" s="1148"/>
      <c r="P100" s="2680"/>
      <c r="Q100" s="503"/>
    </row>
    <row r="101" spans="1:17">
      <c r="A101" s="526" t="s">
        <v>2558</v>
      </c>
      <c r="B101" s="527" t="s">
        <v>2607</v>
      </c>
      <c r="C101" s="529"/>
      <c r="D101" s="529"/>
      <c r="E101" s="529"/>
      <c r="F101" s="529"/>
      <c r="G101" s="529"/>
      <c r="H101" s="529"/>
      <c r="I101" s="529"/>
      <c r="J101" s="529"/>
      <c r="K101" s="530"/>
      <c r="L101" s="531"/>
      <c r="M101" s="532"/>
      <c r="N101" s="1147"/>
      <c r="O101" s="1147"/>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80"/>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80"/>
      <c r="Q103" s="503"/>
    </row>
    <row r="104" spans="1:17" s="470" customFormat="1">
      <c r="A104" s="592"/>
      <c r="B104" s="593"/>
      <c r="C104" s="594"/>
      <c r="D104" s="594"/>
      <c r="E104" s="594"/>
      <c r="F104" s="594"/>
      <c r="G104" s="594"/>
      <c r="H104" s="594"/>
      <c r="I104" s="594"/>
      <c r="J104" s="595"/>
      <c r="K104" s="595"/>
      <c r="L104" s="596"/>
      <c r="M104" s="597"/>
      <c r="N104" s="1149"/>
      <c r="O104" s="1149"/>
      <c r="P104" s="2681"/>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81"/>
      <c r="Q105" s="558"/>
    </row>
    <row r="106" spans="1:17" ht="15" thickTop="1">
      <c r="A106" s="598"/>
      <c r="B106" s="537" t="s">
        <v>2609</v>
      </c>
      <c r="C106" s="553"/>
      <c r="D106" s="553"/>
      <c r="E106" s="582"/>
      <c r="F106" s="582"/>
      <c r="G106" s="582"/>
      <c r="H106" s="582"/>
      <c r="I106" s="582"/>
      <c r="J106" s="582"/>
      <c r="K106" s="583"/>
      <c r="L106" s="584"/>
      <c r="M106" s="585"/>
      <c r="N106" s="1147"/>
      <c r="O106" s="1147"/>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80"/>
      <c r="Q107" s="503"/>
    </row>
    <row r="108" spans="1:17" ht="15" thickTop="1">
      <c r="A108" s="598"/>
      <c r="B108" s="537" t="s">
        <v>2611</v>
      </c>
      <c r="C108" s="553"/>
      <c r="D108" s="553"/>
      <c r="E108" s="553"/>
      <c r="F108" s="582"/>
      <c r="G108" s="582"/>
      <c r="H108" s="582"/>
      <c r="I108" s="582"/>
      <c r="J108" s="582"/>
      <c r="K108" s="583"/>
      <c r="L108" s="584"/>
      <c r="M108" s="585"/>
      <c r="N108" s="1147"/>
      <c r="O108" s="1147"/>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80"/>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80"/>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80"/>
      <c r="Q112" s="503"/>
    </row>
    <row r="113" spans="1:17" s="470" customFormat="1" ht="15" thickTop="1">
      <c r="A113" s="592"/>
      <c r="B113" s="537" t="s">
        <v>2695</v>
      </c>
      <c r="C113" s="553"/>
      <c r="D113" s="553"/>
      <c r="E113" s="553"/>
      <c r="F113" s="553"/>
      <c r="G113" s="553"/>
      <c r="H113" s="582"/>
      <c r="I113" s="582"/>
      <c r="J113" s="582"/>
      <c r="K113" s="583"/>
      <c r="L113" s="584"/>
      <c r="M113" s="585"/>
      <c r="N113" s="1149"/>
      <c r="O113" s="1149"/>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81"/>
      <c r="Q114" s="558"/>
    </row>
    <row r="115" spans="1:17" ht="15" thickTop="1">
      <c r="A115" s="598"/>
      <c r="B115" s="537" t="s">
        <v>2612</v>
      </c>
      <c r="C115" s="553"/>
      <c r="D115" s="553"/>
      <c r="E115" s="582"/>
      <c r="F115" s="582"/>
      <c r="G115" s="582"/>
      <c r="H115" s="582"/>
      <c r="I115" s="582"/>
      <c r="J115" s="582"/>
      <c r="K115" s="583"/>
      <c r="L115" s="584"/>
      <c r="M115" s="585"/>
      <c r="N115" s="1147"/>
      <c r="O115" s="1147"/>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80"/>
      <c r="Q116" s="503"/>
    </row>
    <row r="117" spans="1:17" ht="15" thickTop="1">
      <c r="A117" s="598"/>
      <c r="B117" s="537" t="s">
        <v>2613</v>
      </c>
      <c r="C117" s="553"/>
      <c r="D117" s="553"/>
      <c r="E117" s="553"/>
      <c r="F117" s="553"/>
      <c r="G117" s="553"/>
      <c r="H117" s="582"/>
      <c r="I117" s="582"/>
      <c r="J117" s="582"/>
      <c r="K117" s="583"/>
      <c r="L117" s="584"/>
      <c r="M117" s="585"/>
      <c r="N117" s="1147"/>
      <c r="O117" s="1147"/>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80"/>
      <c r="Q118" s="503"/>
    </row>
    <row r="119" spans="1:17" ht="15" thickTop="1">
      <c r="A119" s="598"/>
      <c r="B119" s="635" t="s">
        <v>2696</v>
      </c>
      <c r="C119" s="582"/>
      <c r="D119" s="582"/>
      <c r="E119" s="582"/>
      <c r="F119" s="582"/>
      <c r="G119" s="582"/>
      <c r="H119" s="582"/>
      <c r="I119" s="582"/>
      <c r="J119" s="582"/>
      <c r="K119" s="582"/>
      <c r="L119" s="2685"/>
      <c r="M119" s="2686"/>
      <c r="N119" s="1148"/>
      <c r="O119" s="1148"/>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80"/>
      <c r="Q120" s="503"/>
    </row>
    <row r="121" spans="1:17" s="470" customFormat="1" ht="15" thickTop="1">
      <c r="A121" s="592"/>
      <c r="B121" s="537" t="s">
        <v>2679</v>
      </c>
      <c r="C121" s="553"/>
      <c r="D121" s="553"/>
      <c r="E121" s="553"/>
      <c r="F121" s="582"/>
      <c r="G121" s="554"/>
      <c r="H121" s="554"/>
      <c r="I121" s="554"/>
      <c r="J121" s="554"/>
      <c r="K121" s="554"/>
      <c r="L121" s="555"/>
      <c r="M121" s="556"/>
      <c r="N121" s="1149"/>
      <c r="O121" s="1149"/>
      <c r="P121" s="2681"/>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81"/>
      <c r="Q122" s="558"/>
    </row>
    <row r="123" spans="1:17" ht="15" thickTop="1">
      <c r="A123" s="598"/>
      <c r="B123" s="537" t="s">
        <v>2615</v>
      </c>
      <c r="C123" s="553"/>
      <c r="D123" s="553"/>
      <c r="E123" s="553"/>
      <c r="F123" s="582"/>
      <c r="G123" s="582"/>
      <c r="H123" s="582"/>
      <c r="I123" s="582"/>
      <c r="J123" s="582"/>
      <c r="K123" s="583"/>
      <c r="L123" s="584"/>
      <c r="M123" s="585"/>
      <c r="N123" s="1147"/>
      <c r="O123" s="1147"/>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80"/>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7"/>
      <c r="O125" s="1147"/>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80"/>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81"/>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81"/>
      <c r="Q128" s="558"/>
    </row>
    <row r="129" spans="1:17" ht="15" thickTop="1">
      <c r="A129" s="598"/>
      <c r="B129" s="537">
        <f>B46</f>
        <v>111</v>
      </c>
      <c r="C129" s="553"/>
      <c r="D129" s="553"/>
      <c r="E129" s="553"/>
      <c r="F129" s="553"/>
      <c r="G129" s="582"/>
      <c r="H129" s="582"/>
      <c r="I129" s="582"/>
      <c r="J129" s="582"/>
      <c r="K129" s="583"/>
      <c r="L129" s="584"/>
      <c r="M129" s="585"/>
      <c r="N129" s="1147"/>
      <c r="O129" s="1147"/>
      <c r="P129" s="2680"/>
      <c r="Q129" s="503"/>
    </row>
    <row r="130" spans="1:17" ht="15.75" thickBot="1">
      <c r="A130" s="533"/>
      <c r="B130" s="542"/>
      <c r="C130" s="559"/>
      <c r="D130" s="559"/>
      <c r="E130" s="559"/>
      <c r="F130" s="559"/>
      <c r="G130" s="535"/>
      <c r="H130" s="535"/>
      <c r="I130" s="535"/>
      <c r="J130" s="535"/>
      <c r="K130" s="535"/>
      <c r="L130" s="535"/>
      <c r="M130" s="536"/>
      <c r="N130" s="1148"/>
      <c r="O130" s="1148"/>
      <c r="P130" s="2680"/>
      <c r="Q130" s="503"/>
    </row>
    <row r="131" spans="1:17" ht="15" thickTop="1">
      <c r="A131" s="598"/>
      <c r="B131" s="545">
        <f>B47</f>
        <v>111</v>
      </c>
      <c r="C131" s="522"/>
      <c r="D131" s="522"/>
      <c r="E131" s="522"/>
      <c r="F131" s="522"/>
      <c r="G131" s="586"/>
      <c r="H131" s="586"/>
      <c r="I131" s="586"/>
      <c r="J131" s="586"/>
      <c r="K131" s="522"/>
      <c r="L131" s="523"/>
      <c r="M131" s="589"/>
      <c r="N131" s="1147"/>
      <c r="O131" s="1147"/>
      <c r="P131" s="2680"/>
      <c r="Q131" s="503"/>
    </row>
    <row r="132" spans="1:17" ht="15.75" thickBot="1">
      <c r="A132" s="2632"/>
      <c r="B132" s="568"/>
      <c r="C132" s="569"/>
      <c r="D132" s="569"/>
      <c r="E132" s="569"/>
      <c r="F132" s="569"/>
      <c r="G132" s="590"/>
      <c r="H132" s="590"/>
      <c r="I132" s="590"/>
      <c r="J132" s="590"/>
      <c r="K132" s="590"/>
      <c r="L132" s="590"/>
      <c r="M132" s="591"/>
      <c r="N132" s="1148"/>
      <c r="O132" s="1148"/>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2523</v>
      </c>
      <c r="B1" s="2665" t="s">
        <v>2697</v>
      </c>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IF(C2="——",ROUND(C43*D3/10000,0),ROUND(C43*D3/10000,0)-D2)</f>
        <v>#DIV/0!</v>
      </c>
      <c r="C2" s="2585"/>
      <c r="D2" s="1119" t="e">
        <f ca="1">SUMIF(INDIRECT("'"&amp;F2&amp;"'"&amp;"!A:A"),"承租人权益价值",INDIRECT("'"&amp;F2&amp;"'"&amp;"!c:c"))</f>
        <v>#REF!</v>
      </c>
      <c r="E2" s="2586" t="s">
        <v>2326</v>
      </c>
      <c r="F2" s="2587"/>
      <c r="G2" s="1120"/>
      <c r="H2" s="1120"/>
      <c r="I2" s="1120"/>
      <c r="J2" s="1120"/>
      <c r="K2" s="1120"/>
      <c r="L2" s="1123"/>
      <c r="M2" s="1124"/>
      <c r="N2" s="1124"/>
      <c r="O2" s="1124"/>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71473.9099999998</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30" t="s">
        <v>2643</v>
      </c>
      <c r="AC4" s="3229" t="s">
        <v>2644</v>
      </c>
    </row>
    <row r="5" spans="1:29" ht="15">
      <c r="A5" s="403"/>
      <c r="B5" s="404"/>
      <c r="C5" s="3240" t="s">
        <v>2537</v>
      </c>
      <c r="D5" s="3241"/>
      <c r="E5" s="3309" t="s">
        <v>2538</v>
      </c>
      <c r="F5" s="3239"/>
      <c r="G5" s="3240" t="s">
        <v>2539</v>
      </c>
      <c r="H5" s="3241"/>
      <c r="I5" s="3240" t="s">
        <v>2540</v>
      </c>
      <c r="J5" s="3241"/>
      <c r="K5" s="609"/>
      <c r="L5" s="1125"/>
      <c r="M5" s="1126"/>
      <c r="N5" s="1126"/>
      <c r="O5" s="1126"/>
      <c r="P5" s="3255"/>
      <c r="Q5" s="3256"/>
      <c r="R5" s="3236"/>
      <c r="S5" s="3237"/>
      <c r="T5" s="3236"/>
      <c r="U5" s="3237"/>
      <c r="V5" s="3261"/>
      <c r="W5" s="3261"/>
      <c r="X5" s="1808"/>
      <c r="Y5" s="3236"/>
      <c r="Z5" s="3237"/>
      <c r="AA5" s="3230"/>
      <c r="AB5" s="3230"/>
      <c r="AC5" s="3230"/>
    </row>
    <row r="6" spans="1:29" ht="15.75" thickBot="1">
      <c r="A6" s="405"/>
      <c r="B6" s="406"/>
      <c r="C6" s="3242" t="s">
        <v>2541</v>
      </c>
      <c r="D6" s="3243"/>
      <c r="E6" s="3310" t="s">
        <v>2541</v>
      </c>
      <c r="F6" s="3246"/>
      <c r="G6" s="3242" t="s">
        <v>2541</v>
      </c>
      <c r="H6" s="3243"/>
      <c r="I6" s="3242" t="s">
        <v>2541</v>
      </c>
      <c r="J6" s="3243"/>
      <c r="K6" s="609" t="s">
        <v>2542</v>
      </c>
      <c r="L6" s="1125"/>
      <c r="M6" s="1126"/>
      <c r="N6" s="1126"/>
      <c r="O6" s="1126"/>
      <c r="P6" s="3257"/>
      <c r="Q6" s="3258"/>
      <c r="R6" s="3236"/>
      <c r="S6" s="3237"/>
      <c r="T6" s="3259"/>
      <c r="U6" s="3260"/>
      <c r="V6" s="3261"/>
      <c r="W6" s="3261"/>
      <c r="X6" s="1808"/>
      <c r="Y6" s="3259"/>
      <c r="Z6" s="3260"/>
      <c r="AA6" s="3231"/>
      <c r="AB6" s="3231"/>
      <c r="AC6" s="3231"/>
    </row>
    <row r="7" spans="1:29" s="116" customFormat="1" ht="15.75" thickBot="1">
      <c r="A7" s="407" t="s">
        <v>2543</v>
      </c>
      <c r="B7" s="408"/>
      <c r="C7" s="409">
        <f>'数据-取费表'!B2</f>
        <v>43758</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32" t="s">
        <v>2544</v>
      </c>
      <c r="Q7" s="3262"/>
      <c r="R7" s="769" t="s">
        <v>17</v>
      </c>
      <c r="S7" s="770">
        <f t="shared" ref="S7:S15" si="0">F7</f>
        <v>0</v>
      </c>
      <c r="T7" s="769" t="s">
        <v>17</v>
      </c>
      <c r="U7" s="770">
        <f t="shared" ref="U7:U15" si="1">H7</f>
        <v>0</v>
      </c>
      <c r="V7" s="769" t="s">
        <v>17</v>
      </c>
      <c r="W7" s="770">
        <f t="shared" ref="W7:W15" si="2">J7</f>
        <v>0</v>
      </c>
      <c r="X7" s="771"/>
      <c r="Y7" s="3232" t="s">
        <v>2544</v>
      </c>
      <c r="Z7" s="3233"/>
      <c r="AA7" s="772" t="e">
        <f>D7/F7</f>
        <v>#DIV/0!</v>
      </c>
      <c r="AB7" s="772" t="e">
        <f>D7/H7</f>
        <v>#DIV/0!</v>
      </c>
      <c r="AC7" s="772"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32" t="s">
        <v>2547</v>
      </c>
      <c r="Q8" s="3233"/>
      <c r="R8" s="769" t="s">
        <v>17</v>
      </c>
      <c r="S8" s="770">
        <f t="shared" si="0"/>
        <v>0</v>
      </c>
      <c r="T8" s="769" t="s">
        <v>17</v>
      </c>
      <c r="U8" s="770">
        <f t="shared" si="1"/>
        <v>0</v>
      </c>
      <c r="V8" s="769" t="s">
        <v>17</v>
      </c>
      <c r="W8" s="770">
        <f t="shared" si="2"/>
        <v>0</v>
      </c>
      <c r="X8" s="771"/>
      <c r="Y8" s="3232" t="s">
        <v>2547</v>
      </c>
      <c r="Z8" s="3233"/>
      <c r="AA8" s="772" t="e">
        <f t="shared" ref="AA8:AA40" si="3">D8/F8</f>
        <v>#DIV/0!</v>
      </c>
      <c r="AB8" s="772" t="e">
        <f t="shared" ref="AB8:AB40" si="4">D8/H8</f>
        <v>#DIV/0!</v>
      </c>
      <c r="AC8" s="772"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248"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248"/>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248"/>
      <c r="Q11" s="1790"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27"/>
      <c r="M12" s="1128"/>
      <c r="N12" s="1128"/>
      <c r="O12" s="1129"/>
      <c r="P12" s="3248"/>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35"/>
      <c r="M13" s="1126"/>
      <c r="N13" s="1126"/>
      <c r="O13" s="1134"/>
      <c r="P13" s="3248"/>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35"/>
      <c r="M14" s="1126"/>
      <c r="N14" s="1126"/>
      <c r="O14" s="1134"/>
      <c r="P14" s="3248"/>
      <c r="Q14" s="1790">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57">
      <c r="A15" s="439" t="s">
        <v>2554</v>
      </c>
      <c r="B15" s="69" t="s">
        <v>2698</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63" t="s">
        <v>2555</v>
      </c>
      <c r="Q15" s="1805" t="str">
        <f t="shared" si="6"/>
        <v>产业集聚程度</v>
      </c>
      <c r="R15" s="773" t="s">
        <v>17</v>
      </c>
      <c r="S15" s="774">
        <f t="shared" si="0"/>
        <v>100</v>
      </c>
      <c r="T15" s="773" t="s">
        <v>17</v>
      </c>
      <c r="U15" s="774">
        <f t="shared" si="1"/>
        <v>100</v>
      </c>
      <c r="V15" s="773" t="s">
        <v>17</v>
      </c>
      <c r="W15" s="774">
        <f t="shared" si="2"/>
        <v>100</v>
      </c>
      <c r="X15" s="1808"/>
      <c r="Y15" s="3263" t="s">
        <v>2555</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264"/>
      <c r="Q16" s="1805"/>
      <c r="R16" s="773"/>
      <c r="S16" s="774"/>
      <c r="T16" s="773"/>
      <c r="U16" s="774"/>
      <c r="V16" s="773"/>
      <c r="W16" s="774"/>
      <c r="X16" s="1808"/>
      <c r="Y16" s="3264"/>
      <c r="Z16" s="1809"/>
      <c r="AA16" s="1806">
        <v>1</v>
      </c>
      <c r="AB16" s="1806">
        <v>1</v>
      </c>
      <c r="AC16" s="1806">
        <v>1</v>
      </c>
    </row>
    <row r="17" spans="1:29" ht="85.5">
      <c r="A17" s="427"/>
      <c r="B17" s="450" t="s">
        <v>2097</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64"/>
      <c r="Q17" s="1805" t="str">
        <f>B17</f>
        <v>交通便捷度</v>
      </c>
      <c r="R17" s="773" t="s">
        <v>17</v>
      </c>
      <c r="S17" s="774">
        <f>F17</f>
        <v>100</v>
      </c>
      <c r="T17" s="773" t="s">
        <v>17</v>
      </c>
      <c r="U17" s="774">
        <f>H17</f>
        <v>100</v>
      </c>
      <c r="V17" s="773" t="s">
        <v>17</v>
      </c>
      <c r="W17" s="774">
        <f>J17</f>
        <v>100</v>
      </c>
      <c r="X17" s="1808"/>
      <c r="Y17" s="3264"/>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34"/>
      <c r="P18" s="3264"/>
      <c r="Q18" s="1805"/>
      <c r="R18" s="773"/>
      <c r="S18" s="774"/>
      <c r="T18" s="773"/>
      <c r="U18" s="774"/>
      <c r="V18" s="773"/>
      <c r="W18" s="774"/>
      <c r="X18" s="1808"/>
      <c r="Y18" s="3264"/>
      <c r="Z18" s="1809"/>
      <c r="AA18" s="1806">
        <v>1</v>
      </c>
      <c r="AB18" s="1806">
        <v>1</v>
      </c>
      <c r="AC18" s="1806">
        <v>1</v>
      </c>
    </row>
    <row r="19" spans="1:29" ht="42.75">
      <c r="A19" s="427"/>
      <c r="B19" s="450" t="s">
        <v>2683</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64"/>
      <c r="Q19" s="1805" t="str">
        <f>B19</f>
        <v>公共配套设施</v>
      </c>
      <c r="R19" s="773" t="s">
        <v>17</v>
      </c>
      <c r="S19" s="774">
        <f>F19</f>
        <v>100</v>
      </c>
      <c r="T19" s="773" t="s">
        <v>17</v>
      </c>
      <c r="U19" s="774">
        <f>H19</f>
        <v>100</v>
      </c>
      <c r="V19" s="773" t="s">
        <v>17</v>
      </c>
      <c r="W19" s="774">
        <f>J19</f>
        <v>100</v>
      </c>
      <c r="X19" s="1808"/>
      <c r="Y19" s="3264"/>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34"/>
      <c r="P20" s="3264"/>
      <c r="Q20" s="1805"/>
      <c r="R20" s="773"/>
      <c r="S20" s="774"/>
      <c r="T20" s="773"/>
      <c r="U20" s="774"/>
      <c r="V20" s="773"/>
      <c r="W20" s="774"/>
      <c r="X20" s="1808"/>
      <c r="Y20" s="3264"/>
      <c r="Z20" s="1809"/>
      <c r="AA20" s="1806">
        <v>1</v>
      </c>
      <c r="AB20" s="1806">
        <v>1</v>
      </c>
      <c r="AC20" s="1806">
        <v>1</v>
      </c>
    </row>
    <row r="21" spans="1:29" ht="28.5">
      <c r="A21" s="427"/>
      <c r="B21" s="1379" t="s">
        <v>2684</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64"/>
      <c r="Q21" s="1805" t="str">
        <f>B21</f>
        <v>基础设施水平</v>
      </c>
      <c r="R21" s="773" t="s">
        <v>17</v>
      </c>
      <c r="S21" s="774">
        <f>F21</f>
        <v>100</v>
      </c>
      <c r="T21" s="773" t="s">
        <v>17</v>
      </c>
      <c r="U21" s="774">
        <f>H21</f>
        <v>100</v>
      </c>
      <c r="V21" s="773" t="s">
        <v>17</v>
      </c>
      <c r="W21" s="774">
        <f>J21</f>
        <v>100</v>
      </c>
      <c r="X21" s="1808"/>
      <c r="Y21" s="3264"/>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34"/>
      <c r="P22" s="3264"/>
      <c r="Q22" s="1805"/>
      <c r="R22" s="773"/>
      <c r="S22" s="774"/>
      <c r="T22" s="773"/>
      <c r="U22" s="774"/>
      <c r="V22" s="773"/>
      <c r="W22" s="774"/>
      <c r="X22" s="1808"/>
      <c r="Y22" s="3264"/>
      <c r="Z22" s="1809"/>
      <c r="AA22" s="1806">
        <v>1</v>
      </c>
      <c r="AB22" s="1806">
        <v>1</v>
      </c>
      <c r="AC22" s="1806">
        <v>1</v>
      </c>
    </row>
    <row r="23" spans="1:29" ht="71.25">
      <c r="A23" s="427"/>
      <c r="B23" s="450" t="s">
        <v>2685</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64"/>
      <c r="Q23" s="1805" t="str">
        <f>B23</f>
        <v>环境质量</v>
      </c>
      <c r="R23" s="773" t="s">
        <v>17</v>
      </c>
      <c r="S23" s="774">
        <f>F23</f>
        <v>100</v>
      </c>
      <c r="T23" s="773" t="s">
        <v>17</v>
      </c>
      <c r="U23" s="774">
        <f>H23</f>
        <v>100</v>
      </c>
      <c r="V23" s="773" t="s">
        <v>17</v>
      </c>
      <c r="W23" s="774">
        <f>J23</f>
        <v>100</v>
      </c>
      <c r="X23" s="1808"/>
      <c r="Y23" s="3264"/>
      <c r="Z23" s="1809" t="str">
        <f>Q23</f>
        <v>环境质量</v>
      </c>
      <c r="AA23" s="1806">
        <f t="shared" si="3"/>
        <v>1</v>
      </c>
      <c r="AB23" s="1806">
        <f t="shared" si="4"/>
        <v>1</v>
      </c>
      <c r="AC23" s="1806">
        <f t="shared" si="5"/>
        <v>1</v>
      </c>
    </row>
    <row r="24" spans="1:29" ht="15">
      <c r="A24" s="427"/>
      <c r="B24" s="1379"/>
      <c r="C24" s="446"/>
      <c r="D24" s="447"/>
      <c r="E24" s="2603"/>
      <c r="F24" s="448"/>
      <c r="G24" s="2602"/>
      <c r="H24" s="447"/>
      <c r="I24" s="2603"/>
      <c r="J24" s="447"/>
      <c r="K24" s="614"/>
      <c r="L24" s="1135"/>
      <c r="M24" s="1126"/>
      <c r="N24" s="1126"/>
      <c r="O24" s="1134"/>
      <c r="P24" s="3264"/>
      <c r="Q24" s="1805"/>
      <c r="R24" s="773"/>
      <c r="S24" s="774"/>
      <c r="T24" s="773"/>
      <c r="U24" s="774"/>
      <c r="V24" s="773"/>
      <c r="W24" s="774"/>
      <c r="X24" s="1808"/>
      <c r="Y24" s="3264"/>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64"/>
      <c r="Q25" s="1805">
        <f>B25</f>
        <v>111</v>
      </c>
      <c r="R25" s="773" t="s">
        <v>17</v>
      </c>
      <c r="S25" s="774">
        <f>F25</f>
        <v>100</v>
      </c>
      <c r="T25" s="773" t="s">
        <v>17</v>
      </c>
      <c r="U25" s="774">
        <f>H25</f>
        <v>100</v>
      </c>
      <c r="V25" s="773" t="s">
        <v>17</v>
      </c>
      <c r="W25" s="774">
        <f>J25</f>
        <v>100</v>
      </c>
      <c r="X25" s="1808"/>
      <c r="Y25" s="3264"/>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64"/>
      <c r="Q26" s="1805">
        <f t="shared" ref="Q26:Q40" si="11">B26</f>
        <v>111</v>
      </c>
      <c r="R26" s="773" t="s">
        <v>17</v>
      </c>
      <c r="S26" s="774">
        <f>F26</f>
        <v>100</v>
      </c>
      <c r="T26" s="773" t="s">
        <v>17</v>
      </c>
      <c r="U26" s="774">
        <f>H26</f>
        <v>100</v>
      </c>
      <c r="V26" s="773" t="s">
        <v>17</v>
      </c>
      <c r="W26" s="774">
        <f>J26</f>
        <v>100</v>
      </c>
      <c r="X26" s="1808"/>
      <c r="Y26" s="3264"/>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64"/>
      <c r="Q27" s="1790">
        <f t="shared" si="11"/>
        <v>111</v>
      </c>
      <c r="R27" s="769" t="s">
        <v>17</v>
      </c>
      <c r="S27" s="770">
        <f>F27</f>
        <v>100</v>
      </c>
      <c r="T27" s="769" t="s">
        <v>17</v>
      </c>
      <c r="U27" s="770">
        <f>H27</f>
        <v>100</v>
      </c>
      <c r="V27" s="769" t="s">
        <v>17</v>
      </c>
      <c r="W27" s="770">
        <f>J27</f>
        <v>100</v>
      </c>
      <c r="X27" s="771"/>
      <c r="Y27" s="3264"/>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64"/>
      <c r="Q28" s="1805">
        <f t="shared" si="11"/>
        <v>111</v>
      </c>
      <c r="R28" s="773" t="s">
        <v>17</v>
      </c>
      <c r="S28" s="774">
        <f t="shared" ref="S28:S40" si="12">F28</f>
        <v>100</v>
      </c>
      <c r="T28" s="773" t="s">
        <v>17</v>
      </c>
      <c r="U28" s="774">
        <f t="shared" ref="U28:U40" si="13">H28</f>
        <v>100</v>
      </c>
      <c r="V28" s="773" t="s">
        <v>17</v>
      </c>
      <c r="W28" s="774">
        <f t="shared" ref="W28:W40" si="14">J28</f>
        <v>100</v>
      </c>
      <c r="X28" s="1808"/>
      <c r="Y28" s="3264"/>
      <c r="Z28" s="1809">
        <f t="shared" ref="Z28:Z40" si="15">Q28</f>
        <v>111</v>
      </c>
      <c r="AA28" s="1806">
        <f t="shared" si="3"/>
        <v>1</v>
      </c>
      <c r="AB28" s="1806">
        <f t="shared" si="4"/>
        <v>1</v>
      </c>
      <c r="AC28" s="1806">
        <f t="shared" si="5"/>
        <v>1</v>
      </c>
    </row>
    <row r="29" spans="1:29" ht="28.5">
      <c r="A29" s="465" t="s">
        <v>2558</v>
      </c>
      <c r="B29" s="71" t="s">
        <v>2688</v>
      </c>
      <c r="C29" s="2675"/>
      <c r="D29" s="466">
        <v>100</v>
      </c>
      <c r="E29" s="2675"/>
      <c r="F29" s="460">
        <f>SUMIF(88:88,E29,89:89)-SUMIF(88:88,C29,89:89)+100</f>
        <v>100</v>
      </c>
      <c r="G29" s="2675"/>
      <c r="H29" s="434">
        <f>SUMIF(88:88,G29,89:89)-SUMIF(88:88,C29,89:89)+100</f>
        <v>100</v>
      </c>
      <c r="I29" s="2675"/>
      <c r="J29" s="466">
        <f>SUMIF(88:88,I29,89:89)-SUMIF(88:88,C29,89:89)+100</f>
        <v>100</v>
      </c>
      <c r="K29" s="611"/>
      <c r="L29" s="1135"/>
      <c r="M29" s="1126"/>
      <c r="N29" s="1126"/>
      <c r="O29" s="1134"/>
      <c r="P29" s="3265" t="s">
        <v>2560</v>
      </c>
      <c r="Q29" s="1805" t="str">
        <f t="shared" si="11"/>
        <v>建筑类型</v>
      </c>
      <c r="R29" s="773" t="s">
        <v>17</v>
      </c>
      <c r="S29" s="774">
        <f t="shared" si="12"/>
        <v>100</v>
      </c>
      <c r="T29" s="773" t="s">
        <v>17</v>
      </c>
      <c r="U29" s="774">
        <f t="shared" si="13"/>
        <v>100</v>
      </c>
      <c r="V29" s="773" t="s">
        <v>17</v>
      </c>
      <c r="W29" s="774">
        <f t="shared" si="14"/>
        <v>100</v>
      </c>
      <c r="X29" s="1808"/>
      <c r="Y29" s="3266" t="s">
        <v>2560</v>
      </c>
      <c r="Z29" s="1809" t="str">
        <f t="shared" si="15"/>
        <v>建筑类型</v>
      </c>
      <c r="AA29" s="1806">
        <f t="shared" si="3"/>
        <v>1</v>
      </c>
      <c r="AB29" s="1806">
        <f t="shared" si="4"/>
        <v>1</v>
      </c>
      <c r="AC29" s="1806">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266"/>
      <c r="Q30" s="775" t="str">
        <f t="shared" si="11"/>
        <v>项目建筑规模</v>
      </c>
      <c r="R30" s="776" t="s">
        <v>17</v>
      </c>
      <c r="S30" s="777" t="e">
        <f t="shared" si="12"/>
        <v>#N/A</v>
      </c>
      <c r="T30" s="776" t="s">
        <v>17</v>
      </c>
      <c r="U30" s="777" t="e">
        <f t="shared" si="13"/>
        <v>#N/A</v>
      </c>
      <c r="V30" s="776" t="s">
        <v>17</v>
      </c>
      <c r="W30" s="777" t="e">
        <f t="shared" si="14"/>
        <v>#N/A</v>
      </c>
      <c r="X30" s="778"/>
      <c r="Y30" s="3266"/>
      <c r="Z30" s="779" t="str">
        <f t="shared" si="15"/>
        <v>项目建筑规模</v>
      </c>
      <c r="AA30" s="1806" t="e">
        <f t="shared" si="3"/>
        <v>#N/A</v>
      </c>
      <c r="AB30" s="1806" t="e">
        <f t="shared" si="4"/>
        <v>#N/A</v>
      </c>
      <c r="AC30" s="1806"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66"/>
      <c r="Q31" s="1805" t="str">
        <f t="shared" si="11"/>
        <v>建筑结构</v>
      </c>
      <c r="R31" s="773" t="s">
        <v>17</v>
      </c>
      <c r="S31" s="774">
        <f t="shared" si="12"/>
        <v>100</v>
      </c>
      <c r="T31" s="773" t="s">
        <v>17</v>
      </c>
      <c r="U31" s="774">
        <f t="shared" si="13"/>
        <v>100</v>
      </c>
      <c r="V31" s="773" t="s">
        <v>17</v>
      </c>
      <c r="W31" s="774">
        <f t="shared" si="14"/>
        <v>100</v>
      </c>
      <c r="X31" s="1808"/>
      <c r="Y31" s="3266"/>
      <c r="Z31" s="1809" t="str">
        <f t="shared" si="15"/>
        <v>建筑结构</v>
      </c>
      <c r="AA31" s="1806">
        <f t="shared" si="3"/>
        <v>1</v>
      </c>
      <c r="AB31" s="1806">
        <f t="shared" si="4"/>
        <v>1</v>
      </c>
      <c r="AC31" s="1806">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66"/>
      <c r="Q32" s="1805" t="str">
        <f t="shared" si="11"/>
        <v>公共部分装修</v>
      </c>
      <c r="R32" s="773" t="s">
        <v>17</v>
      </c>
      <c r="S32" s="774">
        <f t="shared" si="12"/>
        <v>100</v>
      </c>
      <c r="T32" s="773" t="s">
        <v>17</v>
      </c>
      <c r="U32" s="774">
        <f t="shared" si="13"/>
        <v>100</v>
      </c>
      <c r="V32" s="773" t="s">
        <v>17</v>
      </c>
      <c r="W32" s="774">
        <f t="shared" si="14"/>
        <v>100</v>
      </c>
      <c r="X32" s="1808"/>
      <c r="Y32" s="3266"/>
      <c r="Z32" s="1809" t="str">
        <f t="shared" si="15"/>
        <v>公共部分装修</v>
      </c>
      <c r="AA32" s="1806">
        <f t="shared" si="3"/>
        <v>1</v>
      </c>
      <c r="AB32" s="1806">
        <f t="shared" si="4"/>
        <v>1</v>
      </c>
      <c r="AC32" s="1806">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66"/>
      <c r="Q33" s="1805" t="str">
        <f t="shared" si="11"/>
        <v>成新度</v>
      </c>
      <c r="R33" s="773" t="s">
        <v>17</v>
      </c>
      <c r="S33" s="774" t="e">
        <f t="shared" si="12"/>
        <v>#N/A</v>
      </c>
      <c r="T33" s="773" t="s">
        <v>17</v>
      </c>
      <c r="U33" s="774" t="e">
        <f t="shared" si="13"/>
        <v>#N/A</v>
      </c>
      <c r="V33" s="773" t="s">
        <v>17</v>
      </c>
      <c r="W33" s="774" t="e">
        <f t="shared" si="14"/>
        <v>#N/A</v>
      </c>
      <c r="X33" s="1808"/>
      <c r="Y33" s="3266"/>
      <c r="Z33" s="1809" t="str">
        <f t="shared" si="15"/>
        <v>成新度</v>
      </c>
      <c r="AA33" s="1806" t="e">
        <f t="shared" si="3"/>
        <v>#N/A</v>
      </c>
      <c r="AB33" s="1806" t="e">
        <f t="shared" si="4"/>
        <v>#N/A</v>
      </c>
      <c r="AC33" s="1806"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66"/>
      <c r="Q34" s="1790" t="str">
        <f t="shared" si="11"/>
        <v>物业管理</v>
      </c>
      <c r="R34" s="769" t="s">
        <v>17</v>
      </c>
      <c r="S34" s="770">
        <f t="shared" si="12"/>
        <v>100</v>
      </c>
      <c r="T34" s="769" t="s">
        <v>17</v>
      </c>
      <c r="U34" s="770">
        <f t="shared" si="13"/>
        <v>100</v>
      </c>
      <c r="V34" s="769" t="s">
        <v>17</v>
      </c>
      <c r="W34" s="770">
        <f t="shared" si="14"/>
        <v>100</v>
      </c>
      <c r="X34" s="771"/>
      <c r="Y34" s="3266"/>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66" t="s">
        <v>2560</v>
      </c>
      <c r="Q35" s="1805" t="str">
        <f t="shared" si="11"/>
        <v>市政基础设施</v>
      </c>
      <c r="R35" s="773" t="s">
        <v>17</v>
      </c>
      <c r="S35" s="774">
        <f t="shared" si="12"/>
        <v>100</v>
      </c>
      <c r="T35" s="773" t="s">
        <v>17</v>
      </c>
      <c r="U35" s="774">
        <f t="shared" si="13"/>
        <v>100</v>
      </c>
      <c r="V35" s="773" t="s">
        <v>17</v>
      </c>
      <c r="W35" s="774">
        <f t="shared" si="14"/>
        <v>100</v>
      </c>
      <c r="X35" s="1808"/>
      <c r="Y35" s="3266" t="s">
        <v>2560</v>
      </c>
      <c r="Z35" s="1809" t="str">
        <f t="shared" si="15"/>
        <v>市政基础设施</v>
      </c>
      <c r="AA35" s="1806">
        <f t="shared" si="3"/>
        <v>1</v>
      </c>
      <c r="AB35" s="1806">
        <f t="shared" si="4"/>
        <v>1</v>
      </c>
      <c r="AC35" s="1806">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66"/>
      <c r="Q36" s="1805" t="str">
        <f t="shared" si="11"/>
        <v>内部装修</v>
      </c>
      <c r="R36" s="773" t="s">
        <v>17</v>
      </c>
      <c r="S36" s="774">
        <f t="shared" si="12"/>
        <v>100</v>
      </c>
      <c r="T36" s="773" t="s">
        <v>17</v>
      </c>
      <c r="U36" s="774">
        <f t="shared" si="13"/>
        <v>100</v>
      </c>
      <c r="V36" s="773" t="s">
        <v>17</v>
      </c>
      <c r="W36" s="774">
        <f t="shared" si="14"/>
        <v>100</v>
      </c>
      <c r="X36" s="1808"/>
      <c r="Y36" s="3266"/>
      <c r="Z36" s="1809" t="str">
        <f t="shared" si="15"/>
        <v>内部装修</v>
      </c>
      <c r="AA36" s="1806">
        <f t="shared" si="3"/>
        <v>1</v>
      </c>
      <c r="AB36" s="1806">
        <f t="shared" si="4"/>
        <v>1</v>
      </c>
      <c r="AC36" s="1806">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66"/>
      <c r="Q37" s="1805" t="str">
        <f t="shared" si="11"/>
        <v>内部装修状况</v>
      </c>
      <c r="R37" s="773" t="s">
        <v>17</v>
      </c>
      <c r="S37" s="774">
        <f t="shared" si="12"/>
        <v>100</v>
      </c>
      <c r="T37" s="773" t="s">
        <v>17</v>
      </c>
      <c r="U37" s="774">
        <f t="shared" si="13"/>
        <v>100</v>
      </c>
      <c r="V37" s="773" t="s">
        <v>17</v>
      </c>
      <c r="W37" s="774">
        <f t="shared" si="14"/>
        <v>100</v>
      </c>
      <c r="X37" s="1808"/>
      <c r="Y37" s="3266"/>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66"/>
      <c r="Q38" s="775">
        <f t="shared" si="11"/>
        <v>111</v>
      </c>
      <c r="R38" s="776" t="s">
        <v>17</v>
      </c>
      <c r="S38" s="777">
        <f t="shared" si="12"/>
        <v>100</v>
      </c>
      <c r="T38" s="776" t="s">
        <v>17</v>
      </c>
      <c r="U38" s="777">
        <f t="shared" si="13"/>
        <v>100</v>
      </c>
      <c r="V38" s="776" t="s">
        <v>17</v>
      </c>
      <c r="W38" s="777">
        <f t="shared" si="14"/>
        <v>100</v>
      </c>
      <c r="X38" s="778"/>
      <c r="Y38" s="3266"/>
      <c r="Z38" s="779">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66"/>
      <c r="Q39" s="1805">
        <f t="shared" si="11"/>
        <v>111</v>
      </c>
      <c r="R39" s="773" t="s">
        <v>17</v>
      </c>
      <c r="S39" s="774">
        <f t="shared" si="12"/>
        <v>100</v>
      </c>
      <c r="T39" s="773" t="s">
        <v>17</v>
      </c>
      <c r="U39" s="774">
        <f t="shared" si="13"/>
        <v>100</v>
      </c>
      <c r="V39" s="773" t="s">
        <v>17</v>
      </c>
      <c r="W39" s="774">
        <f t="shared" si="14"/>
        <v>100</v>
      </c>
      <c r="X39" s="1808"/>
      <c r="Y39" s="3266"/>
      <c r="Z39" s="1809">
        <f t="shared" si="15"/>
        <v>111</v>
      </c>
      <c r="AA39" s="1806">
        <f t="shared" si="3"/>
        <v>1</v>
      </c>
      <c r="AB39" s="1806">
        <f t="shared" si="4"/>
        <v>1</v>
      </c>
      <c r="AC39" s="1806">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79"/>
      <c r="Q40" s="1805">
        <f t="shared" si="11"/>
        <v>111</v>
      </c>
      <c r="R40" s="773" t="s">
        <v>17</v>
      </c>
      <c r="S40" s="774">
        <f t="shared" si="12"/>
        <v>100</v>
      </c>
      <c r="T40" s="773" t="s">
        <v>17</v>
      </c>
      <c r="U40" s="774">
        <f t="shared" si="13"/>
        <v>100</v>
      </c>
      <c r="V40" s="773" t="s">
        <v>17</v>
      </c>
      <c r="W40" s="774">
        <f t="shared" si="14"/>
        <v>100</v>
      </c>
      <c r="X40" s="1808"/>
      <c r="Y40" s="3279"/>
      <c r="Z40" s="1809">
        <f t="shared" si="15"/>
        <v>111</v>
      </c>
      <c r="AA40" s="1806">
        <f t="shared" si="3"/>
        <v>1</v>
      </c>
      <c r="AB40" s="1806">
        <f t="shared" si="4"/>
        <v>1</v>
      </c>
      <c r="AC40" s="1806">
        <f t="shared" si="5"/>
        <v>1</v>
      </c>
    </row>
    <row r="41" spans="1:29" ht="15">
      <c r="A41" s="478" t="s">
        <v>2572</v>
      </c>
      <c r="B41" s="479"/>
      <c r="C41" s="1402" t="s">
        <v>1</v>
      </c>
      <c r="D41" s="1403"/>
      <c r="E41" s="1404"/>
      <c r="F41" s="1405"/>
      <c r="G41" s="1406"/>
      <c r="H41" s="1407"/>
      <c r="I41" s="1404"/>
      <c r="J41" s="1407"/>
      <c r="K41" s="782"/>
      <c r="L41" s="1138"/>
      <c r="M41" s="1139"/>
      <c r="N41" s="1126"/>
      <c r="O41" s="1139"/>
      <c r="P41" s="3248" t="str">
        <f>A41</f>
        <v>成交单价（元/平方米）</v>
      </c>
      <c r="Q41" s="3248"/>
      <c r="R41" s="3275">
        <f>E41</f>
        <v>0</v>
      </c>
      <c r="S41" s="3275"/>
      <c r="T41" s="3275">
        <f>G41</f>
        <v>0</v>
      </c>
      <c r="U41" s="3275"/>
      <c r="V41" s="3275">
        <f>I41</f>
        <v>0</v>
      </c>
      <c r="W41" s="3275"/>
      <c r="X41" s="758"/>
      <c r="Y41" s="780"/>
      <c r="Z41" s="758"/>
      <c r="AA41" s="758"/>
      <c r="AB41" s="758"/>
      <c r="AC41" s="758"/>
    </row>
    <row r="42" spans="1:29" ht="15.75" thickBot="1">
      <c r="A42" s="485" t="s">
        <v>2664</v>
      </c>
      <c r="B42" s="486"/>
      <c r="C42" s="1408" t="e">
        <f>R43</f>
        <v>#DIV/0!</v>
      </c>
      <c r="D42" s="1409"/>
      <c r="E42" s="1410" t="e">
        <f>R42</f>
        <v>#DIV/0!</v>
      </c>
      <c r="F42" s="1410"/>
      <c r="G42" s="1408" t="e">
        <f>T42</f>
        <v>#DIV/0!</v>
      </c>
      <c r="H42" s="1409"/>
      <c r="I42" s="1410" t="e">
        <f>V42</f>
        <v>#DIV/0!</v>
      </c>
      <c r="J42" s="1409"/>
      <c r="K42" s="783"/>
      <c r="L42" s="1138"/>
      <c r="M42" s="1139"/>
      <c r="N42" s="1126"/>
      <c r="O42" s="1139"/>
      <c r="P42" s="3248" t="str">
        <f>A42</f>
        <v>比较价值（元/平方米）</v>
      </c>
      <c r="Q42" s="3248"/>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8"/>
      <c r="Y42" s="758"/>
      <c r="Z42" s="758"/>
      <c r="AA42" s="758"/>
      <c r="AB42" s="758"/>
      <c r="AC42" s="758"/>
    </row>
    <row r="43" spans="1:29" ht="15.75" thickBot="1">
      <c r="A43" s="491" t="s">
        <v>2665</v>
      </c>
      <c r="B43" s="492"/>
      <c r="C43" s="1412" t="e">
        <f>R43</f>
        <v>#DIV/0!</v>
      </c>
      <c r="D43" s="1412"/>
      <c r="E43" s="1412"/>
      <c r="F43" s="1412"/>
      <c r="G43" s="1412"/>
      <c r="H43" s="1412"/>
      <c r="I43" s="1412"/>
      <c r="J43" s="1412"/>
      <c r="K43" s="784"/>
      <c r="L43" s="1138"/>
      <c r="M43" s="1139"/>
      <c r="N43" s="1139"/>
      <c r="O43" s="1139"/>
      <c r="P43" s="3268" t="str">
        <f>A43</f>
        <v>估价对象XX用房的比较价值（楼面单价，元/平方米）</v>
      </c>
      <c r="Q43" s="3269"/>
      <c r="R43" s="3274" t="e">
        <f>IF(F1="售价",ROUND(AVERAGE(R42:V42),0),ROUND(AVERAGE(R42:V42),1))</f>
        <v>#DIV/0!</v>
      </c>
      <c r="S43" s="3274"/>
      <c r="T43" s="3274"/>
      <c r="U43" s="3274"/>
      <c r="V43" s="3274"/>
      <c r="W43" s="3274"/>
      <c r="X43" s="758"/>
      <c r="Y43" s="758"/>
      <c r="Z43" s="758"/>
      <c r="AA43" s="758"/>
      <c r="AB43" s="758"/>
      <c r="AC43" s="758"/>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2" t="s">
        <v>2669</v>
      </c>
      <c r="B51" s="758"/>
      <c r="C51" s="763"/>
      <c r="D51" s="763"/>
      <c r="E51" s="763"/>
      <c r="F51" s="764"/>
      <c r="G51" s="764"/>
      <c r="H51" s="763"/>
      <c r="I51" s="763"/>
      <c r="J51" s="763"/>
      <c r="K51" s="1155"/>
      <c r="L51" s="1156"/>
      <c r="M51" s="1154"/>
      <c r="N51" s="1154"/>
      <c r="O51" s="1154"/>
      <c r="P51" s="502"/>
      <c r="Q51" s="503"/>
    </row>
    <row r="52" spans="1:17" s="507" customFormat="1" ht="15">
      <c r="A52" s="504" t="s">
        <v>2543</v>
      </c>
      <c r="B52" s="505"/>
      <c r="C52" s="1569" t="str">
        <f>YEAR(C7)&amp;"-"&amp;MONTH(C7)</f>
        <v>2019-10</v>
      </c>
      <c r="D52" s="1570">
        <f>EDATE(C52,-1)</f>
        <v>43709</v>
      </c>
      <c r="E52" s="1570">
        <f t="shared" ref="E52:O52" si="16">EDATE(D52,-1)</f>
        <v>43678</v>
      </c>
      <c r="F52" s="1570">
        <f t="shared" si="16"/>
        <v>43647</v>
      </c>
      <c r="G52" s="1570">
        <f t="shared" si="16"/>
        <v>43617</v>
      </c>
      <c r="H52" s="1570">
        <f t="shared" si="16"/>
        <v>43586</v>
      </c>
      <c r="I52" s="1570">
        <f t="shared" si="16"/>
        <v>43556</v>
      </c>
      <c r="J52" s="1570">
        <f t="shared" si="16"/>
        <v>43525</v>
      </c>
      <c r="K52" s="1570">
        <f t="shared" si="16"/>
        <v>43497</v>
      </c>
      <c r="L52" s="1570">
        <f t="shared" si="16"/>
        <v>43466</v>
      </c>
      <c r="M52" s="1570">
        <f t="shared" si="16"/>
        <v>43435</v>
      </c>
      <c r="N52" s="1570">
        <f t="shared" si="16"/>
        <v>43405</v>
      </c>
      <c r="O52" s="1570">
        <f t="shared" si="16"/>
        <v>43374</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2583</v>
      </c>
      <c r="B57" s="527" t="s">
        <v>2549</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32"/>
      <c r="B87" s="568"/>
      <c r="C87" s="569"/>
      <c r="D87" s="569"/>
      <c r="E87" s="569"/>
      <c r="F87" s="569"/>
      <c r="G87" s="590"/>
      <c r="H87" s="590"/>
      <c r="I87" s="590"/>
      <c r="J87" s="590"/>
      <c r="K87" s="590"/>
      <c r="L87" s="590"/>
      <c r="M87" s="591"/>
      <c r="N87" s="1148"/>
      <c r="O87" s="1148"/>
      <c r="P87" s="45"/>
      <c r="Q87" s="503"/>
    </row>
    <row r="88" spans="1:17">
      <c r="A88" s="526" t="s">
        <v>2558</v>
      </c>
      <c r="B88" s="527" t="s">
        <v>2607</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2609</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2611</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2612</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2613</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2615</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32"/>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2702</v>
      </c>
      <c r="B1" s="1614"/>
      <c r="C1" s="1615" t="s">
        <v>2525</v>
      </c>
      <c r="D1" s="1616"/>
      <c r="E1" s="1617"/>
      <c r="F1" s="2583"/>
      <c r="G1" s="1618" t="s">
        <v>2638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2325</v>
      </c>
      <c r="B2" s="1413" t="e">
        <f ca="1">IF(C2="——",IF(B37="元/平方米",ROUND(C39*D3/10000,0),ROUND(F3*C39/10000,0)),IF(B37="元/平方米",ROUND(C39*D3/10000,0),ROUND(F3*C39/10000,0))-D2)</f>
        <v>#DIV/0!</v>
      </c>
      <c r="C2" s="2585"/>
      <c r="D2" s="1119" t="e">
        <f ca="1">SUMIF(INDIRECT("'"&amp;F2&amp;"'"&amp;"!A:A"),"承租人权益价值",INDIRECT("'"&amp;F2&amp;"'"&amp;"!c:c"))</f>
        <v>#REF!</v>
      </c>
      <c r="E2" s="2586" t="s">
        <v>2326</v>
      </c>
      <c r="F2" s="2587"/>
      <c r="G2" s="1120"/>
      <c r="H2" s="1120"/>
      <c r="I2" s="1120"/>
      <c r="J2" s="1120"/>
      <c r="K2" s="1122"/>
      <c r="L2" s="1123"/>
      <c r="M2" s="1124"/>
      <c r="N2" s="1124"/>
      <c r="O2" s="1124"/>
      <c r="P2" s="1414"/>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0"/>
      <c r="H3" s="1120"/>
      <c r="I3" s="1120"/>
      <c r="J3" s="1120"/>
      <c r="K3" s="1122"/>
      <c r="L3" s="1123"/>
      <c r="M3" s="1124"/>
      <c r="N3" s="1124"/>
      <c r="O3" s="1124"/>
      <c r="P3" s="1414"/>
      <c r="Q3" s="767"/>
      <c r="R3" s="767"/>
      <c r="S3" s="767"/>
      <c r="T3" s="767"/>
      <c r="U3" s="767"/>
      <c r="V3" s="767"/>
      <c r="W3" s="767"/>
      <c r="X3" s="767"/>
      <c r="Y3" s="767"/>
      <c r="Z3" s="767"/>
      <c r="AA3" s="767"/>
      <c r="AB3" s="785"/>
      <c r="AC3" s="781"/>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30" t="s">
        <v>2643</v>
      </c>
      <c r="AC4" s="3229" t="s">
        <v>2644</v>
      </c>
    </row>
    <row r="5" spans="1:29" ht="15">
      <c r="A5" s="403"/>
      <c r="B5" s="404"/>
      <c r="C5" s="3240" t="s">
        <v>2537</v>
      </c>
      <c r="D5" s="3241"/>
      <c r="E5" s="3309" t="s">
        <v>2538</v>
      </c>
      <c r="F5" s="3239"/>
      <c r="G5" s="3240" t="s">
        <v>2539</v>
      </c>
      <c r="H5" s="3241"/>
      <c r="I5" s="3240" t="s">
        <v>2540</v>
      </c>
      <c r="J5" s="3241"/>
      <c r="K5" s="609"/>
      <c r="L5" s="1125"/>
      <c r="M5" s="1126"/>
      <c r="N5" s="1126"/>
      <c r="O5" s="1126"/>
      <c r="P5" s="3255"/>
      <c r="Q5" s="3256"/>
      <c r="R5" s="3236"/>
      <c r="S5" s="3237"/>
      <c r="T5" s="3236"/>
      <c r="U5" s="3237"/>
      <c r="V5" s="3261"/>
      <c r="W5" s="3261"/>
      <c r="X5" s="1808"/>
      <c r="Y5" s="3236"/>
      <c r="Z5" s="3237"/>
      <c r="AA5" s="3230"/>
      <c r="AB5" s="3230"/>
      <c r="AC5" s="3230"/>
    </row>
    <row r="6" spans="1:29" ht="15.75" thickBot="1">
      <c r="A6" s="405"/>
      <c r="B6" s="406"/>
      <c r="C6" s="3242" t="s">
        <v>2541</v>
      </c>
      <c r="D6" s="3243"/>
      <c r="E6" s="3310" t="s">
        <v>2541</v>
      </c>
      <c r="F6" s="3246"/>
      <c r="G6" s="3242" t="s">
        <v>2541</v>
      </c>
      <c r="H6" s="3243"/>
      <c r="I6" s="3242" t="s">
        <v>2541</v>
      </c>
      <c r="J6" s="3243"/>
      <c r="K6" s="609" t="s">
        <v>2542</v>
      </c>
      <c r="L6" s="1125"/>
      <c r="M6" s="1126"/>
      <c r="N6" s="1126"/>
      <c r="O6" s="1126"/>
      <c r="P6" s="3257"/>
      <c r="Q6" s="3258"/>
      <c r="R6" s="3236"/>
      <c r="S6" s="3237"/>
      <c r="T6" s="3259"/>
      <c r="U6" s="3260"/>
      <c r="V6" s="3261"/>
      <c r="W6" s="3261"/>
      <c r="X6" s="1808"/>
      <c r="Y6" s="3259"/>
      <c r="Z6" s="3260"/>
      <c r="AA6" s="3231"/>
      <c r="AB6" s="3231"/>
      <c r="AC6" s="3231"/>
    </row>
    <row r="7" spans="1:29" s="116" customFormat="1" ht="15.75" thickBot="1">
      <c r="A7" s="407" t="s">
        <v>2543</v>
      </c>
      <c r="B7" s="408"/>
      <c r="C7" s="409">
        <f>'数据-取费表'!B2</f>
        <v>43758</v>
      </c>
      <c r="D7" s="410">
        <v>100</v>
      </c>
      <c r="E7" s="411"/>
      <c r="F7" s="412">
        <f>SUMIF(48:48,YEAR(E7)&amp;"-"&amp;MONTH(E7),49:49)</f>
        <v>0</v>
      </c>
      <c r="G7" s="411"/>
      <c r="H7" s="410">
        <f>SUMIF(48:48,YEAR(G7)&amp;"-"&amp;MONTH(G7),49:49)</f>
        <v>0</v>
      </c>
      <c r="I7" s="411"/>
      <c r="J7" s="410">
        <f>SUMIF(48:48,YEAR(I7)&amp;"-"&amp;MONTH(I7),49:49)</f>
        <v>0</v>
      </c>
      <c r="K7" s="610"/>
      <c r="L7" s="1127"/>
      <c r="M7" s="1128"/>
      <c r="N7" s="1128"/>
      <c r="O7" s="1128"/>
      <c r="P7" s="3232" t="s">
        <v>2544</v>
      </c>
      <c r="Q7" s="3262"/>
      <c r="R7" s="769" t="s">
        <v>17</v>
      </c>
      <c r="S7" s="770">
        <f t="shared" ref="S7:S14" si="0">F7</f>
        <v>0</v>
      </c>
      <c r="T7" s="769" t="s">
        <v>17</v>
      </c>
      <c r="U7" s="770">
        <f t="shared" ref="U7:U14" si="1">H7</f>
        <v>0</v>
      </c>
      <c r="V7" s="769" t="s">
        <v>17</v>
      </c>
      <c r="W7" s="770">
        <f t="shared" ref="W7:W14" si="2">J7</f>
        <v>0</v>
      </c>
      <c r="X7" s="771"/>
      <c r="Y7" s="3232" t="s">
        <v>2544</v>
      </c>
      <c r="Z7" s="3233"/>
      <c r="AA7" s="772" t="e">
        <f>D7/F7</f>
        <v>#DIV/0!</v>
      </c>
      <c r="AB7" s="772" t="e">
        <f>D7/H7</f>
        <v>#DIV/0!</v>
      </c>
      <c r="AC7" s="772"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232" t="s">
        <v>2547</v>
      </c>
      <c r="Q8" s="3233"/>
      <c r="R8" s="769" t="s">
        <v>17</v>
      </c>
      <c r="S8" s="770">
        <f t="shared" si="0"/>
        <v>0</v>
      </c>
      <c r="T8" s="769" t="s">
        <v>17</v>
      </c>
      <c r="U8" s="770">
        <f t="shared" si="1"/>
        <v>0</v>
      </c>
      <c r="V8" s="769" t="s">
        <v>17</v>
      </c>
      <c r="W8" s="770">
        <f t="shared" si="2"/>
        <v>0</v>
      </c>
      <c r="X8" s="771"/>
      <c r="Y8" s="3232" t="s">
        <v>2547</v>
      </c>
      <c r="Z8" s="3233"/>
      <c r="AA8" s="772" t="e">
        <f t="shared" ref="AA8:AA36" si="3">D8/F8</f>
        <v>#DIV/0!</v>
      </c>
      <c r="AB8" s="772" t="e">
        <f t="shared" ref="AB8:AB36" si="4">D8/H8</f>
        <v>#DIV/0!</v>
      </c>
      <c r="AC8" s="772"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248" t="s">
        <v>2550</v>
      </c>
      <c r="Q9" s="1790" t="str">
        <f t="shared" ref="Q9:Q14" si="6">B9</f>
        <v>用途</v>
      </c>
      <c r="R9" s="769" t="s">
        <v>17</v>
      </c>
      <c r="S9" s="770">
        <f t="shared" si="0"/>
        <v>100</v>
      </c>
      <c r="T9" s="769" t="s">
        <v>17</v>
      </c>
      <c r="U9" s="770">
        <f t="shared" si="1"/>
        <v>100</v>
      </c>
      <c r="V9" s="769" t="s">
        <v>17</v>
      </c>
      <c r="W9" s="770">
        <f t="shared" si="2"/>
        <v>100</v>
      </c>
      <c r="X9" s="771"/>
      <c r="Y9" s="3102"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248"/>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248"/>
      <c r="Q11" s="1790">
        <f t="shared" si="6"/>
        <v>111</v>
      </c>
      <c r="R11" s="769" t="s">
        <v>17</v>
      </c>
      <c r="S11" s="770">
        <f t="shared" si="0"/>
        <v>100</v>
      </c>
      <c r="T11" s="769" t="s">
        <v>17</v>
      </c>
      <c r="U11" s="770">
        <f t="shared" si="1"/>
        <v>100</v>
      </c>
      <c r="V11" s="769" t="s">
        <v>17</v>
      </c>
      <c r="W11" s="770">
        <f t="shared" si="2"/>
        <v>100</v>
      </c>
      <c r="X11" s="771"/>
      <c r="Y11" s="310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248"/>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248"/>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85.5">
      <c r="A14" s="400" t="s">
        <v>2554</v>
      </c>
      <c r="B14" s="628" t="s">
        <v>2704</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263" t="s">
        <v>2555</v>
      </c>
      <c r="Q14" s="1805" t="str">
        <f t="shared" si="6"/>
        <v>交通便捷度</v>
      </c>
      <c r="R14" s="773" t="s">
        <v>17</v>
      </c>
      <c r="S14" s="774">
        <f t="shared" si="0"/>
        <v>100</v>
      </c>
      <c r="T14" s="773" t="s">
        <v>17</v>
      </c>
      <c r="U14" s="774">
        <f t="shared" si="1"/>
        <v>100</v>
      </c>
      <c r="V14" s="773" t="s">
        <v>17</v>
      </c>
      <c r="W14" s="774">
        <f t="shared" si="2"/>
        <v>100</v>
      </c>
      <c r="X14" s="1808"/>
      <c r="Y14" s="3263" t="s">
        <v>2555</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5"/>
      <c r="M15" s="1126"/>
      <c r="N15" s="1126"/>
      <c r="O15" s="1126"/>
      <c r="P15" s="3264"/>
      <c r="Q15" s="1805"/>
      <c r="R15" s="773"/>
      <c r="S15" s="774"/>
      <c r="T15" s="773"/>
      <c r="U15" s="774"/>
      <c r="V15" s="773"/>
      <c r="W15" s="774"/>
      <c r="X15" s="1808"/>
      <c r="Y15" s="3264"/>
      <c r="Z15" s="1809"/>
      <c r="AA15" s="1806">
        <v>1</v>
      </c>
      <c r="AB15" s="1806">
        <v>1</v>
      </c>
      <c r="AC15" s="1806">
        <v>1</v>
      </c>
    </row>
    <row r="16" spans="1:29" ht="42.75">
      <c r="A16" s="403"/>
      <c r="B16" s="630" t="s">
        <v>2683</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264"/>
      <c r="Q16" s="1805" t="str">
        <f>B16</f>
        <v>公共配套设施</v>
      </c>
      <c r="R16" s="773" t="s">
        <v>17</v>
      </c>
      <c r="S16" s="774">
        <f>F16</f>
        <v>100</v>
      </c>
      <c r="T16" s="773" t="s">
        <v>17</v>
      </c>
      <c r="U16" s="774">
        <f>H16</f>
        <v>100</v>
      </c>
      <c r="V16" s="773" t="s">
        <v>17</v>
      </c>
      <c r="W16" s="774">
        <f>J16</f>
        <v>100</v>
      </c>
      <c r="X16" s="1808"/>
      <c r="Y16" s="3264"/>
      <c r="Z16" s="1809" t="str">
        <f>Q16</f>
        <v>公共配套设施</v>
      </c>
      <c r="AA16" s="1806">
        <f t="shared" si="3"/>
        <v>1</v>
      </c>
      <c r="AB16" s="1806">
        <f t="shared" si="4"/>
        <v>1</v>
      </c>
      <c r="AC16" s="1806">
        <f t="shared" si="5"/>
        <v>1</v>
      </c>
    </row>
    <row r="17" spans="1:29" ht="15">
      <c r="A17" s="403"/>
      <c r="B17" s="631"/>
      <c r="C17" s="2606"/>
      <c r="D17" s="447"/>
      <c r="E17" s="446"/>
      <c r="F17" s="448"/>
      <c r="G17" s="446"/>
      <c r="H17" s="447"/>
      <c r="I17" s="446"/>
      <c r="J17" s="447"/>
      <c r="K17" s="614"/>
      <c r="L17" s="1135"/>
      <c r="M17" s="1126"/>
      <c r="N17" s="1126"/>
      <c r="O17" s="1126"/>
      <c r="P17" s="3264"/>
      <c r="Q17" s="1805"/>
      <c r="R17" s="773"/>
      <c r="S17" s="774"/>
      <c r="T17" s="773"/>
      <c r="U17" s="774"/>
      <c r="V17" s="773"/>
      <c r="W17" s="774"/>
      <c r="X17" s="1808"/>
      <c r="Y17" s="3264"/>
      <c r="Z17" s="1809"/>
      <c r="AA17" s="1806">
        <v>1</v>
      </c>
      <c r="AB17" s="1806">
        <v>1</v>
      </c>
      <c r="AC17" s="1806">
        <v>1</v>
      </c>
    </row>
    <row r="18" spans="1:29" ht="28.5">
      <c r="A18" s="403"/>
      <c r="B18" s="632" t="s">
        <v>2684</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264"/>
      <c r="Q18" s="1805" t="str">
        <f>B18</f>
        <v>基础设施水平</v>
      </c>
      <c r="R18" s="773" t="s">
        <v>17</v>
      </c>
      <c r="S18" s="774">
        <f>F18</f>
        <v>100</v>
      </c>
      <c r="T18" s="773" t="s">
        <v>17</v>
      </c>
      <c r="U18" s="774">
        <f>H18</f>
        <v>100</v>
      </c>
      <c r="V18" s="773" t="s">
        <v>17</v>
      </c>
      <c r="W18" s="774">
        <f>J18</f>
        <v>100</v>
      </c>
      <c r="X18" s="1808"/>
      <c r="Y18" s="3264"/>
      <c r="Z18" s="1809" t="str">
        <f>Q18</f>
        <v>基础设施水平</v>
      </c>
      <c r="AA18" s="1806">
        <f t="shared" ref="AA18" si="8">D18/F18</f>
        <v>1</v>
      </c>
      <c r="AB18" s="1806">
        <f t="shared" ref="AB18" si="9">D18/H18</f>
        <v>1</v>
      </c>
      <c r="AC18" s="1806">
        <f t="shared" ref="AC18" si="10">D18/J18</f>
        <v>1</v>
      </c>
    </row>
    <row r="19" spans="1:29" ht="15">
      <c r="A19" s="403"/>
      <c r="B19" s="632"/>
      <c r="C19" s="2606"/>
      <c r="D19" s="449"/>
      <c r="E19" s="2606"/>
      <c r="F19" s="452"/>
      <c r="G19" s="2606"/>
      <c r="H19" s="447"/>
      <c r="I19" s="446"/>
      <c r="J19" s="447"/>
      <c r="K19" s="1378"/>
      <c r="L19" s="1135"/>
      <c r="M19" s="1126"/>
      <c r="N19" s="1126"/>
      <c r="O19" s="1126"/>
      <c r="P19" s="3264"/>
      <c r="Q19" s="1805"/>
      <c r="R19" s="773"/>
      <c r="S19" s="774"/>
      <c r="T19" s="773"/>
      <c r="U19" s="774"/>
      <c r="V19" s="773"/>
      <c r="W19" s="774"/>
      <c r="X19" s="1808"/>
      <c r="Y19" s="3264"/>
      <c r="Z19" s="1809"/>
      <c r="AA19" s="1806">
        <v>1</v>
      </c>
      <c r="AB19" s="1806">
        <v>1</v>
      </c>
      <c r="AC19" s="1806">
        <v>1</v>
      </c>
    </row>
    <row r="20" spans="1:29" ht="57">
      <c r="A20" s="403"/>
      <c r="B20" s="630" t="s">
        <v>2705</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264"/>
      <c r="Q20" s="1805" t="str">
        <f>B20</f>
        <v>自然及人文环境</v>
      </c>
      <c r="R20" s="773" t="s">
        <v>17</v>
      </c>
      <c r="S20" s="774">
        <f>F20</f>
        <v>100</v>
      </c>
      <c r="T20" s="773" t="s">
        <v>17</v>
      </c>
      <c r="U20" s="774">
        <f>H20</f>
        <v>100</v>
      </c>
      <c r="V20" s="773" t="s">
        <v>17</v>
      </c>
      <c r="W20" s="774">
        <f>J20</f>
        <v>100</v>
      </c>
      <c r="X20" s="1808"/>
      <c r="Y20" s="3264"/>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5"/>
      <c r="M21" s="1126"/>
      <c r="N21" s="1126"/>
      <c r="O21" s="1126"/>
      <c r="P21" s="3264"/>
      <c r="Q21" s="1805"/>
      <c r="R21" s="773"/>
      <c r="S21" s="774"/>
      <c r="T21" s="773"/>
      <c r="U21" s="774"/>
      <c r="V21" s="773"/>
      <c r="W21" s="774"/>
      <c r="X21" s="1808"/>
      <c r="Y21" s="3264"/>
      <c r="Z21" s="1809"/>
      <c r="AA21" s="1806">
        <v>1</v>
      </c>
      <c r="AB21" s="1806">
        <v>1</v>
      </c>
      <c r="AC21" s="1806">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64"/>
      <c r="Q22" s="1805" t="str">
        <f>B22</f>
        <v>楼层</v>
      </c>
      <c r="R22" s="773" t="s">
        <v>17</v>
      </c>
      <c r="S22" s="774">
        <f>F22</f>
        <v>100</v>
      </c>
      <c r="T22" s="773" t="s">
        <v>17</v>
      </c>
      <c r="U22" s="774">
        <f>H22</f>
        <v>100</v>
      </c>
      <c r="V22" s="773" t="s">
        <v>17</v>
      </c>
      <c r="W22" s="774">
        <f>J22</f>
        <v>100</v>
      </c>
      <c r="X22" s="1808"/>
      <c r="Y22" s="3264"/>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64"/>
      <c r="Q23" s="1805">
        <f>B23</f>
        <v>111</v>
      </c>
      <c r="R23" s="773" t="s">
        <v>17</v>
      </c>
      <c r="S23" s="774">
        <f>F23</f>
        <v>100</v>
      </c>
      <c r="T23" s="773" t="s">
        <v>17</v>
      </c>
      <c r="U23" s="774">
        <f>H23</f>
        <v>100</v>
      </c>
      <c r="V23" s="773" t="s">
        <v>17</v>
      </c>
      <c r="W23" s="774">
        <f>J23</f>
        <v>100</v>
      </c>
      <c r="X23" s="1808"/>
      <c r="Y23" s="3264"/>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64"/>
      <c r="Q24" s="1805">
        <f t="shared" ref="Q24:Q36" si="11">B24</f>
        <v>111</v>
      </c>
      <c r="R24" s="773" t="s">
        <v>17</v>
      </c>
      <c r="S24" s="774">
        <f>F24</f>
        <v>100</v>
      </c>
      <c r="T24" s="773" t="s">
        <v>17</v>
      </c>
      <c r="U24" s="774">
        <f>H24</f>
        <v>100</v>
      </c>
      <c r="V24" s="773" t="s">
        <v>17</v>
      </c>
      <c r="W24" s="774">
        <f>J24</f>
        <v>100</v>
      </c>
      <c r="X24" s="1808"/>
      <c r="Y24" s="3264"/>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264"/>
      <c r="Q25" s="1790">
        <f t="shared" si="11"/>
        <v>111</v>
      </c>
      <c r="R25" s="769" t="s">
        <v>17</v>
      </c>
      <c r="S25" s="770">
        <f>F25</f>
        <v>100</v>
      </c>
      <c r="T25" s="769" t="s">
        <v>17</v>
      </c>
      <c r="U25" s="770">
        <f>H25</f>
        <v>100</v>
      </c>
      <c r="V25" s="769" t="s">
        <v>17</v>
      </c>
      <c r="W25" s="770">
        <f>J25</f>
        <v>100</v>
      </c>
      <c r="X25" s="771"/>
      <c r="Y25" s="3264"/>
      <c r="Z25" s="55">
        <f>Q25</f>
        <v>111</v>
      </c>
      <c r="AA25" s="1806">
        <f>D25/F25</f>
        <v>1</v>
      </c>
      <c r="AB25" s="1806">
        <f>D25/H25</f>
        <v>1</v>
      </c>
      <c r="AC25" s="1806">
        <f>D25/J25</f>
        <v>1</v>
      </c>
    </row>
    <row r="26" spans="1:29" ht="28.5">
      <c r="A26" s="651" t="s">
        <v>2558</v>
      </c>
      <c r="B26" s="70" t="s">
        <v>2707</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265" t="s">
        <v>2560</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66" t="s">
        <v>2560</v>
      </c>
      <c r="Z26" s="1809" t="str">
        <f t="shared" ref="Z26:Z36" si="15">Q26</f>
        <v>配套类型</v>
      </c>
      <c r="AA26" s="1806">
        <f t="shared" si="3"/>
        <v>1</v>
      </c>
      <c r="AB26" s="1806">
        <f t="shared" si="4"/>
        <v>1</v>
      </c>
      <c r="AC26" s="1806">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266"/>
      <c r="Q27" s="775" t="str">
        <f t="shared" si="11"/>
        <v>项目停车位配比</v>
      </c>
      <c r="R27" s="776" t="s">
        <v>17</v>
      </c>
      <c r="S27" s="777">
        <f t="shared" si="12"/>
        <v>100</v>
      </c>
      <c r="T27" s="776" t="s">
        <v>17</v>
      </c>
      <c r="U27" s="777">
        <f t="shared" si="13"/>
        <v>100</v>
      </c>
      <c r="V27" s="776" t="s">
        <v>17</v>
      </c>
      <c r="W27" s="777">
        <f t="shared" si="14"/>
        <v>100</v>
      </c>
      <c r="X27" s="778"/>
      <c r="Y27" s="3266"/>
      <c r="Z27" s="779" t="str">
        <f t="shared" si="15"/>
        <v>项目停车位配比</v>
      </c>
      <c r="AA27" s="1806">
        <f t="shared" si="3"/>
        <v>1</v>
      </c>
      <c r="AB27" s="1806">
        <f t="shared" si="4"/>
        <v>1</v>
      </c>
      <c r="AC27" s="1806">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266"/>
      <c r="Q28" s="1805" t="str">
        <f t="shared" si="11"/>
        <v>公共部分装修</v>
      </c>
      <c r="R28" s="773" t="s">
        <v>17</v>
      </c>
      <c r="S28" s="774">
        <f t="shared" si="12"/>
        <v>100</v>
      </c>
      <c r="T28" s="773" t="s">
        <v>17</v>
      </c>
      <c r="U28" s="774">
        <f t="shared" si="13"/>
        <v>100</v>
      </c>
      <c r="V28" s="773" t="s">
        <v>17</v>
      </c>
      <c r="W28" s="774">
        <f t="shared" si="14"/>
        <v>100</v>
      </c>
      <c r="X28" s="1808"/>
      <c r="Y28" s="3266"/>
      <c r="Z28" s="1809" t="str">
        <f t="shared" si="15"/>
        <v>公共部分装修</v>
      </c>
      <c r="AA28" s="1806">
        <f t="shared" si="3"/>
        <v>1</v>
      </c>
      <c r="AB28" s="1806">
        <f t="shared" si="4"/>
        <v>1</v>
      </c>
      <c r="AC28" s="1806">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266"/>
      <c r="Q29" s="1805" t="str">
        <f t="shared" si="11"/>
        <v>成新率</v>
      </c>
      <c r="R29" s="773" t="s">
        <v>17</v>
      </c>
      <c r="S29" s="774" t="e">
        <f t="shared" si="12"/>
        <v>#N/A</v>
      </c>
      <c r="T29" s="773" t="s">
        <v>17</v>
      </c>
      <c r="U29" s="774" t="e">
        <f t="shared" si="13"/>
        <v>#N/A</v>
      </c>
      <c r="V29" s="773" t="s">
        <v>17</v>
      </c>
      <c r="W29" s="774" t="e">
        <f t="shared" si="14"/>
        <v>#N/A</v>
      </c>
      <c r="X29" s="1808"/>
      <c r="Y29" s="3266"/>
      <c r="Z29" s="1809" t="str">
        <f t="shared" si="15"/>
        <v>成新率</v>
      </c>
      <c r="AA29" s="1806" t="e">
        <f t="shared" si="3"/>
        <v>#N/A</v>
      </c>
      <c r="AB29" s="1806" t="e">
        <f t="shared" si="4"/>
        <v>#N/A</v>
      </c>
      <c r="AC29" s="1806"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266"/>
      <c r="Q30" s="1805" t="str">
        <f t="shared" si="11"/>
        <v>物业等级</v>
      </c>
      <c r="R30" s="773" t="s">
        <v>17</v>
      </c>
      <c r="S30" s="774">
        <f t="shared" si="12"/>
        <v>100</v>
      </c>
      <c r="T30" s="773" t="s">
        <v>17</v>
      </c>
      <c r="U30" s="774">
        <f t="shared" si="13"/>
        <v>100</v>
      </c>
      <c r="V30" s="773" t="s">
        <v>17</v>
      </c>
      <c r="W30" s="774">
        <f t="shared" si="14"/>
        <v>100</v>
      </c>
      <c r="X30" s="1808"/>
      <c r="Y30" s="3266"/>
      <c r="Z30" s="1809" t="str">
        <f t="shared" si="15"/>
        <v>物业等级</v>
      </c>
      <c r="AA30" s="1806">
        <f t="shared" si="3"/>
        <v>1</v>
      </c>
      <c r="AB30" s="1806">
        <f t="shared" si="4"/>
        <v>1</v>
      </c>
      <c r="AC30" s="1806">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266"/>
      <c r="Q31" s="1790" t="str">
        <f t="shared" si="11"/>
        <v>停车位面积</v>
      </c>
      <c r="R31" s="769" t="s">
        <v>17</v>
      </c>
      <c r="S31" s="770" t="e">
        <f t="shared" si="12"/>
        <v>#N/A</v>
      </c>
      <c r="T31" s="769" t="s">
        <v>17</v>
      </c>
      <c r="U31" s="770" t="e">
        <f t="shared" si="13"/>
        <v>#N/A</v>
      </c>
      <c r="V31" s="769" t="s">
        <v>17</v>
      </c>
      <c r="W31" s="770" t="e">
        <f t="shared" si="14"/>
        <v>#N/A</v>
      </c>
      <c r="X31" s="771"/>
      <c r="Y31" s="3266"/>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266" t="s">
        <v>2560</v>
      </c>
      <c r="Q32" s="1805" t="str">
        <f t="shared" si="11"/>
        <v>车位类型</v>
      </c>
      <c r="R32" s="773" t="s">
        <v>17</v>
      </c>
      <c r="S32" s="774">
        <f t="shared" si="12"/>
        <v>100</v>
      </c>
      <c r="T32" s="773" t="s">
        <v>17</v>
      </c>
      <c r="U32" s="774">
        <f t="shared" si="13"/>
        <v>100</v>
      </c>
      <c r="V32" s="773" t="s">
        <v>17</v>
      </c>
      <c r="W32" s="774">
        <f t="shared" si="14"/>
        <v>100</v>
      </c>
      <c r="X32" s="1808"/>
      <c r="Y32" s="3266" t="s">
        <v>2560</v>
      </c>
      <c r="Z32" s="1809" t="str">
        <f t="shared" si="15"/>
        <v>车位类型</v>
      </c>
      <c r="AA32" s="1806">
        <f t="shared" si="3"/>
        <v>1</v>
      </c>
      <c r="AB32" s="1806">
        <f t="shared" si="4"/>
        <v>1</v>
      </c>
      <c r="AC32" s="1806">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66"/>
      <c r="Q33" s="1805" t="str">
        <f t="shared" si="11"/>
        <v>是否直接入户</v>
      </c>
      <c r="R33" s="773" t="s">
        <v>17</v>
      </c>
      <c r="S33" s="774">
        <f t="shared" si="12"/>
        <v>100</v>
      </c>
      <c r="T33" s="773" t="s">
        <v>17</v>
      </c>
      <c r="U33" s="774">
        <f t="shared" si="13"/>
        <v>100</v>
      </c>
      <c r="V33" s="773" t="s">
        <v>17</v>
      </c>
      <c r="W33" s="774">
        <f t="shared" si="14"/>
        <v>100</v>
      </c>
      <c r="X33" s="1808"/>
      <c r="Y33" s="3266"/>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66"/>
      <c r="Q34" s="1805">
        <f t="shared" si="11"/>
        <v>111</v>
      </c>
      <c r="R34" s="773" t="s">
        <v>17</v>
      </c>
      <c r="S34" s="774">
        <f t="shared" si="12"/>
        <v>100</v>
      </c>
      <c r="T34" s="773" t="s">
        <v>17</v>
      </c>
      <c r="U34" s="774">
        <f t="shared" si="13"/>
        <v>100</v>
      </c>
      <c r="V34" s="773" t="s">
        <v>17</v>
      </c>
      <c r="W34" s="774">
        <f t="shared" si="14"/>
        <v>100</v>
      </c>
      <c r="X34" s="1808"/>
      <c r="Y34" s="3266"/>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66"/>
      <c r="Q35" s="775">
        <f t="shared" si="11"/>
        <v>111</v>
      </c>
      <c r="R35" s="776" t="s">
        <v>17</v>
      </c>
      <c r="S35" s="777">
        <f t="shared" si="12"/>
        <v>100</v>
      </c>
      <c r="T35" s="776" t="s">
        <v>17</v>
      </c>
      <c r="U35" s="777">
        <f t="shared" si="13"/>
        <v>100</v>
      </c>
      <c r="V35" s="776" t="s">
        <v>17</v>
      </c>
      <c r="W35" s="777">
        <f t="shared" si="14"/>
        <v>100</v>
      </c>
      <c r="X35" s="778"/>
      <c r="Y35" s="3266"/>
      <c r="Z35" s="779">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66"/>
      <c r="Q36" s="1805">
        <f t="shared" si="11"/>
        <v>111</v>
      </c>
      <c r="R36" s="773" t="s">
        <v>17</v>
      </c>
      <c r="S36" s="774">
        <f t="shared" si="12"/>
        <v>100</v>
      </c>
      <c r="T36" s="773" t="s">
        <v>17</v>
      </c>
      <c r="U36" s="774">
        <f t="shared" si="13"/>
        <v>100</v>
      </c>
      <c r="V36" s="773" t="s">
        <v>17</v>
      </c>
      <c r="W36" s="774">
        <f t="shared" si="14"/>
        <v>100</v>
      </c>
      <c r="X36" s="1808"/>
      <c r="Y36" s="3266"/>
      <c r="Z36" s="1809">
        <f t="shared" si="15"/>
        <v>111</v>
      </c>
      <c r="AA36" s="1806">
        <f t="shared" si="3"/>
        <v>1</v>
      </c>
      <c r="AB36" s="1806">
        <f t="shared" si="4"/>
        <v>1</v>
      </c>
      <c r="AC36" s="1806">
        <f t="shared" si="5"/>
        <v>1</v>
      </c>
    </row>
    <row r="37" spans="1:29" ht="15">
      <c r="A37" s="478" t="s">
        <v>2715</v>
      </c>
      <c r="B37" s="2691" t="s">
        <v>2716</v>
      </c>
      <c r="C37" s="1402" t="s">
        <v>1</v>
      </c>
      <c r="D37" s="1403"/>
      <c r="E37" s="1404"/>
      <c r="F37" s="1405"/>
      <c r="G37" s="1406"/>
      <c r="H37" s="1407"/>
      <c r="I37" s="1404"/>
      <c r="J37" s="1407"/>
      <c r="K37" s="618"/>
      <c r="L37" s="1138"/>
      <c r="M37" s="1139"/>
      <c r="N37" s="1126"/>
      <c r="O37" s="1139"/>
      <c r="P37" s="3248" t="str">
        <f>A37</f>
        <v>成交单价</v>
      </c>
      <c r="Q37" s="3248"/>
      <c r="R37" s="3275">
        <f>E37</f>
        <v>0</v>
      </c>
      <c r="S37" s="3275"/>
      <c r="T37" s="3275">
        <f>G37</f>
        <v>0</v>
      </c>
      <c r="U37" s="3275"/>
      <c r="V37" s="3275">
        <f>I37</f>
        <v>0</v>
      </c>
      <c r="W37" s="3275"/>
      <c r="X37" s="758"/>
      <c r="Y37" s="780"/>
      <c r="Z37" s="758"/>
      <c r="AA37" s="758"/>
      <c r="AB37" s="758"/>
      <c r="AC37" s="758"/>
    </row>
    <row r="38" spans="1:29" ht="15.75" thickBot="1">
      <c r="A38" s="485" t="s">
        <v>2717</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248" t="str">
        <f>A38</f>
        <v>比较价值（元/平方米）</v>
      </c>
      <c r="Q38" s="3248"/>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8"/>
      <c r="Y38" s="758"/>
      <c r="Z38" s="758"/>
      <c r="AA38" s="758"/>
      <c r="AB38" s="758"/>
      <c r="AC38" s="758"/>
    </row>
    <row r="39" spans="1:29" ht="15.75" thickBot="1">
      <c r="A39" s="491" t="s">
        <v>2718</v>
      </c>
      <c r="B39" s="492"/>
      <c r="C39" s="1412" t="e">
        <f>R39</f>
        <v>#DIV/0!</v>
      </c>
      <c r="D39" s="1412"/>
      <c r="E39" s="1412"/>
      <c r="F39" s="1412"/>
      <c r="G39" s="1412"/>
      <c r="H39" s="1412"/>
      <c r="I39" s="1412"/>
      <c r="J39" s="1412"/>
      <c r="K39" s="620"/>
      <c r="L39" s="1138"/>
      <c r="M39" s="1139"/>
      <c r="N39" s="1139"/>
      <c r="O39" s="1139"/>
      <c r="P39" s="3268" t="str">
        <f>A39</f>
        <v>估价对象XX用房的比较价值（楼面单价，元/平方米）</v>
      </c>
      <c r="Q39" s="3269"/>
      <c r="R39" s="3274" t="e">
        <f>IF(F1="售价",ROUND(AVERAGE(R38:V38),0),ROUND(AVERAGE(R38:V38),1))</f>
        <v>#DIV/0!</v>
      </c>
      <c r="S39" s="3274"/>
      <c r="T39" s="3274"/>
      <c r="U39" s="3274"/>
      <c r="V39" s="3274"/>
      <c r="W39" s="3274"/>
      <c r="X39" s="758"/>
      <c r="Y39" s="758"/>
      <c r="Z39" s="758"/>
      <c r="AA39" s="758"/>
      <c r="AB39" s="758"/>
      <c r="AC39" s="758"/>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2722</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2723</v>
      </c>
      <c r="B48" s="505"/>
      <c r="C48" s="1569" t="str">
        <f>YEAR(C7)&amp;"-"&amp;MONTH(C7)</f>
        <v>2019-10</v>
      </c>
      <c r="D48" s="1570">
        <f>EDATE(C48,-1)</f>
        <v>43709</v>
      </c>
      <c r="E48" s="1570">
        <f t="shared" ref="E48:O48" si="16">EDATE(D48,-1)</f>
        <v>43678</v>
      </c>
      <c r="F48" s="1570">
        <f t="shared" si="16"/>
        <v>43647</v>
      </c>
      <c r="G48" s="1570">
        <f t="shared" si="16"/>
        <v>43617</v>
      </c>
      <c r="H48" s="1570">
        <f t="shared" si="16"/>
        <v>43586</v>
      </c>
      <c r="I48" s="1570">
        <f t="shared" si="16"/>
        <v>43556</v>
      </c>
      <c r="J48" s="1570">
        <f t="shared" si="16"/>
        <v>43525</v>
      </c>
      <c r="K48" s="1570">
        <f t="shared" si="16"/>
        <v>43497</v>
      </c>
      <c r="L48" s="1570">
        <f t="shared" si="16"/>
        <v>43466</v>
      </c>
      <c r="M48" s="1570">
        <f t="shared" si="16"/>
        <v>43435</v>
      </c>
      <c r="N48" s="1570">
        <f t="shared" si="16"/>
        <v>43405</v>
      </c>
      <c r="O48" s="1570">
        <f t="shared" si="16"/>
        <v>43374</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2580</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2545</v>
      </c>
      <c r="B51" s="509"/>
      <c r="C51" s="521" t="s">
        <v>2647</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2583</v>
      </c>
      <c r="B53" s="527" t="s">
        <v>2549</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2598</v>
      </c>
      <c r="C65" s="577" t="s">
        <v>2592</v>
      </c>
      <c r="D65" s="577" t="s">
        <v>2593</v>
      </c>
      <c r="E65" s="577" t="s">
        <v>2594</v>
      </c>
      <c r="F65" s="577" t="s">
        <v>2595</v>
      </c>
      <c r="G65" s="577" t="s">
        <v>2596</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2684</v>
      </c>
      <c r="C67" s="659" t="s">
        <v>2670</v>
      </c>
      <c r="D67" s="659" t="s">
        <v>2671</v>
      </c>
      <c r="E67" s="659" t="s">
        <v>2672</v>
      </c>
      <c r="F67" s="659" t="s">
        <v>2673</v>
      </c>
      <c r="G67" s="659" t="s">
        <v>2674</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2604</v>
      </c>
      <c r="C69" s="577" t="s">
        <v>2592</v>
      </c>
      <c r="D69" s="577" t="s">
        <v>2593</v>
      </c>
      <c r="E69" s="577" t="s">
        <v>2594</v>
      </c>
      <c r="F69" s="577" t="s">
        <v>2595</v>
      </c>
      <c r="G69" s="577" t="s">
        <v>2596</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2724</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2558</v>
      </c>
      <c r="B79" s="527" t="s">
        <v>2725</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2726</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2611</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2728</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2730</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2731</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2702</v>
      </c>
      <c r="B1" s="1614"/>
      <c r="C1" s="1615" t="s">
        <v>2525</v>
      </c>
      <c r="D1" s="1616"/>
      <c r="E1" s="1625"/>
      <c r="F1" s="2583"/>
      <c r="G1" s="1626" t="s">
        <v>2638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IF(C2="——",ROUND(C37*D3/10000,0),ROUND(C37*D3/10000,0)-D2)</f>
        <v>#DIV/0!</v>
      </c>
      <c r="C2" s="2585"/>
      <c r="D2" s="1119" t="e">
        <f ca="1">SUMIF(INDIRECT("'"&amp;F2&amp;"'"&amp;"!A:A"),"承租人权益价值",INDIRECT("'"&amp;F2&amp;"'"&amp;"!c:c"))</f>
        <v>#REF!</v>
      </c>
      <c r="E2" s="2586" t="s">
        <v>2326</v>
      </c>
      <c r="F2" s="2587"/>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30" t="s">
        <v>2643</v>
      </c>
      <c r="AC4" s="3229" t="s">
        <v>2644</v>
      </c>
    </row>
    <row r="5" spans="1:29" ht="15">
      <c r="A5" s="403"/>
      <c r="B5" s="404"/>
      <c r="C5" s="3240" t="s">
        <v>2537</v>
      </c>
      <c r="D5" s="3241"/>
      <c r="E5" s="3309" t="s">
        <v>2538</v>
      </c>
      <c r="F5" s="3239"/>
      <c r="G5" s="3240" t="s">
        <v>2539</v>
      </c>
      <c r="H5" s="3241"/>
      <c r="I5" s="3240" t="s">
        <v>2540</v>
      </c>
      <c r="J5" s="3241"/>
      <c r="K5" s="609"/>
      <c r="L5" s="1125"/>
      <c r="M5" s="1126"/>
      <c r="N5" s="1126"/>
      <c r="O5" s="1126"/>
      <c r="P5" s="3255"/>
      <c r="Q5" s="3256"/>
      <c r="R5" s="3236"/>
      <c r="S5" s="3237"/>
      <c r="T5" s="3236"/>
      <c r="U5" s="3237"/>
      <c r="V5" s="3261"/>
      <c r="W5" s="3261"/>
      <c r="X5" s="1808"/>
      <c r="Y5" s="3236"/>
      <c r="Z5" s="3237"/>
      <c r="AA5" s="3230"/>
      <c r="AB5" s="3230"/>
      <c r="AC5" s="3230"/>
    </row>
    <row r="6" spans="1:29" ht="15.75" thickBot="1">
      <c r="A6" s="405"/>
      <c r="B6" s="406"/>
      <c r="C6" s="3242" t="s">
        <v>2541</v>
      </c>
      <c r="D6" s="3243"/>
      <c r="E6" s="3310" t="s">
        <v>2541</v>
      </c>
      <c r="F6" s="3246"/>
      <c r="G6" s="3242" t="s">
        <v>2541</v>
      </c>
      <c r="H6" s="3243"/>
      <c r="I6" s="3242" t="s">
        <v>2541</v>
      </c>
      <c r="J6" s="3243"/>
      <c r="K6" s="609" t="s">
        <v>2542</v>
      </c>
      <c r="L6" s="1125"/>
      <c r="M6" s="1126"/>
      <c r="N6" s="1126"/>
      <c r="O6" s="1126"/>
      <c r="P6" s="3257"/>
      <c r="Q6" s="3258"/>
      <c r="R6" s="3236"/>
      <c r="S6" s="3237"/>
      <c r="T6" s="3259"/>
      <c r="U6" s="3260"/>
      <c r="V6" s="3261"/>
      <c r="W6" s="3261"/>
      <c r="X6" s="1808"/>
      <c r="Y6" s="3259"/>
      <c r="Z6" s="3260"/>
      <c r="AA6" s="3231"/>
      <c r="AB6" s="3231"/>
      <c r="AC6" s="3231"/>
    </row>
    <row r="7" spans="1:29" s="116" customFormat="1" ht="15.75" thickBot="1">
      <c r="A7" s="407" t="s">
        <v>2543</v>
      </c>
      <c r="B7" s="408"/>
      <c r="C7" s="409">
        <f>'数据-取费表'!B2</f>
        <v>43758</v>
      </c>
      <c r="D7" s="410">
        <v>100</v>
      </c>
      <c r="E7" s="411"/>
      <c r="F7" s="412">
        <f>SUMIF(46:46,YEAR(E7)&amp;"-"&amp;MONTH(E7),47:47)</f>
        <v>0</v>
      </c>
      <c r="G7" s="2692"/>
      <c r="H7" s="410">
        <f>SUMIF(46:46,YEAR(G7)&amp;"-"&amp;MONTH(G7),47:47)</f>
        <v>0</v>
      </c>
      <c r="I7" s="411"/>
      <c r="J7" s="410">
        <f>SUMIF(46:46,YEAR(I7)&amp;"-"&amp;MONTH(I7),47:47)</f>
        <v>0</v>
      </c>
      <c r="K7" s="610"/>
      <c r="L7" s="1127"/>
      <c r="M7" s="1128"/>
      <c r="N7" s="1128"/>
      <c r="O7" s="1128"/>
      <c r="P7" s="3232" t="s">
        <v>2544</v>
      </c>
      <c r="Q7" s="3262"/>
      <c r="R7" s="769" t="s">
        <v>17</v>
      </c>
      <c r="S7" s="770">
        <f t="shared" ref="S7:S14" si="0">F7</f>
        <v>0</v>
      </c>
      <c r="T7" s="769" t="s">
        <v>17</v>
      </c>
      <c r="U7" s="770">
        <f t="shared" ref="U7:U14" si="1">H7</f>
        <v>0</v>
      </c>
      <c r="V7" s="769" t="s">
        <v>17</v>
      </c>
      <c r="W7" s="770">
        <f t="shared" ref="W7:W14" si="2">J7</f>
        <v>0</v>
      </c>
      <c r="X7" s="771"/>
      <c r="Y7" s="3232" t="s">
        <v>2544</v>
      </c>
      <c r="Z7" s="3233"/>
      <c r="AA7" s="772" t="e">
        <f>D7/F7</f>
        <v>#DIV/0!</v>
      </c>
      <c r="AB7" s="772" t="e">
        <f>D7/H7</f>
        <v>#DIV/0!</v>
      </c>
      <c r="AC7" s="772"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32" t="s">
        <v>2547</v>
      </c>
      <c r="Q8" s="3233"/>
      <c r="R8" s="769" t="s">
        <v>17</v>
      </c>
      <c r="S8" s="770">
        <f t="shared" si="0"/>
        <v>0</v>
      </c>
      <c r="T8" s="769" t="s">
        <v>17</v>
      </c>
      <c r="U8" s="770">
        <f t="shared" si="1"/>
        <v>0</v>
      </c>
      <c r="V8" s="769" t="s">
        <v>17</v>
      </c>
      <c r="W8" s="770">
        <f t="shared" si="2"/>
        <v>0</v>
      </c>
      <c r="X8" s="771"/>
      <c r="Y8" s="3232" t="s">
        <v>2547</v>
      </c>
      <c r="Z8" s="3233"/>
      <c r="AA8" s="772" t="e">
        <f t="shared" ref="AA8:AA34" si="3">D8/F8</f>
        <v>#DIV/0!</v>
      </c>
      <c r="AB8" s="772" t="e">
        <f t="shared" ref="AB8:AB34" si="4">D8/H8</f>
        <v>#DIV/0!</v>
      </c>
      <c r="AC8" s="772"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248" t="s">
        <v>2550</v>
      </c>
      <c r="Q9" s="1790" t="str">
        <f t="shared" ref="Q9:Q14" si="6">B9</f>
        <v>用途</v>
      </c>
      <c r="R9" s="769" t="s">
        <v>17</v>
      </c>
      <c r="S9" s="770">
        <f t="shared" si="0"/>
        <v>100</v>
      </c>
      <c r="T9" s="769" t="s">
        <v>17</v>
      </c>
      <c r="U9" s="770">
        <f t="shared" si="1"/>
        <v>100</v>
      </c>
      <c r="V9" s="769" t="s">
        <v>17</v>
      </c>
      <c r="W9" s="770">
        <f t="shared" si="2"/>
        <v>100</v>
      </c>
      <c r="X9" s="771"/>
      <c r="Y9" s="3102"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248"/>
      <c r="Q10" s="1790" t="str">
        <f t="shared" si="6"/>
        <v>土地使用年限（年）</v>
      </c>
      <c r="R10" s="769" t="s">
        <v>17</v>
      </c>
      <c r="S10" s="770">
        <f t="shared" si="0"/>
        <v>100</v>
      </c>
      <c r="T10" s="769" t="s">
        <v>17</v>
      </c>
      <c r="U10" s="770">
        <f t="shared" si="1"/>
        <v>100</v>
      </c>
      <c r="V10" s="769" t="s">
        <v>17</v>
      </c>
      <c r="W10" s="770">
        <f t="shared" si="2"/>
        <v>100</v>
      </c>
      <c r="X10" s="771"/>
      <c r="Y10" s="3102"/>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248"/>
      <c r="Q11" s="1790">
        <f t="shared" si="6"/>
        <v>111</v>
      </c>
      <c r="R11" s="769" t="s">
        <v>17</v>
      </c>
      <c r="S11" s="770">
        <f t="shared" si="0"/>
        <v>100</v>
      </c>
      <c r="T11" s="769" t="s">
        <v>17</v>
      </c>
      <c r="U11" s="770">
        <f t="shared" si="1"/>
        <v>100</v>
      </c>
      <c r="V11" s="769" t="s">
        <v>17</v>
      </c>
      <c r="W11" s="770">
        <f t="shared" si="2"/>
        <v>100</v>
      </c>
      <c r="X11" s="771"/>
      <c r="Y11" s="3102"/>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248"/>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35"/>
      <c r="M13" s="1126"/>
      <c r="N13" s="1126"/>
      <c r="O13" s="1134"/>
      <c r="P13" s="3248"/>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85.5">
      <c r="A14" s="439" t="s">
        <v>2554</v>
      </c>
      <c r="B14" s="69" t="s">
        <v>2704</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63" t="s">
        <v>2555</v>
      </c>
      <c r="Q14" s="1805" t="str">
        <f t="shared" si="6"/>
        <v>交通便捷度</v>
      </c>
      <c r="R14" s="773" t="s">
        <v>17</v>
      </c>
      <c r="S14" s="774">
        <f t="shared" si="0"/>
        <v>100</v>
      </c>
      <c r="T14" s="773" t="s">
        <v>17</v>
      </c>
      <c r="U14" s="774">
        <f t="shared" si="1"/>
        <v>100</v>
      </c>
      <c r="V14" s="773" t="s">
        <v>17</v>
      </c>
      <c r="W14" s="774">
        <f t="shared" si="2"/>
        <v>100</v>
      </c>
      <c r="X14" s="1808"/>
      <c r="Y14" s="3263" t="s">
        <v>2555</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264"/>
      <c r="Q15" s="1805"/>
      <c r="R15" s="773"/>
      <c r="S15" s="774"/>
      <c r="T15" s="773"/>
      <c r="U15" s="774"/>
      <c r="V15" s="773"/>
      <c r="W15" s="774"/>
      <c r="X15" s="1808"/>
      <c r="Y15" s="3264"/>
      <c r="Z15" s="1809"/>
      <c r="AA15" s="1806">
        <v>1</v>
      </c>
      <c r="AB15" s="1806">
        <v>1</v>
      </c>
      <c r="AC15" s="1806">
        <v>1</v>
      </c>
    </row>
    <row r="16" spans="1:29" ht="42.75">
      <c r="A16" s="427"/>
      <c r="B16" s="450" t="s">
        <v>2683</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64"/>
      <c r="Q16" s="1805" t="str">
        <f>B16</f>
        <v>公共配套设施</v>
      </c>
      <c r="R16" s="773" t="s">
        <v>17</v>
      </c>
      <c r="S16" s="774">
        <f>F16</f>
        <v>100</v>
      </c>
      <c r="T16" s="773" t="s">
        <v>17</v>
      </c>
      <c r="U16" s="774">
        <f>H16</f>
        <v>100</v>
      </c>
      <c r="V16" s="773" t="s">
        <v>17</v>
      </c>
      <c r="W16" s="774">
        <f>J16</f>
        <v>100</v>
      </c>
      <c r="X16" s="1808"/>
      <c r="Y16" s="3264"/>
      <c r="Z16" s="1809" t="str">
        <f>Q16</f>
        <v>公共配套设施</v>
      </c>
      <c r="AA16" s="1806">
        <f t="shared" si="3"/>
        <v>1</v>
      </c>
      <c r="AB16" s="1806">
        <f t="shared" si="4"/>
        <v>1</v>
      </c>
      <c r="AC16" s="1806">
        <f t="shared" si="5"/>
        <v>1</v>
      </c>
    </row>
    <row r="17" spans="1:29" ht="15">
      <c r="A17" s="427"/>
      <c r="B17" s="455"/>
      <c r="C17" s="2606"/>
      <c r="D17" s="447"/>
      <c r="E17" s="446"/>
      <c r="F17" s="448"/>
      <c r="G17" s="446"/>
      <c r="H17" s="447"/>
      <c r="I17" s="446"/>
      <c r="J17" s="447"/>
      <c r="K17" s="614"/>
      <c r="L17" s="1135"/>
      <c r="M17" s="1126"/>
      <c r="N17" s="1126"/>
      <c r="O17" s="1134"/>
      <c r="P17" s="3264"/>
      <c r="Q17" s="1805"/>
      <c r="R17" s="773"/>
      <c r="S17" s="774"/>
      <c r="T17" s="773"/>
      <c r="U17" s="774"/>
      <c r="V17" s="773"/>
      <c r="W17" s="774"/>
      <c r="X17" s="1808"/>
      <c r="Y17" s="3264"/>
      <c r="Z17" s="1809"/>
      <c r="AA17" s="1806">
        <v>1</v>
      </c>
      <c r="AB17" s="1806">
        <v>1</v>
      </c>
      <c r="AC17" s="1806">
        <v>1</v>
      </c>
    </row>
    <row r="18" spans="1:29" ht="28.5">
      <c r="A18" s="427"/>
      <c r="B18" s="1379" t="s">
        <v>2684</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64"/>
      <c r="Q18" s="1805" t="str">
        <f>B18</f>
        <v>基础设施水平</v>
      </c>
      <c r="R18" s="773" t="s">
        <v>17</v>
      </c>
      <c r="S18" s="774">
        <f>F18</f>
        <v>100</v>
      </c>
      <c r="T18" s="773" t="s">
        <v>17</v>
      </c>
      <c r="U18" s="774">
        <f>H18</f>
        <v>100</v>
      </c>
      <c r="V18" s="773" t="s">
        <v>17</v>
      </c>
      <c r="W18" s="774">
        <f>J18</f>
        <v>100</v>
      </c>
      <c r="X18" s="1808"/>
      <c r="Y18" s="3264"/>
      <c r="Z18" s="1809" t="str">
        <f>Q18</f>
        <v>基础设施水平</v>
      </c>
      <c r="AA18" s="1806">
        <f t="shared" ref="AA18" si="8">D18/F18</f>
        <v>1</v>
      </c>
      <c r="AB18" s="1806">
        <f t="shared" ref="AB18" si="9">D18/H18</f>
        <v>1</v>
      </c>
      <c r="AC18" s="1806">
        <f t="shared" ref="AC18" si="10">D18/J18</f>
        <v>1</v>
      </c>
    </row>
    <row r="19" spans="1:29" ht="15">
      <c r="A19" s="427"/>
      <c r="B19" s="1379"/>
      <c r="C19" s="2606"/>
      <c r="D19" s="449"/>
      <c r="E19" s="2606"/>
      <c r="F19" s="452"/>
      <c r="G19" s="2606"/>
      <c r="H19" s="447"/>
      <c r="I19" s="446"/>
      <c r="J19" s="447"/>
      <c r="K19" s="1378"/>
      <c r="L19" s="1135"/>
      <c r="M19" s="1126"/>
      <c r="N19" s="1126"/>
      <c r="O19" s="1134"/>
      <c r="P19" s="3264"/>
      <c r="Q19" s="1805"/>
      <c r="R19" s="773"/>
      <c r="S19" s="774"/>
      <c r="T19" s="773"/>
      <c r="U19" s="774"/>
      <c r="V19" s="773"/>
      <c r="W19" s="774"/>
      <c r="X19" s="1808"/>
      <c r="Y19" s="3264"/>
      <c r="Z19" s="1809"/>
      <c r="AA19" s="1806">
        <v>1</v>
      </c>
      <c r="AB19" s="1806">
        <v>1</v>
      </c>
      <c r="AC19" s="1806">
        <v>1</v>
      </c>
    </row>
    <row r="20" spans="1:29" ht="57">
      <c r="A20" s="427"/>
      <c r="B20" s="450" t="s">
        <v>2705</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64"/>
      <c r="Q20" s="1805" t="str">
        <f>B20</f>
        <v>自然及人文环境</v>
      </c>
      <c r="R20" s="773" t="s">
        <v>17</v>
      </c>
      <c r="S20" s="774">
        <f>F20</f>
        <v>100</v>
      </c>
      <c r="T20" s="773" t="s">
        <v>17</v>
      </c>
      <c r="U20" s="774">
        <f>H20</f>
        <v>100</v>
      </c>
      <c r="V20" s="773" t="s">
        <v>17</v>
      </c>
      <c r="W20" s="774">
        <f>J20</f>
        <v>100</v>
      </c>
      <c r="X20" s="1808"/>
      <c r="Y20" s="3264"/>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264"/>
      <c r="Q21" s="1805"/>
      <c r="R21" s="773"/>
      <c r="S21" s="774"/>
      <c r="T21" s="773"/>
      <c r="U21" s="774"/>
      <c r="V21" s="773"/>
      <c r="W21" s="774"/>
      <c r="X21" s="1808"/>
      <c r="Y21" s="3264"/>
      <c r="Z21" s="1809"/>
      <c r="AA21" s="1806">
        <v>1</v>
      </c>
      <c r="AB21" s="1806">
        <v>1</v>
      </c>
      <c r="AC21" s="1806">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64"/>
      <c r="Q22" s="1805" t="str">
        <f>B22</f>
        <v>楼层</v>
      </c>
      <c r="R22" s="773" t="s">
        <v>17</v>
      </c>
      <c r="S22" s="774">
        <f>F22</f>
        <v>100</v>
      </c>
      <c r="T22" s="773" t="s">
        <v>17</v>
      </c>
      <c r="U22" s="774">
        <f>H22</f>
        <v>100</v>
      </c>
      <c r="V22" s="773" t="s">
        <v>17</v>
      </c>
      <c r="W22" s="774">
        <f>J22</f>
        <v>100</v>
      </c>
      <c r="X22" s="1808"/>
      <c r="Y22" s="3264"/>
      <c r="Z22" s="1809" t="str">
        <f>Q22</f>
        <v>楼层</v>
      </c>
      <c r="AA22" s="1806">
        <f t="shared" si="3"/>
        <v>1</v>
      </c>
      <c r="AB22" s="1806">
        <f t="shared" si="4"/>
        <v>1</v>
      </c>
      <c r="AC22" s="1806">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64"/>
      <c r="Q23" s="1805">
        <f>B23</f>
        <v>111</v>
      </c>
      <c r="R23" s="773" t="s">
        <v>17</v>
      </c>
      <c r="S23" s="774">
        <f>F23</f>
        <v>100</v>
      </c>
      <c r="T23" s="773" t="s">
        <v>17</v>
      </c>
      <c r="U23" s="774">
        <f>H23</f>
        <v>100</v>
      </c>
      <c r="V23" s="773" t="s">
        <v>17</v>
      </c>
      <c r="W23" s="774">
        <f>J23</f>
        <v>100</v>
      </c>
      <c r="X23" s="1808"/>
      <c r="Y23" s="3264"/>
      <c r="Z23" s="1809">
        <f>Q23</f>
        <v>111</v>
      </c>
      <c r="AA23" s="1806">
        <f t="shared" si="3"/>
        <v>1</v>
      </c>
      <c r="AB23" s="1806">
        <f t="shared" si="4"/>
        <v>1</v>
      </c>
      <c r="AC23" s="1806">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64"/>
      <c r="Q24" s="1805">
        <f t="shared" ref="Q24:Q34" si="11">B24</f>
        <v>111</v>
      </c>
      <c r="R24" s="773" t="s">
        <v>17</v>
      </c>
      <c r="S24" s="774">
        <f>F24</f>
        <v>100</v>
      </c>
      <c r="T24" s="773" t="s">
        <v>17</v>
      </c>
      <c r="U24" s="774">
        <f>H24</f>
        <v>100</v>
      </c>
      <c r="V24" s="773" t="s">
        <v>17</v>
      </c>
      <c r="W24" s="774">
        <f>J24</f>
        <v>100</v>
      </c>
      <c r="X24" s="1808"/>
      <c r="Y24" s="3264"/>
      <c r="Z24" s="1809">
        <f>Q24</f>
        <v>111</v>
      </c>
      <c r="AA24" s="1806">
        <f t="shared" si="3"/>
        <v>1</v>
      </c>
      <c r="AB24" s="1806">
        <f t="shared" si="4"/>
        <v>1</v>
      </c>
      <c r="AC24" s="1806">
        <f t="shared" si="5"/>
        <v>1</v>
      </c>
    </row>
    <row r="25" spans="1:29" s="116"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27"/>
      <c r="M25" s="1128"/>
      <c r="N25" s="1128"/>
      <c r="O25" s="1129"/>
      <c r="P25" s="3264"/>
      <c r="Q25" s="1790">
        <f t="shared" si="11"/>
        <v>111</v>
      </c>
      <c r="R25" s="769" t="s">
        <v>17</v>
      </c>
      <c r="S25" s="770">
        <f>F25</f>
        <v>100</v>
      </c>
      <c r="T25" s="769" t="s">
        <v>17</v>
      </c>
      <c r="U25" s="770">
        <f>H25</f>
        <v>100</v>
      </c>
      <c r="V25" s="769" t="s">
        <v>17</v>
      </c>
      <c r="W25" s="770">
        <f>J25</f>
        <v>100</v>
      </c>
      <c r="X25" s="771"/>
      <c r="Y25" s="3264"/>
      <c r="Z25" s="55">
        <f>Q25</f>
        <v>111</v>
      </c>
      <c r="AA25" s="1806">
        <f>D25/F25</f>
        <v>1</v>
      </c>
      <c r="AB25" s="1806">
        <f>D25/H25</f>
        <v>1</v>
      </c>
      <c r="AC25" s="1806">
        <f>D25/J25</f>
        <v>1</v>
      </c>
    </row>
    <row r="26" spans="1:29" ht="28.5">
      <c r="A26" s="465" t="s">
        <v>2558</v>
      </c>
      <c r="B26" s="71" t="s">
        <v>2709</v>
      </c>
      <c r="C26" s="2675"/>
      <c r="D26" s="466">
        <v>100</v>
      </c>
      <c r="E26" s="2675"/>
      <c r="F26" s="666">
        <f>SUMIF(77:77,E26,78:78)-SUMIF(77:77,C26,78:78)+100</f>
        <v>100</v>
      </c>
      <c r="G26" s="2675"/>
      <c r="H26" s="466">
        <f>SUMIF(77:77,G26,78:78)-SUMIF(77:77,C26,78:78)+100</f>
        <v>100</v>
      </c>
      <c r="I26" s="2675"/>
      <c r="J26" s="466">
        <f>SUMIF(77:77,I26,78:78)-SUMIF(77:77,C26,78:78)+100</f>
        <v>100</v>
      </c>
      <c r="K26" s="611"/>
      <c r="L26" s="1135"/>
      <c r="M26" s="1126"/>
      <c r="N26" s="1126"/>
      <c r="O26" s="1134"/>
      <c r="P26" s="3265" t="s">
        <v>2560</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66" t="s">
        <v>2560</v>
      </c>
      <c r="Z26" s="1809" t="str">
        <f t="shared" ref="Z26:Z34" si="15">Q26</f>
        <v>公共部分装修</v>
      </c>
      <c r="AA26" s="1806">
        <f t="shared" si="3"/>
        <v>1</v>
      </c>
      <c r="AB26" s="1806">
        <f t="shared" si="4"/>
        <v>1</v>
      </c>
      <c r="AC26" s="1806">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66"/>
      <c r="Q27" s="775" t="str">
        <f t="shared" si="11"/>
        <v>成新率</v>
      </c>
      <c r="R27" s="776" t="s">
        <v>17</v>
      </c>
      <c r="S27" s="777" t="e">
        <f t="shared" si="12"/>
        <v>#N/A</v>
      </c>
      <c r="T27" s="776" t="s">
        <v>17</v>
      </c>
      <c r="U27" s="777" t="e">
        <f t="shared" si="13"/>
        <v>#N/A</v>
      </c>
      <c r="V27" s="776" t="s">
        <v>17</v>
      </c>
      <c r="W27" s="777" t="e">
        <f t="shared" si="14"/>
        <v>#N/A</v>
      </c>
      <c r="X27" s="778"/>
      <c r="Y27" s="3266"/>
      <c r="Z27" s="779" t="str">
        <f t="shared" si="15"/>
        <v>成新率</v>
      </c>
      <c r="AA27" s="1806" t="e">
        <f t="shared" si="3"/>
        <v>#N/A</v>
      </c>
      <c r="AB27" s="1806" t="e">
        <f t="shared" si="4"/>
        <v>#N/A</v>
      </c>
      <c r="AC27" s="1806"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66"/>
      <c r="Q28" s="1805" t="str">
        <f t="shared" si="11"/>
        <v>物业等级</v>
      </c>
      <c r="R28" s="773" t="s">
        <v>17</v>
      </c>
      <c r="S28" s="774">
        <f t="shared" si="12"/>
        <v>100</v>
      </c>
      <c r="T28" s="773" t="s">
        <v>17</v>
      </c>
      <c r="U28" s="774">
        <f t="shared" si="13"/>
        <v>100</v>
      </c>
      <c r="V28" s="773" t="s">
        <v>17</v>
      </c>
      <c r="W28" s="774">
        <f t="shared" si="14"/>
        <v>100</v>
      </c>
      <c r="X28" s="1808"/>
      <c r="Y28" s="3266"/>
      <c r="Z28" s="1809" t="str">
        <f t="shared" si="15"/>
        <v>物业等级</v>
      </c>
      <c r="AA28" s="1806">
        <f t="shared" si="3"/>
        <v>1</v>
      </c>
      <c r="AB28" s="1806">
        <f t="shared" si="4"/>
        <v>1</v>
      </c>
      <c r="AC28" s="1806">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266"/>
      <c r="Q29" s="1805" t="str">
        <f t="shared" si="11"/>
        <v>有无电梯</v>
      </c>
      <c r="R29" s="773" t="s">
        <v>17</v>
      </c>
      <c r="S29" s="774">
        <f t="shared" si="12"/>
        <v>100</v>
      </c>
      <c r="T29" s="773" t="s">
        <v>17</v>
      </c>
      <c r="U29" s="774">
        <f t="shared" si="13"/>
        <v>100</v>
      </c>
      <c r="V29" s="773" t="s">
        <v>17</v>
      </c>
      <c r="W29" s="774">
        <f t="shared" si="14"/>
        <v>100</v>
      </c>
      <c r="X29" s="1808"/>
      <c r="Y29" s="3266"/>
      <c r="Z29" s="1809" t="str">
        <f t="shared" si="15"/>
        <v>有无电梯</v>
      </c>
      <c r="AA29" s="1806">
        <f t="shared" si="3"/>
        <v>1</v>
      </c>
      <c r="AB29" s="1806">
        <f t="shared" si="4"/>
        <v>1</v>
      </c>
      <c r="AC29" s="1806">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66"/>
      <c r="Q30" s="1805" t="str">
        <f t="shared" si="11"/>
        <v>建筑面积</v>
      </c>
      <c r="R30" s="773" t="s">
        <v>17</v>
      </c>
      <c r="S30" s="774" t="e">
        <f t="shared" si="12"/>
        <v>#N/A</v>
      </c>
      <c r="T30" s="773" t="s">
        <v>17</v>
      </c>
      <c r="U30" s="774" t="e">
        <f t="shared" si="13"/>
        <v>#N/A</v>
      </c>
      <c r="V30" s="773" t="s">
        <v>17</v>
      </c>
      <c r="W30" s="774" t="e">
        <f t="shared" si="14"/>
        <v>#N/A</v>
      </c>
      <c r="X30" s="1808"/>
      <c r="Y30" s="3266"/>
      <c r="Z30" s="1809" t="str">
        <f t="shared" si="15"/>
        <v>建筑面积</v>
      </c>
      <c r="AA30" s="1806" t="e">
        <f t="shared" si="3"/>
        <v>#N/A</v>
      </c>
      <c r="AB30" s="1806" t="e">
        <f t="shared" si="4"/>
        <v>#N/A</v>
      </c>
      <c r="AC30" s="1806"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266"/>
      <c r="Q31" s="1790" t="str">
        <f t="shared" si="11"/>
        <v>是否封闭</v>
      </c>
      <c r="R31" s="769" t="s">
        <v>17</v>
      </c>
      <c r="S31" s="770">
        <f t="shared" si="12"/>
        <v>100</v>
      </c>
      <c r="T31" s="769" t="s">
        <v>17</v>
      </c>
      <c r="U31" s="770">
        <f t="shared" si="13"/>
        <v>100</v>
      </c>
      <c r="V31" s="769" t="s">
        <v>17</v>
      </c>
      <c r="W31" s="770">
        <f t="shared" si="14"/>
        <v>100</v>
      </c>
      <c r="X31" s="771"/>
      <c r="Y31" s="3266"/>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66" t="s">
        <v>2560</v>
      </c>
      <c r="Q32" s="1805">
        <f t="shared" si="11"/>
        <v>111</v>
      </c>
      <c r="R32" s="773" t="s">
        <v>17</v>
      </c>
      <c r="S32" s="774">
        <f t="shared" si="12"/>
        <v>100</v>
      </c>
      <c r="T32" s="773" t="s">
        <v>17</v>
      </c>
      <c r="U32" s="774">
        <f t="shared" si="13"/>
        <v>100</v>
      </c>
      <c r="V32" s="773" t="s">
        <v>17</v>
      </c>
      <c r="W32" s="774">
        <f t="shared" si="14"/>
        <v>100</v>
      </c>
      <c r="X32" s="1808"/>
      <c r="Y32" s="3266" t="s">
        <v>2560</v>
      </c>
      <c r="Z32" s="1809">
        <f t="shared" si="15"/>
        <v>111</v>
      </c>
      <c r="AA32" s="1806">
        <f t="shared" si="3"/>
        <v>1</v>
      </c>
      <c r="AB32" s="1806">
        <f t="shared" si="4"/>
        <v>1</v>
      </c>
      <c r="AC32" s="1806">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66"/>
      <c r="Q33" s="1805">
        <f t="shared" si="11"/>
        <v>111</v>
      </c>
      <c r="R33" s="773" t="s">
        <v>17</v>
      </c>
      <c r="S33" s="774">
        <f t="shared" si="12"/>
        <v>100</v>
      </c>
      <c r="T33" s="773" t="s">
        <v>17</v>
      </c>
      <c r="U33" s="774">
        <f t="shared" si="13"/>
        <v>100</v>
      </c>
      <c r="V33" s="773" t="s">
        <v>17</v>
      </c>
      <c r="W33" s="774">
        <f t="shared" si="14"/>
        <v>100</v>
      </c>
      <c r="X33" s="1808"/>
      <c r="Y33" s="3266"/>
      <c r="Z33" s="1809">
        <f t="shared" si="15"/>
        <v>111</v>
      </c>
      <c r="AA33" s="1806">
        <f t="shared" si="3"/>
        <v>1</v>
      </c>
      <c r="AB33" s="1806">
        <f t="shared" si="4"/>
        <v>1</v>
      </c>
      <c r="AC33" s="1806">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35"/>
      <c r="M34" s="1126"/>
      <c r="N34" s="1126"/>
      <c r="O34" s="1134"/>
      <c r="P34" s="3266"/>
      <c r="Q34" s="1805">
        <f t="shared" si="11"/>
        <v>111</v>
      </c>
      <c r="R34" s="773" t="s">
        <v>17</v>
      </c>
      <c r="S34" s="774">
        <f t="shared" si="12"/>
        <v>100</v>
      </c>
      <c r="T34" s="773" t="s">
        <v>17</v>
      </c>
      <c r="U34" s="774">
        <f t="shared" si="13"/>
        <v>100</v>
      </c>
      <c r="V34" s="773" t="s">
        <v>17</v>
      </c>
      <c r="W34" s="774">
        <f t="shared" si="14"/>
        <v>100</v>
      </c>
      <c r="X34" s="1808"/>
      <c r="Y34" s="3266"/>
      <c r="Z34" s="1809">
        <f t="shared" si="15"/>
        <v>111</v>
      </c>
      <c r="AA34" s="1806">
        <f t="shared" si="3"/>
        <v>1</v>
      </c>
      <c r="AB34" s="1806">
        <f t="shared" si="4"/>
        <v>1</v>
      </c>
      <c r="AC34" s="1806">
        <f t="shared" si="5"/>
        <v>1</v>
      </c>
    </row>
    <row r="35" spans="1:29" ht="15">
      <c r="A35" s="478" t="s">
        <v>2572</v>
      </c>
      <c r="B35" s="479"/>
      <c r="C35" s="1402" t="s">
        <v>1</v>
      </c>
      <c r="D35" s="1403"/>
      <c r="E35" s="1404"/>
      <c r="F35" s="1405"/>
      <c r="G35" s="1406"/>
      <c r="H35" s="1407"/>
      <c r="I35" s="1404"/>
      <c r="J35" s="1407"/>
      <c r="K35" s="782"/>
      <c r="L35" s="1138"/>
      <c r="M35" s="1139"/>
      <c r="N35" s="1126"/>
      <c r="O35" s="1139"/>
      <c r="P35" s="3248" t="str">
        <f>A35</f>
        <v>成交单价（元/平方米）</v>
      </c>
      <c r="Q35" s="3248"/>
      <c r="R35" s="3275">
        <f>E35</f>
        <v>0</v>
      </c>
      <c r="S35" s="3275"/>
      <c r="T35" s="3275">
        <f>G35</f>
        <v>0</v>
      </c>
      <c r="U35" s="3275"/>
      <c r="V35" s="3275">
        <f>I35</f>
        <v>0</v>
      </c>
      <c r="W35" s="3275"/>
      <c r="X35" s="758"/>
      <c r="Y35" s="780"/>
      <c r="Z35" s="758"/>
      <c r="AA35" s="758"/>
      <c r="AB35" s="758"/>
      <c r="AC35" s="758"/>
    </row>
    <row r="36" spans="1:29" ht="15.75" thickBot="1">
      <c r="A36" s="485" t="s">
        <v>2664</v>
      </c>
      <c r="B36" s="486"/>
      <c r="C36" s="1408" t="e">
        <f>R37</f>
        <v>#DIV/0!</v>
      </c>
      <c r="D36" s="1409"/>
      <c r="E36" s="1410" t="e">
        <f>R36</f>
        <v>#DIV/0!</v>
      </c>
      <c r="F36" s="1410"/>
      <c r="G36" s="1408" t="e">
        <f>T36</f>
        <v>#DIV/0!</v>
      </c>
      <c r="H36" s="1409"/>
      <c r="I36" s="1410" t="e">
        <f>V36</f>
        <v>#DIV/0!</v>
      </c>
      <c r="J36" s="1409"/>
      <c r="K36" s="783"/>
      <c r="L36" s="1138"/>
      <c r="M36" s="1139"/>
      <c r="N36" s="1126"/>
      <c r="O36" s="1139"/>
      <c r="P36" s="3248" t="str">
        <f>A36</f>
        <v>比较价值（元/平方米）</v>
      </c>
      <c r="Q36" s="3248"/>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8"/>
      <c r="Y36" s="758"/>
      <c r="Z36" s="758"/>
      <c r="AA36" s="758"/>
      <c r="AB36" s="758"/>
      <c r="AC36" s="758"/>
    </row>
    <row r="37" spans="1:29" ht="15.75" thickBot="1">
      <c r="A37" s="491" t="s">
        <v>2665</v>
      </c>
      <c r="B37" s="492"/>
      <c r="C37" s="1412" t="e">
        <f>R37</f>
        <v>#DIV/0!</v>
      </c>
      <c r="D37" s="1412"/>
      <c r="E37" s="1412"/>
      <c r="F37" s="1412"/>
      <c r="G37" s="1412"/>
      <c r="H37" s="1412"/>
      <c r="I37" s="1412"/>
      <c r="J37" s="1412"/>
      <c r="K37" s="784"/>
      <c r="L37" s="1138"/>
      <c r="M37" s="1139"/>
      <c r="N37" s="1139"/>
      <c r="O37" s="1139"/>
      <c r="P37" s="3268" t="str">
        <f>A37</f>
        <v>估价对象XX用房的比较价值（楼面单价，元/平方米）</v>
      </c>
      <c r="Q37" s="3269"/>
      <c r="R37" s="3274" t="e">
        <f>IF(F1="售价",ROUND(AVERAGE(R36:V36),0),ROUND(AVERAGE(R36:V36),1))</f>
        <v>#DIV/0!</v>
      </c>
      <c r="S37" s="3274"/>
      <c r="T37" s="3274"/>
      <c r="U37" s="3274"/>
      <c r="V37" s="3274"/>
      <c r="W37" s="3274"/>
      <c r="X37" s="758"/>
      <c r="Y37" s="758"/>
      <c r="Z37" s="758"/>
      <c r="AA37" s="758"/>
      <c r="AB37" s="758"/>
      <c r="AC37" s="758"/>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69" t="str">
        <f>YEAR(C7)&amp;"-"&amp;MONTH(C7)</f>
        <v>2019-10</v>
      </c>
      <c r="D46" s="1570">
        <f>EDATE(C46,-1)</f>
        <v>43709</v>
      </c>
      <c r="E46" s="1570">
        <f t="shared" ref="E46:O46" si="16">EDATE(D46,-1)</f>
        <v>43678</v>
      </c>
      <c r="F46" s="1570">
        <f t="shared" si="16"/>
        <v>43647</v>
      </c>
      <c r="G46" s="1570">
        <f t="shared" si="16"/>
        <v>43617</v>
      </c>
      <c r="H46" s="1570">
        <f t="shared" si="16"/>
        <v>43586</v>
      </c>
      <c r="I46" s="1570">
        <f t="shared" si="16"/>
        <v>43556</v>
      </c>
      <c r="J46" s="1570">
        <f t="shared" si="16"/>
        <v>43525</v>
      </c>
      <c r="K46" s="1570">
        <f t="shared" si="16"/>
        <v>43497</v>
      </c>
      <c r="L46" s="1570">
        <f t="shared" si="16"/>
        <v>43466</v>
      </c>
      <c r="M46" s="1570">
        <f t="shared" si="16"/>
        <v>43435</v>
      </c>
      <c r="N46" s="1570">
        <f t="shared" si="16"/>
        <v>43405</v>
      </c>
      <c r="O46" s="1570">
        <f t="shared" si="16"/>
        <v>43374</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2583</v>
      </c>
      <c r="B51" s="527" t="s">
        <v>2549</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2724</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2558</v>
      </c>
      <c r="B77" s="527" t="s">
        <v>2611</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2728</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2736</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2738</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0"/>
      <c r="D2" s="1120"/>
      <c r="E2" s="1120"/>
      <c r="F2" s="1121"/>
      <c r="G2" s="1120"/>
      <c r="H2" s="1120"/>
      <c r="I2" s="1120"/>
      <c r="J2" s="1120"/>
      <c r="K2" s="1122"/>
      <c r="L2" s="1123"/>
      <c r="M2" s="1124"/>
      <c r="N2" s="1124"/>
      <c r="O2" s="1124"/>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78"/>
      <c r="E3" s="1120"/>
      <c r="F3" s="1121"/>
      <c r="G3" s="1120"/>
      <c r="H3" s="1120"/>
      <c r="I3" s="1120"/>
      <c r="J3" s="1120"/>
      <c r="K3" s="1122"/>
      <c r="L3" s="1123"/>
      <c r="M3" s="1124"/>
      <c r="N3" s="1124"/>
      <c r="O3" s="1124"/>
      <c r="P3" s="767"/>
      <c r="Q3" s="767"/>
      <c r="R3" s="767"/>
      <c r="S3" s="767"/>
      <c r="T3" s="767"/>
      <c r="U3" s="767"/>
      <c r="V3" s="767"/>
      <c r="W3" s="767"/>
      <c r="X3" s="767"/>
      <c r="Y3" s="767"/>
      <c r="Z3" s="767"/>
      <c r="AA3" s="767"/>
      <c r="AB3" s="785"/>
      <c r="AC3" s="781"/>
    </row>
    <row r="4" spans="1:29" ht="15">
      <c r="A4" s="400" t="s">
        <v>2640</v>
      </c>
      <c r="B4" s="401"/>
      <c r="C4" s="3249" t="s">
        <v>2641</v>
      </c>
      <c r="D4" s="3250"/>
      <c r="E4" s="3251" t="s">
        <v>2642</v>
      </c>
      <c r="F4" s="3252"/>
      <c r="G4" s="3249" t="s">
        <v>2643</v>
      </c>
      <c r="H4" s="3250"/>
      <c r="I4" s="3249" t="s">
        <v>2644</v>
      </c>
      <c r="J4" s="3250"/>
      <c r="K4" s="609" t="s">
        <v>2645</v>
      </c>
      <c r="L4" s="1125"/>
      <c r="M4" s="1126"/>
      <c r="N4" s="1126"/>
      <c r="O4" s="1126"/>
      <c r="P4" s="3253" t="s">
        <v>2646</v>
      </c>
      <c r="Q4" s="3254"/>
      <c r="R4" s="3234" t="s">
        <v>2642</v>
      </c>
      <c r="S4" s="3235"/>
      <c r="T4" s="3234" t="s">
        <v>2643</v>
      </c>
      <c r="U4" s="3235"/>
      <c r="V4" s="3261" t="s">
        <v>2644</v>
      </c>
      <c r="W4" s="3261"/>
      <c r="X4" s="1808"/>
      <c r="Y4" s="3234" t="s">
        <v>2646</v>
      </c>
      <c r="Z4" s="3235"/>
      <c r="AA4" s="3229" t="s">
        <v>2642</v>
      </c>
      <c r="AB4" s="3230" t="s">
        <v>2643</v>
      </c>
      <c r="AC4" s="3229" t="s">
        <v>2644</v>
      </c>
    </row>
    <row r="5" spans="1:29" ht="15">
      <c r="A5" s="403"/>
      <c r="B5" s="404"/>
      <c r="C5" s="3240" t="s">
        <v>2537</v>
      </c>
      <c r="D5" s="3241"/>
      <c r="E5" s="3309" t="s">
        <v>2538</v>
      </c>
      <c r="F5" s="3239"/>
      <c r="G5" s="3240" t="s">
        <v>2539</v>
      </c>
      <c r="H5" s="3241"/>
      <c r="I5" s="3240" t="s">
        <v>2540</v>
      </c>
      <c r="J5" s="3241"/>
      <c r="K5" s="609"/>
      <c r="L5" s="1125"/>
      <c r="M5" s="1126"/>
      <c r="N5" s="1126"/>
      <c r="O5" s="1126"/>
      <c r="P5" s="3255"/>
      <c r="Q5" s="3256"/>
      <c r="R5" s="3236"/>
      <c r="S5" s="3237"/>
      <c r="T5" s="3236"/>
      <c r="U5" s="3237"/>
      <c r="V5" s="3261"/>
      <c r="W5" s="3261"/>
      <c r="X5" s="1808"/>
      <c r="Y5" s="3236"/>
      <c r="Z5" s="3237"/>
      <c r="AA5" s="3230"/>
      <c r="AB5" s="3230"/>
      <c r="AC5" s="3230"/>
    </row>
    <row r="6" spans="1:29" ht="15.75" thickBot="1">
      <c r="A6" s="405"/>
      <c r="B6" s="406"/>
      <c r="C6" s="3326" t="s">
        <v>2791</v>
      </c>
      <c r="D6" s="3327"/>
      <c r="E6" s="3328" t="s">
        <v>2791</v>
      </c>
      <c r="F6" s="3329"/>
      <c r="G6" s="3326" t="s">
        <v>2791</v>
      </c>
      <c r="H6" s="3327"/>
      <c r="I6" s="3326" t="s">
        <v>2791</v>
      </c>
      <c r="J6" s="3327"/>
      <c r="K6" s="609" t="s">
        <v>2542</v>
      </c>
      <c r="L6" s="1125"/>
      <c r="M6" s="1126"/>
      <c r="N6" s="1126"/>
      <c r="O6" s="1126"/>
      <c r="P6" s="3257"/>
      <c r="Q6" s="3258"/>
      <c r="R6" s="3236"/>
      <c r="S6" s="3237"/>
      <c r="T6" s="3259"/>
      <c r="U6" s="3260"/>
      <c r="V6" s="3261"/>
      <c r="W6" s="3261"/>
      <c r="X6" s="1808"/>
      <c r="Y6" s="3259"/>
      <c r="Z6" s="3260"/>
      <c r="AA6" s="3231"/>
      <c r="AB6" s="3231"/>
      <c r="AC6" s="3231"/>
    </row>
    <row r="7" spans="1:29" s="116" customFormat="1" ht="15.75" thickBot="1">
      <c r="A7" s="407" t="s">
        <v>2543</v>
      </c>
      <c r="B7" s="408"/>
      <c r="C7" s="409">
        <f>'数据-取费表'!B2</f>
        <v>43758</v>
      </c>
      <c r="D7" s="410">
        <v>100</v>
      </c>
      <c r="E7" s="411"/>
      <c r="F7" s="412">
        <f>SUMIF(65:65,YEAR(E7)&amp;"-"&amp;INT((MONTH(E7)+2)/3),66:66)</f>
        <v>0</v>
      </c>
      <c r="G7" s="2692"/>
      <c r="H7" s="410">
        <f>SUMIF(65:65,YEAR(G7)&amp;"-"&amp;INT((MONTH(G7)+2)/3),66:66)</f>
        <v>0</v>
      </c>
      <c r="I7" s="2692"/>
      <c r="J7" s="410">
        <f>SUMIF(65:65,YEAR(I7)&amp;"-"&amp;INT((MONTH(I7)+2)/3),66:66)</f>
        <v>0</v>
      </c>
      <c r="K7" s="610"/>
      <c r="L7" s="1127"/>
      <c r="M7" s="1128"/>
      <c r="N7" s="1128"/>
      <c r="O7" s="1128"/>
      <c r="P7" s="3232" t="s">
        <v>2544</v>
      </c>
      <c r="Q7" s="3262"/>
      <c r="R7" s="769" t="s">
        <v>17</v>
      </c>
      <c r="S7" s="770">
        <f t="shared" ref="S7:S15" si="0">F7</f>
        <v>0</v>
      </c>
      <c r="T7" s="769" t="s">
        <v>17</v>
      </c>
      <c r="U7" s="770">
        <f t="shared" ref="U7:U15" si="1">H7</f>
        <v>0</v>
      </c>
      <c r="V7" s="769" t="s">
        <v>17</v>
      </c>
      <c r="W7" s="770">
        <f t="shared" ref="W7:W15" si="2">J7</f>
        <v>0</v>
      </c>
      <c r="X7" s="771"/>
      <c r="Y7" s="3232" t="s">
        <v>2544</v>
      </c>
      <c r="Z7" s="3233"/>
      <c r="AA7" s="772" t="e">
        <f>D7/F7</f>
        <v>#DIV/0!</v>
      </c>
      <c r="AB7" s="772" t="e">
        <f>D7/H7</f>
        <v>#DIV/0!</v>
      </c>
      <c r="AC7" s="772"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32" t="s">
        <v>2547</v>
      </c>
      <c r="Q8" s="3233"/>
      <c r="R8" s="769" t="s">
        <v>17</v>
      </c>
      <c r="S8" s="770">
        <f t="shared" si="0"/>
        <v>0</v>
      </c>
      <c r="T8" s="769" t="s">
        <v>17</v>
      </c>
      <c r="U8" s="770">
        <f t="shared" si="1"/>
        <v>0</v>
      </c>
      <c r="V8" s="769" t="s">
        <v>17</v>
      </c>
      <c r="W8" s="770">
        <f t="shared" si="2"/>
        <v>0</v>
      </c>
      <c r="X8" s="771"/>
      <c r="Y8" s="3232" t="s">
        <v>2547</v>
      </c>
      <c r="Z8" s="3233"/>
      <c r="AA8" s="772" t="e">
        <f t="shared" ref="AA8:AA40" si="3">D8/F8</f>
        <v>#DIV/0!</v>
      </c>
      <c r="AB8" s="772" t="e">
        <f t="shared" ref="AB8:AB40" si="4">D8/H8</f>
        <v>#DIV/0!</v>
      </c>
      <c r="AC8" s="772" t="e">
        <f t="shared" ref="AC8:AC40" si="5">D8/J8</f>
        <v>#DIV/0!</v>
      </c>
    </row>
    <row r="9" spans="1:29" s="116" customFormat="1">
      <c r="A9" s="414" t="s">
        <v>2548</v>
      </c>
      <c r="B9" s="71" t="s">
        <v>2549</v>
      </c>
      <c r="C9" s="2695"/>
      <c r="D9" s="134">
        <v>100</v>
      </c>
      <c r="E9" s="2695"/>
      <c r="F9" s="134">
        <f>SUMIF(70:70,E9,71:71)-SUMIF(70:70,C9,71:71)+100</f>
        <v>100</v>
      </c>
      <c r="G9" s="2695"/>
      <c r="H9" s="134">
        <f>SUMIF(70:70,G9,71:71)-SUMIF(70:70,C9,71:71)+100</f>
        <v>100</v>
      </c>
      <c r="I9" s="2695"/>
      <c r="J9" s="134">
        <f>SUMIF(70:70,I9,71:71)-SUMIF(70:70,C9,71:71)+100</f>
        <v>100</v>
      </c>
      <c r="K9" s="610"/>
      <c r="L9" s="1127"/>
      <c r="M9" s="1128"/>
      <c r="N9" s="1128"/>
      <c r="O9" s="1129"/>
      <c r="P9" s="3248" t="s">
        <v>2550</v>
      </c>
      <c r="Q9" s="1790" t="str">
        <f t="shared" ref="Q9:Q15" si="6">B9</f>
        <v>用途</v>
      </c>
      <c r="R9" s="769" t="s">
        <v>17</v>
      </c>
      <c r="S9" s="770">
        <f t="shared" si="0"/>
        <v>100</v>
      </c>
      <c r="T9" s="769" t="s">
        <v>17</v>
      </c>
      <c r="U9" s="770">
        <f t="shared" si="1"/>
        <v>100</v>
      </c>
      <c r="V9" s="769" t="s">
        <v>17</v>
      </c>
      <c r="W9" s="770">
        <f t="shared" si="2"/>
        <v>100</v>
      </c>
      <c r="X9" s="771"/>
      <c r="Y9" s="3102" t="s">
        <v>2551</v>
      </c>
      <c r="Z9" s="55" t="str">
        <f t="shared" ref="Z9:Z15" si="7">Q9</f>
        <v>用途</v>
      </c>
      <c r="AA9" s="772">
        <f t="shared" si="3"/>
        <v>1</v>
      </c>
      <c r="AB9" s="772">
        <f t="shared" si="4"/>
        <v>1</v>
      </c>
      <c r="AC9" s="772">
        <f t="shared" si="5"/>
        <v>1</v>
      </c>
    </row>
    <row r="10" spans="1:29" s="426" customFormat="1" ht="27">
      <c r="A10" s="420"/>
      <c r="B10" s="421" t="s">
        <v>2552</v>
      </c>
      <c r="C10" s="431"/>
      <c r="D10" s="135">
        <v>100</v>
      </c>
      <c r="E10" s="431"/>
      <c r="F10" s="135">
        <f>ROUND(100/'数据-取费表'!G16,0)</f>
        <v>101</v>
      </c>
      <c r="G10" s="431"/>
      <c r="H10" s="135">
        <f>ROUND(100/'数据-取费表'!G16,0)</f>
        <v>101</v>
      </c>
      <c r="I10" s="431"/>
      <c r="J10" s="135">
        <f>ROUND(100/'数据-取费表'!G16,0)</f>
        <v>101</v>
      </c>
      <c r="K10" s="671"/>
      <c r="L10" s="1130"/>
      <c r="M10" s="1131"/>
      <c r="N10" s="1131"/>
      <c r="O10" s="1132"/>
      <c r="P10" s="3248"/>
      <c r="Q10" s="1790" t="str">
        <f t="shared" si="6"/>
        <v>土地使用年限（年）</v>
      </c>
      <c r="R10" s="769" t="s">
        <v>17</v>
      </c>
      <c r="S10" s="770">
        <f t="shared" si="0"/>
        <v>101</v>
      </c>
      <c r="T10" s="769" t="s">
        <v>17</v>
      </c>
      <c r="U10" s="770">
        <f t="shared" si="1"/>
        <v>101</v>
      </c>
      <c r="V10" s="769" t="s">
        <v>17</v>
      </c>
      <c r="W10" s="770">
        <f t="shared" si="2"/>
        <v>101</v>
      </c>
      <c r="X10" s="771"/>
      <c r="Y10" s="3102"/>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248"/>
      <c r="Q11" s="1790" t="str">
        <f t="shared" si="6"/>
        <v>容积率</v>
      </c>
      <c r="R11" s="769" t="s">
        <v>17</v>
      </c>
      <c r="S11" s="770" t="e">
        <f t="shared" si="0"/>
        <v>#N/A</v>
      </c>
      <c r="T11" s="769" t="s">
        <v>17</v>
      </c>
      <c r="U11" s="770" t="e">
        <f t="shared" si="1"/>
        <v>#N/A</v>
      </c>
      <c r="V11" s="769" t="s">
        <v>17</v>
      </c>
      <c r="W11" s="770" t="e">
        <f t="shared" si="2"/>
        <v>#N/A</v>
      </c>
      <c r="X11" s="771"/>
      <c r="Y11" s="3102"/>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248"/>
      <c r="Q12" s="1790">
        <f t="shared" si="6"/>
        <v>111</v>
      </c>
      <c r="R12" s="769" t="s">
        <v>17</v>
      </c>
      <c r="S12" s="770">
        <f t="shared" si="0"/>
        <v>100</v>
      </c>
      <c r="T12" s="769" t="s">
        <v>17</v>
      </c>
      <c r="U12" s="770">
        <f t="shared" si="1"/>
        <v>100</v>
      </c>
      <c r="V12" s="769" t="s">
        <v>17</v>
      </c>
      <c r="W12" s="770">
        <f t="shared" si="2"/>
        <v>100</v>
      </c>
      <c r="X12" s="771"/>
      <c r="Y12" s="3102"/>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248"/>
      <c r="Q13" s="1790">
        <f t="shared" si="6"/>
        <v>111</v>
      </c>
      <c r="R13" s="769" t="s">
        <v>17</v>
      </c>
      <c r="S13" s="770">
        <f t="shared" si="0"/>
        <v>100</v>
      </c>
      <c r="T13" s="769" t="s">
        <v>17</v>
      </c>
      <c r="U13" s="770">
        <f t="shared" si="1"/>
        <v>100</v>
      </c>
      <c r="V13" s="769" t="s">
        <v>17</v>
      </c>
      <c r="W13" s="770">
        <f t="shared" si="2"/>
        <v>100</v>
      </c>
      <c r="X13" s="771"/>
      <c r="Y13" s="3102"/>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248"/>
      <c r="Q14" s="1790">
        <f t="shared" si="6"/>
        <v>111</v>
      </c>
      <c r="R14" s="769" t="s">
        <v>17</v>
      </c>
      <c r="S14" s="770">
        <f t="shared" si="0"/>
        <v>100</v>
      </c>
      <c r="T14" s="769" t="s">
        <v>17</v>
      </c>
      <c r="U14" s="770">
        <f t="shared" si="1"/>
        <v>100</v>
      </c>
      <c r="V14" s="769" t="s">
        <v>17</v>
      </c>
      <c r="W14" s="770">
        <f t="shared" si="2"/>
        <v>100</v>
      </c>
      <c r="X14" s="771"/>
      <c r="Y14" s="3102"/>
      <c r="Z14" s="55">
        <f t="shared" si="7"/>
        <v>111</v>
      </c>
      <c r="AA14" s="772">
        <f t="shared" si="3"/>
        <v>1</v>
      </c>
      <c r="AB14" s="772">
        <f t="shared" si="4"/>
        <v>1</v>
      </c>
      <c r="AC14" s="772">
        <f t="shared" si="5"/>
        <v>1</v>
      </c>
    </row>
    <row r="15" spans="1:29" ht="57">
      <c r="A15" s="439" t="s">
        <v>2554</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263" t="s">
        <v>2555</v>
      </c>
      <c r="Q15" s="1805" t="str">
        <f t="shared" si="6"/>
        <v>产业集聚程度</v>
      </c>
      <c r="R15" s="773" t="s">
        <v>17</v>
      </c>
      <c r="S15" s="774">
        <f t="shared" si="0"/>
        <v>100</v>
      </c>
      <c r="T15" s="773" t="s">
        <v>17</v>
      </c>
      <c r="U15" s="774">
        <f t="shared" si="1"/>
        <v>100</v>
      </c>
      <c r="V15" s="773" t="s">
        <v>17</v>
      </c>
      <c r="W15" s="774">
        <f t="shared" si="2"/>
        <v>100</v>
      </c>
      <c r="X15" s="1808"/>
      <c r="Y15" s="3263" t="s">
        <v>2555</v>
      </c>
      <c r="Z15" s="1809" t="str">
        <f t="shared" si="7"/>
        <v>产业集聚程度</v>
      </c>
      <c r="AA15" s="1806">
        <f t="shared" si="3"/>
        <v>1</v>
      </c>
      <c r="AB15" s="1806">
        <f t="shared" si="4"/>
        <v>1</v>
      </c>
      <c r="AC15" s="1806">
        <f t="shared" si="5"/>
        <v>1</v>
      </c>
    </row>
    <row r="16" spans="1:29" ht="15">
      <c r="A16" s="427"/>
      <c r="B16" s="629"/>
      <c r="C16" s="446"/>
      <c r="D16" s="447"/>
      <c r="E16" s="2609"/>
      <c r="F16" s="447"/>
      <c r="G16" s="2609"/>
      <c r="H16" s="449"/>
      <c r="I16" s="2609"/>
      <c r="J16" s="447"/>
      <c r="K16" s="671"/>
      <c r="L16" s="1135"/>
      <c r="M16" s="1126"/>
      <c r="N16" s="1126"/>
      <c r="O16" s="1134"/>
      <c r="P16" s="3264"/>
      <c r="Q16" s="1805"/>
      <c r="R16" s="773"/>
      <c r="S16" s="774"/>
      <c r="T16" s="773"/>
      <c r="U16" s="774"/>
      <c r="V16" s="773"/>
      <c r="W16" s="774"/>
      <c r="X16" s="1808"/>
      <c r="Y16" s="3264"/>
      <c r="Z16" s="1809"/>
      <c r="AA16" s="1806">
        <v>1</v>
      </c>
      <c r="AB16" s="1806">
        <v>1</v>
      </c>
      <c r="AC16" s="1806">
        <v>1</v>
      </c>
    </row>
    <row r="17" spans="1:29" ht="85.5">
      <c r="A17" s="427"/>
      <c r="B17" s="630" t="s">
        <v>2704</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264"/>
      <c r="Q17" s="1805" t="str">
        <f>B17</f>
        <v>交通便捷度</v>
      </c>
      <c r="R17" s="773" t="s">
        <v>17</v>
      </c>
      <c r="S17" s="774">
        <f>F17</f>
        <v>100</v>
      </c>
      <c r="T17" s="773" t="s">
        <v>17</v>
      </c>
      <c r="U17" s="774">
        <f>H17</f>
        <v>100</v>
      </c>
      <c r="V17" s="773" t="s">
        <v>17</v>
      </c>
      <c r="W17" s="774">
        <f>J17</f>
        <v>100</v>
      </c>
      <c r="X17" s="1808"/>
      <c r="Y17" s="3264"/>
      <c r="Z17" s="1809" t="str">
        <f>Q17</f>
        <v>交通便捷度</v>
      </c>
      <c r="AA17" s="1806">
        <f t="shared" si="3"/>
        <v>1</v>
      </c>
      <c r="AB17" s="1806">
        <f t="shared" si="4"/>
        <v>1</v>
      </c>
      <c r="AC17" s="1806">
        <f t="shared" si="5"/>
        <v>1</v>
      </c>
    </row>
    <row r="18" spans="1:29" ht="15">
      <c r="A18" s="427"/>
      <c r="B18" s="631"/>
      <c r="C18" s="446"/>
      <c r="D18" s="447"/>
      <c r="E18" s="2603"/>
      <c r="F18" s="447"/>
      <c r="G18" s="2603"/>
      <c r="H18" s="447"/>
      <c r="I18" s="2602"/>
      <c r="J18" s="447"/>
      <c r="K18" s="671"/>
      <c r="L18" s="1135"/>
      <c r="M18" s="1126"/>
      <c r="N18" s="1126"/>
      <c r="O18" s="1134"/>
      <c r="P18" s="3264"/>
      <c r="Q18" s="1805"/>
      <c r="R18" s="773"/>
      <c r="S18" s="774"/>
      <c r="T18" s="773"/>
      <c r="U18" s="774"/>
      <c r="V18" s="773"/>
      <c r="W18" s="774"/>
      <c r="X18" s="1808"/>
      <c r="Y18" s="3264"/>
      <c r="Z18" s="1809"/>
      <c r="AA18" s="1806">
        <v>1</v>
      </c>
      <c r="AB18" s="1806">
        <v>1</v>
      </c>
      <c r="AC18" s="1806">
        <v>1</v>
      </c>
    </row>
    <row r="19" spans="1:29" ht="15">
      <c r="A19" s="427"/>
      <c r="B19" s="630" t="s">
        <v>2743</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264"/>
      <c r="Q19" s="1805" t="str">
        <f t="shared" ref="Q19:Q33" si="8">B19</f>
        <v>区域土地利用方向</v>
      </c>
      <c r="R19" s="773" t="s">
        <v>17</v>
      </c>
      <c r="S19" s="774">
        <f>F19</f>
        <v>100</v>
      </c>
      <c r="T19" s="773" t="s">
        <v>17</v>
      </c>
      <c r="U19" s="774">
        <f>H19</f>
        <v>100</v>
      </c>
      <c r="V19" s="773" t="s">
        <v>17</v>
      </c>
      <c r="W19" s="774">
        <f>J19</f>
        <v>100</v>
      </c>
      <c r="X19" s="1808"/>
      <c r="Y19" s="3264"/>
      <c r="Z19" s="1809" t="str">
        <f>Q19</f>
        <v>区域土地利用方向</v>
      </c>
      <c r="AA19" s="1806">
        <f t="shared" si="3"/>
        <v>1</v>
      </c>
      <c r="AB19" s="1806">
        <f t="shared" si="4"/>
        <v>1</v>
      </c>
      <c r="AC19" s="1806">
        <f t="shared" si="5"/>
        <v>1</v>
      </c>
    </row>
    <row r="20" spans="1:29" ht="15">
      <c r="A20" s="403"/>
      <c r="B20" s="631"/>
      <c r="C20" s="446"/>
      <c r="D20" s="447"/>
      <c r="E20" s="2603"/>
      <c r="F20" s="447"/>
      <c r="G20" s="2603"/>
      <c r="H20" s="447"/>
      <c r="I20" s="2603"/>
      <c r="J20" s="447"/>
      <c r="K20" s="807"/>
      <c r="L20" s="1135"/>
      <c r="M20" s="1126"/>
      <c r="N20" s="1126"/>
      <c r="O20" s="1134"/>
      <c r="P20" s="3264"/>
      <c r="Q20" s="1805"/>
      <c r="R20" s="773"/>
      <c r="S20" s="774"/>
      <c r="T20" s="773"/>
      <c r="U20" s="774"/>
      <c r="V20" s="773"/>
      <c r="W20" s="774"/>
      <c r="X20" s="1808"/>
      <c r="Y20" s="3264"/>
      <c r="Z20" s="1809"/>
      <c r="AA20" s="1806"/>
      <c r="AB20" s="1806"/>
      <c r="AC20" s="1806"/>
    </row>
    <row r="21" spans="1:29" ht="71.25">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264"/>
      <c r="Q21" s="1805" t="str">
        <f t="shared" si="8"/>
        <v>环境状况</v>
      </c>
      <c r="R21" s="773" t="s">
        <v>17</v>
      </c>
      <c r="S21" s="774">
        <f>F21</f>
        <v>100</v>
      </c>
      <c r="T21" s="773" t="s">
        <v>17</v>
      </c>
      <c r="U21" s="774">
        <f>H21</f>
        <v>100</v>
      </c>
      <c r="V21" s="773" t="s">
        <v>17</v>
      </c>
      <c r="W21" s="774">
        <f>J21</f>
        <v>100</v>
      </c>
      <c r="X21" s="1808"/>
      <c r="Y21" s="3264"/>
      <c r="Z21" s="1809" t="str">
        <f>Q21</f>
        <v>环境状况</v>
      </c>
      <c r="AA21" s="1806">
        <f t="shared" si="3"/>
        <v>1</v>
      </c>
      <c r="AB21" s="1806">
        <f t="shared" si="4"/>
        <v>1</v>
      </c>
      <c r="AC21" s="1806">
        <f t="shared" si="5"/>
        <v>1</v>
      </c>
    </row>
    <row r="22" spans="1:29" ht="15">
      <c r="A22" s="403"/>
      <c r="B22" s="631"/>
      <c r="C22" s="446"/>
      <c r="D22" s="447"/>
      <c r="E22" s="2609"/>
      <c r="F22" s="447"/>
      <c r="G22" s="2609"/>
      <c r="H22" s="447"/>
      <c r="I22" s="446"/>
      <c r="J22" s="447"/>
      <c r="K22" s="671"/>
      <c r="L22" s="1135"/>
      <c r="M22" s="1126"/>
      <c r="N22" s="1126"/>
      <c r="O22" s="1134"/>
      <c r="P22" s="3264"/>
      <c r="Q22" s="1805"/>
      <c r="R22" s="773"/>
      <c r="S22" s="774"/>
      <c r="T22" s="773"/>
      <c r="U22" s="774"/>
      <c r="V22" s="773"/>
      <c r="W22" s="774"/>
      <c r="X22" s="1808"/>
      <c r="Y22" s="3264"/>
      <c r="Z22" s="1809"/>
      <c r="AA22" s="1806">
        <v>1</v>
      </c>
      <c r="AB22" s="1806">
        <v>1</v>
      </c>
      <c r="AC22" s="1806">
        <v>1</v>
      </c>
    </row>
    <row r="23" spans="1:29" s="116" customFormat="1" ht="42.75">
      <c r="A23" s="648"/>
      <c r="B23" s="632" t="s">
        <v>2649</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264"/>
      <c r="Q23" s="1790" t="str">
        <f t="shared" si="8"/>
        <v>公共配套设施</v>
      </c>
      <c r="R23" s="769" t="s">
        <v>17</v>
      </c>
      <c r="S23" s="770">
        <f>F23</f>
        <v>100</v>
      </c>
      <c r="T23" s="769" t="s">
        <v>17</v>
      </c>
      <c r="U23" s="770">
        <f>H23</f>
        <v>100</v>
      </c>
      <c r="V23" s="769" t="s">
        <v>17</v>
      </c>
      <c r="W23" s="770">
        <f>J23</f>
        <v>100</v>
      </c>
      <c r="X23" s="771"/>
      <c r="Y23" s="3264"/>
      <c r="Z23" s="55" t="str">
        <f>Q23</f>
        <v>公共配套设施</v>
      </c>
      <c r="AA23" s="1806">
        <f>D23/F23</f>
        <v>1</v>
      </c>
      <c r="AB23" s="1806">
        <f>D23/H23</f>
        <v>1</v>
      </c>
      <c r="AC23" s="1806">
        <f>D23/J23</f>
        <v>1</v>
      </c>
    </row>
    <row r="24" spans="1:29" s="116" customFormat="1" ht="15">
      <c r="A24" s="648"/>
      <c r="B24" s="631"/>
      <c r="C24" s="2696"/>
      <c r="D24" s="447"/>
      <c r="E24" s="2609"/>
      <c r="F24" s="447"/>
      <c r="G24" s="2609"/>
      <c r="H24" s="447"/>
      <c r="I24" s="446"/>
      <c r="J24" s="447"/>
      <c r="K24" s="671"/>
      <c r="L24" s="1127"/>
      <c r="M24" s="1128"/>
      <c r="N24" s="1128"/>
      <c r="O24" s="1129"/>
      <c r="P24" s="3264"/>
      <c r="Q24" s="1790"/>
      <c r="R24" s="769"/>
      <c r="S24" s="770"/>
      <c r="T24" s="769"/>
      <c r="U24" s="770"/>
      <c r="V24" s="769"/>
      <c r="W24" s="770"/>
      <c r="X24" s="771"/>
      <c r="Y24" s="3264"/>
      <c r="Z24" s="55"/>
      <c r="AA24" s="772">
        <v>1</v>
      </c>
      <c r="AB24" s="772">
        <v>1</v>
      </c>
      <c r="AC24" s="772">
        <v>1</v>
      </c>
    </row>
    <row r="25" spans="1:29" s="116" customFormat="1" ht="28.5">
      <c r="A25" s="648"/>
      <c r="B25" s="632" t="s">
        <v>2650</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264"/>
      <c r="Q25" s="1790" t="str">
        <f t="shared" ref="Q25" si="9">B25</f>
        <v>基础设施水平</v>
      </c>
      <c r="R25" s="769" t="s">
        <v>17</v>
      </c>
      <c r="S25" s="770">
        <f>F25</f>
        <v>100</v>
      </c>
      <c r="T25" s="769" t="s">
        <v>17</v>
      </c>
      <c r="U25" s="770">
        <f>H25</f>
        <v>100</v>
      </c>
      <c r="V25" s="769" t="s">
        <v>17</v>
      </c>
      <c r="W25" s="770">
        <f>J25</f>
        <v>100</v>
      </c>
      <c r="X25" s="771"/>
      <c r="Y25" s="3264"/>
      <c r="Z25" s="55" t="str">
        <f>Q25</f>
        <v>基础设施水平</v>
      </c>
      <c r="AA25" s="1806">
        <f>D25/F25</f>
        <v>1</v>
      </c>
      <c r="AB25" s="1806">
        <f>D25/H25</f>
        <v>1</v>
      </c>
      <c r="AC25" s="1806">
        <f>D25/J25</f>
        <v>1</v>
      </c>
    </row>
    <row r="26" spans="1:29" s="116" customFormat="1" ht="15">
      <c r="A26" s="648"/>
      <c r="B26" s="631"/>
      <c r="C26" s="2696"/>
      <c r="D26" s="447"/>
      <c r="E26" s="2697"/>
      <c r="F26" s="447"/>
      <c r="G26" s="2697"/>
      <c r="H26" s="447"/>
      <c r="I26" s="2697"/>
      <c r="J26" s="447"/>
      <c r="K26" s="671"/>
      <c r="L26" s="1127"/>
      <c r="M26" s="1128"/>
      <c r="N26" s="1128"/>
      <c r="O26" s="1129"/>
      <c r="P26" s="3264"/>
      <c r="Q26" s="1790"/>
      <c r="R26" s="769"/>
      <c r="S26" s="770"/>
      <c r="T26" s="769"/>
      <c r="U26" s="770"/>
      <c r="V26" s="769"/>
      <c r="W26" s="770"/>
      <c r="X26" s="771"/>
      <c r="Y26" s="3264"/>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264"/>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64"/>
      <c r="Z27" s="1809" t="str">
        <f t="shared" ref="Z27:Z40" si="13">Q27</f>
        <v>临街状况</v>
      </c>
      <c r="AA27" s="1806">
        <f t="shared" si="3"/>
        <v>1</v>
      </c>
      <c r="AB27" s="1806">
        <f t="shared" si="4"/>
        <v>1</v>
      </c>
      <c r="AC27" s="1806">
        <f t="shared" si="5"/>
        <v>1</v>
      </c>
    </row>
    <row r="28" spans="1:29" ht="27">
      <c r="A28" s="427"/>
      <c r="B28" s="632" t="s">
        <v>2686</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264"/>
      <c r="Q28" s="1805" t="str">
        <f t="shared" si="8"/>
        <v>毗邻道路的类型与等级</v>
      </c>
      <c r="R28" s="773" t="s">
        <v>17</v>
      </c>
      <c r="S28" s="774">
        <f t="shared" si="10"/>
        <v>100</v>
      </c>
      <c r="T28" s="773" t="s">
        <v>17</v>
      </c>
      <c r="U28" s="774">
        <f t="shared" si="11"/>
        <v>100</v>
      </c>
      <c r="V28" s="773" t="s">
        <v>17</v>
      </c>
      <c r="W28" s="774">
        <f t="shared" si="12"/>
        <v>100</v>
      </c>
      <c r="X28" s="1808"/>
      <c r="Y28" s="3264"/>
      <c r="Z28" s="1809" t="str">
        <f t="shared" si="13"/>
        <v>毗邻道路的类型与等级</v>
      </c>
      <c r="AA28" s="1806">
        <f t="shared" si="3"/>
        <v>1</v>
      </c>
      <c r="AB28" s="1806">
        <f t="shared" si="4"/>
        <v>1</v>
      </c>
      <c r="AC28" s="1806">
        <f t="shared" si="5"/>
        <v>1</v>
      </c>
    </row>
    <row r="29" spans="1:29" ht="15">
      <c r="A29" s="427"/>
      <c r="B29" s="631"/>
      <c r="C29" s="446"/>
      <c r="D29" s="447"/>
      <c r="E29" s="2609"/>
      <c r="F29" s="447"/>
      <c r="G29" s="2609"/>
      <c r="H29" s="447"/>
      <c r="I29" s="2609"/>
      <c r="J29" s="447"/>
      <c r="K29" s="612"/>
      <c r="L29" s="1135"/>
      <c r="M29" s="1126"/>
      <c r="N29" s="1126"/>
      <c r="O29" s="1134"/>
      <c r="P29" s="3264"/>
      <c r="Q29" s="1805"/>
      <c r="R29" s="773"/>
      <c r="S29" s="774"/>
      <c r="T29" s="773"/>
      <c r="U29" s="774"/>
      <c r="V29" s="773"/>
      <c r="W29" s="774"/>
      <c r="X29" s="1808"/>
      <c r="Y29" s="3264"/>
      <c r="Z29" s="1809"/>
      <c r="AA29" s="1806">
        <v>1</v>
      </c>
      <c r="AB29" s="1806">
        <v>1</v>
      </c>
      <c r="AC29" s="1806">
        <v>1</v>
      </c>
    </row>
    <row r="30" spans="1:29" ht="15">
      <c r="A30" s="427"/>
      <c r="B30" s="653" t="s">
        <v>2745</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264"/>
      <c r="Q30" s="1805" t="str">
        <f t="shared" si="8"/>
        <v>土地级别</v>
      </c>
      <c r="R30" s="773" t="s">
        <v>17</v>
      </c>
      <c r="S30" s="774">
        <f t="shared" si="10"/>
        <v>100</v>
      </c>
      <c r="T30" s="773" t="s">
        <v>17</v>
      </c>
      <c r="U30" s="774">
        <f t="shared" si="11"/>
        <v>100</v>
      </c>
      <c r="V30" s="773" t="s">
        <v>17</v>
      </c>
      <c r="W30" s="774">
        <f t="shared" si="12"/>
        <v>100</v>
      </c>
      <c r="X30" s="1808"/>
      <c r="Y30" s="3264"/>
      <c r="Z30" s="1809" t="str">
        <f t="shared" si="13"/>
        <v>土地级别</v>
      </c>
      <c r="AA30" s="1806">
        <f t="shared" si="3"/>
        <v>1</v>
      </c>
      <c r="AB30" s="1806">
        <f t="shared" si="4"/>
        <v>1</v>
      </c>
      <c r="AC30" s="1806">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64"/>
      <c r="Q31" s="1805">
        <f t="shared" si="8"/>
        <v>111</v>
      </c>
      <c r="R31" s="773" t="s">
        <v>17</v>
      </c>
      <c r="S31" s="774">
        <f t="shared" si="10"/>
        <v>100</v>
      </c>
      <c r="T31" s="773" t="s">
        <v>17</v>
      </c>
      <c r="U31" s="774">
        <f t="shared" si="11"/>
        <v>100</v>
      </c>
      <c r="V31" s="773" t="s">
        <v>17</v>
      </c>
      <c r="W31" s="774">
        <f t="shared" si="12"/>
        <v>100</v>
      </c>
      <c r="X31" s="1808"/>
      <c r="Y31" s="3264"/>
      <c r="Z31" s="1809">
        <f t="shared" si="13"/>
        <v>111</v>
      </c>
      <c r="AA31" s="1806">
        <f t="shared" si="3"/>
        <v>1</v>
      </c>
      <c r="AB31" s="1806">
        <f t="shared" si="4"/>
        <v>1</v>
      </c>
      <c r="AC31" s="1806">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265" t="s">
        <v>2560</v>
      </c>
      <c r="Q32" s="1805">
        <f t="shared" si="8"/>
        <v>111</v>
      </c>
      <c r="R32" s="773" t="s">
        <v>17</v>
      </c>
      <c r="S32" s="774">
        <f t="shared" si="10"/>
        <v>100</v>
      </c>
      <c r="T32" s="773" t="s">
        <v>17</v>
      </c>
      <c r="U32" s="774">
        <f t="shared" si="11"/>
        <v>100</v>
      </c>
      <c r="V32" s="773" t="s">
        <v>17</v>
      </c>
      <c r="W32" s="774">
        <f t="shared" si="12"/>
        <v>100</v>
      </c>
      <c r="X32" s="1808"/>
      <c r="Y32" s="3266" t="s">
        <v>2560</v>
      </c>
      <c r="Z32" s="1809">
        <f t="shared" si="13"/>
        <v>111</v>
      </c>
      <c r="AA32" s="1806">
        <f t="shared" si="3"/>
        <v>1</v>
      </c>
      <c r="AB32" s="1806">
        <f t="shared" si="4"/>
        <v>1</v>
      </c>
      <c r="AC32" s="1806">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266"/>
      <c r="Q33" s="1805">
        <f t="shared" si="8"/>
        <v>111</v>
      </c>
      <c r="R33" s="776" t="s">
        <v>17</v>
      </c>
      <c r="S33" s="777">
        <f t="shared" si="10"/>
        <v>100</v>
      </c>
      <c r="T33" s="776" t="s">
        <v>17</v>
      </c>
      <c r="U33" s="777">
        <f t="shared" si="11"/>
        <v>100</v>
      </c>
      <c r="V33" s="776" t="s">
        <v>17</v>
      </c>
      <c r="W33" s="777">
        <f t="shared" si="12"/>
        <v>100</v>
      </c>
      <c r="X33" s="778"/>
      <c r="Y33" s="3266"/>
      <c r="Z33" s="779">
        <f t="shared" si="13"/>
        <v>111</v>
      </c>
      <c r="AA33" s="1806">
        <f t="shared" si="3"/>
        <v>1</v>
      </c>
      <c r="AB33" s="1806">
        <f t="shared" si="4"/>
        <v>1</v>
      </c>
      <c r="AC33" s="1806">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266"/>
      <c r="Q34" s="1805" t="str">
        <f>B34</f>
        <v>宗地面积</v>
      </c>
      <c r="R34" s="773" t="s">
        <v>17</v>
      </c>
      <c r="S34" s="774" t="e">
        <f t="shared" si="10"/>
        <v>#N/A</v>
      </c>
      <c r="T34" s="773" t="s">
        <v>17</v>
      </c>
      <c r="U34" s="774" t="e">
        <f t="shared" si="11"/>
        <v>#N/A</v>
      </c>
      <c r="V34" s="773" t="s">
        <v>17</v>
      </c>
      <c r="W34" s="774" t="e">
        <f t="shared" si="12"/>
        <v>#N/A</v>
      </c>
      <c r="X34" s="1808"/>
      <c r="Y34" s="3266"/>
      <c r="Z34" s="1809" t="str">
        <f t="shared" si="13"/>
        <v>宗地面积</v>
      </c>
      <c r="AA34" s="1806" t="e">
        <f t="shared" si="3"/>
        <v>#N/A</v>
      </c>
      <c r="AB34" s="1806" t="e">
        <f t="shared" si="4"/>
        <v>#N/A</v>
      </c>
      <c r="AC34" s="1806" t="e">
        <f t="shared" si="5"/>
        <v>#N/A</v>
      </c>
    </row>
    <row r="35" spans="1:29" ht="15">
      <c r="A35" s="471"/>
      <c r="B35" s="421" t="s">
        <v>2747</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5"/>
      <c r="M35" s="1126"/>
      <c r="N35" s="1126"/>
      <c r="O35" s="1134"/>
      <c r="P35" s="3266"/>
      <c r="Q35" s="1805" t="str">
        <f t="shared" ref="Q35:Q40" si="14">B35</f>
        <v>宗地形状</v>
      </c>
      <c r="R35" s="773" t="s">
        <v>17</v>
      </c>
      <c r="S35" s="774">
        <f t="shared" si="10"/>
        <v>100</v>
      </c>
      <c r="T35" s="773" t="s">
        <v>17</v>
      </c>
      <c r="U35" s="774">
        <f t="shared" si="11"/>
        <v>100</v>
      </c>
      <c r="V35" s="773" t="s">
        <v>17</v>
      </c>
      <c r="W35" s="774">
        <f t="shared" si="12"/>
        <v>100</v>
      </c>
      <c r="X35" s="1808"/>
      <c r="Y35" s="3266"/>
      <c r="Z35" s="1809" t="str">
        <f t="shared" si="13"/>
        <v>宗地形状</v>
      </c>
      <c r="AA35" s="1806">
        <f t="shared" si="3"/>
        <v>1</v>
      </c>
      <c r="AB35" s="1806">
        <f t="shared" si="4"/>
        <v>1</v>
      </c>
      <c r="AC35" s="1806">
        <f t="shared" si="5"/>
        <v>1</v>
      </c>
    </row>
    <row r="36" spans="1:29" s="116" customFormat="1" ht="15">
      <c r="A36" s="472"/>
      <c r="B36" s="421" t="s">
        <v>2749</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27"/>
      <c r="M36" s="1128"/>
      <c r="N36" s="1128"/>
      <c r="O36" s="1129"/>
      <c r="P36" s="3266"/>
      <c r="Q36" s="1805" t="str">
        <f t="shared" si="14"/>
        <v>宗地开发程度</v>
      </c>
      <c r="R36" s="769" t="s">
        <v>17</v>
      </c>
      <c r="S36" s="770">
        <f t="shared" si="10"/>
        <v>100</v>
      </c>
      <c r="T36" s="769" t="s">
        <v>17</v>
      </c>
      <c r="U36" s="770">
        <f t="shared" si="11"/>
        <v>100</v>
      </c>
      <c r="V36" s="769" t="s">
        <v>17</v>
      </c>
      <c r="W36" s="770">
        <f t="shared" si="12"/>
        <v>100</v>
      </c>
      <c r="X36" s="771"/>
      <c r="Y36" s="3266"/>
      <c r="Z36" s="55" t="str">
        <f t="shared" si="13"/>
        <v>宗地开发程度</v>
      </c>
      <c r="AA36" s="772">
        <f t="shared" si="3"/>
        <v>1</v>
      </c>
      <c r="AB36" s="772">
        <f t="shared" si="4"/>
        <v>1</v>
      </c>
      <c r="AC36" s="772">
        <f t="shared" si="5"/>
        <v>1</v>
      </c>
    </row>
    <row r="37" spans="1:29" ht="15">
      <c r="A37" s="471"/>
      <c r="B37" s="421" t="s">
        <v>2750</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5"/>
      <c r="M37" s="1126"/>
      <c r="N37" s="1126"/>
      <c r="O37" s="1134"/>
      <c r="P37" s="3266" t="s">
        <v>2560</v>
      </c>
      <c r="Q37" s="1805" t="str">
        <f t="shared" si="14"/>
        <v>工程地质条件</v>
      </c>
      <c r="R37" s="773" t="s">
        <v>17</v>
      </c>
      <c r="S37" s="774">
        <f t="shared" si="10"/>
        <v>100</v>
      </c>
      <c r="T37" s="773" t="s">
        <v>17</v>
      </c>
      <c r="U37" s="774">
        <f t="shared" si="11"/>
        <v>100</v>
      </c>
      <c r="V37" s="773" t="s">
        <v>17</v>
      </c>
      <c r="W37" s="774">
        <f t="shared" si="12"/>
        <v>100</v>
      </c>
      <c r="X37" s="1808"/>
      <c r="Y37" s="3266" t="s">
        <v>2560</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266"/>
      <c r="Q38" s="1805">
        <f t="shared" si="14"/>
        <v>111</v>
      </c>
      <c r="R38" s="773" t="s">
        <v>17</v>
      </c>
      <c r="S38" s="774">
        <f t="shared" si="10"/>
        <v>100</v>
      </c>
      <c r="T38" s="773" t="s">
        <v>17</v>
      </c>
      <c r="U38" s="774">
        <f t="shared" si="11"/>
        <v>100</v>
      </c>
      <c r="V38" s="773" t="s">
        <v>17</v>
      </c>
      <c r="W38" s="774">
        <f t="shared" si="12"/>
        <v>100</v>
      </c>
      <c r="X38" s="1808"/>
      <c r="Y38" s="3266"/>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266"/>
      <c r="Q39" s="1805">
        <f t="shared" si="14"/>
        <v>111</v>
      </c>
      <c r="R39" s="773" t="s">
        <v>17</v>
      </c>
      <c r="S39" s="774">
        <f t="shared" si="10"/>
        <v>100</v>
      </c>
      <c r="T39" s="773" t="s">
        <v>17</v>
      </c>
      <c r="U39" s="774">
        <f t="shared" si="11"/>
        <v>100</v>
      </c>
      <c r="V39" s="773" t="s">
        <v>17</v>
      </c>
      <c r="W39" s="774">
        <f t="shared" si="12"/>
        <v>100</v>
      </c>
      <c r="X39" s="1808"/>
      <c r="Y39" s="3266"/>
      <c r="Z39" s="1809">
        <f t="shared" si="13"/>
        <v>111</v>
      </c>
      <c r="AA39" s="1806">
        <f t="shared" si="3"/>
        <v>1</v>
      </c>
      <c r="AB39" s="1806">
        <f t="shared" si="4"/>
        <v>1</v>
      </c>
      <c r="AC39" s="1806">
        <f t="shared" si="5"/>
        <v>1</v>
      </c>
    </row>
    <row r="40" spans="1:29" s="470" customFormat="1" ht="15.75" thickBot="1">
      <c r="A40" s="467"/>
      <c r="B40" s="1382">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266"/>
      <c r="Q40" s="1805">
        <f t="shared" si="14"/>
        <v>111</v>
      </c>
      <c r="R40" s="776" t="s">
        <v>17</v>
      </c>
      <c r="S40" s="777">
        <f t="shared" si="10"/>
        <v>100</v>
      </c>
      <c r="T40" s="776" t="s">
        <v>17</v>
      </c>
      <c r="U40" s="777">
        <f t="shared" si="11"/>
        <v>100</v>
      </c>
      <c r="V40" s="776" t="s">
        <v>17</v>
      </c>
      <c r="W40" s="777">
        <f t="shared" si="12"/>
        <v>100</v>
      </c>
      <c r="X40" s="778"/>
      <c r="Y40" s="3266"/>
      <c r="Z40" s="779">
        <f t="shared" si="13"/>
        <v>111</v>
      </c>
      <c r="AA40" s="1806">
        <f t="shared" si="3"/>
        <v>1</v>
      </c>
      <c r="AB40" s="1806">
        <f t="shared" si="4"/>
        <v>1</v>
      </c>
      <c r="AC40" s="1806">
        <f t="shared" si="5"/>
        <v>1</v>
      </c>
    </row>
    <row r="41" spans="1:29" ht="15">
      <c r="A41" s="478" t="s">
        <v>2715</v>
      </c>
      <c r="B41" s="2700" t="s">
        <v>2794</v>
      </c>
      <c r="C41" s="681" t="s">
        <v>1</v>
      </c>
      <c r="D41" s="480"/>
      <c r="E41" s="481"/>
      <c r="F41" s="482"/>
      <c r="G41" s="483"/>
      <c r="H41" s="484"/>
      <c r="I41" s="481"/>
      <c r="J41" s="484"/>
      <c r="K41" s="782"/>
      <c r="L41" s="1138"/>
      <c r="M41" s="1126"/>
      <c r="N41" s="1126"/>
      <c r="O41" s="1139"/>
      <c r="P41" s="3248" t="str">
        <f>A41</f>
        <v>成交单价</v>
      </c>
      <c r="Q41" s="3248"/>
      <c r="R41" s="3261">
        <f>E41</f>
        <v>0</v>
      </c>
      <c r="S41" s="3261"/>
      <c r="T41" s="3261">
        <f>G41</f>
        <v>0</v>
      </c>
      <c r="U41" s="3261"/>
      <c r="V41" s="3261">
        <f>I41</f>
        <v>0</v>
      </c>
      <c r="W41" s="3261"/>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38"/>
      <c r="M42" s="1126"/>
      <c r="N42" s="1126"/>
      <c r="O42" s="1139"/>
      <c r="P42" s="3248" t="str">
        <f>A42</f>
        <v>比较价值（元/平方米）</v>
      </c>
      <c r="Q42" s="3248"/>
      <c r="R42" s="3267" t="e">
        <f>ROUND(PRODUCT(R41,AA7:AA40),0)</f>
        <v>#DIV/0!</v>
      </c>
      <c r="S42" s="3267"/>
      <c r="T42" s="3267" t="e">
        <f>ROUND(PRODUCT(T41,AB7:AB40),0)</f>
        <v>#DIV/0!</v>
      </c>
      <c r="U42" s="3267"/>
      <c r="V42" s="3267" t="e">
        <f>ROUND(PRODUCT(V41,AC7:AC40),0)</f>
        <v>#DIV/0!</v>
      </c>
      <c r="W42" s="3267"/>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38"/>
      <c r="M43" s="1126"/>
      <c r="N43" s="1126"/>
      <c r="O43" s="1139"/>
      <c r="P43" s="3268" t="str">
        <f>A43</f>
        <v>估价对象XX用房的比较价值（楼面单价，元/平方米）</v>
      </c>
      <c r="Q43" s="3269"/>
      <c r="R43" s="3270" t="e">
        <f>ROUND(AVERAGE(R42:V42),0)</f>
        <v>#DIV/0!</v>
      </c>
      <c r="S43" s="3270"/>
      <c r="T43" s="3270"/>
      <c r="U43" s="3270"/>
      <c r="V43" s="3270"/>
      <c r="W43" s="3270"/>
      <c r="X43" s="758"/>
      <c r="Y43" s="758"/>
      <c r="Z43" s="758"/>
      <c r="AA43" s="758"/>
      <c r="AB43" s="758"/>
      <c r="AC43" s="758"/>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61"/>
      <c r="D49" s="759"/>
      <c r="E49" s="759"/>
      <c r="F49" s="759"/>
      <c r="G49" s="759"/>
      <c r="H49" s="759"/>
      <c r="I49" s="759"/>
      <c r="J49" s="759"/>
      <c r="K49" s="1143"/>
      <c r="L49" s="1144"/>
      <c r="M49" s="1140"/>
      <c r="N49" s="1140"/>
      <c r="O49" s="1140"/>
    </row>
    <row r="50" spans="1:17" ht="27">
      <c r="A50" s="683" t="s">
        <v>2752</v>
      </c>
      <c r="B50" s="684" t="s">
        <v>2753</v>
      </c>
      <c r="C50" s="2701" t="s">
        <v>2754</v>
      </c>
      <c r="D50" s="2702" t="s">
        <v>2755</v>
      </c>
      <c r="E50" s="685" t="s">
        <v>2756</v>
      </c>
      <c r="F50" s="686" t="s">
        <v>2757</v>
      </c>
      <c r="G50" s="3249" t="s">
        <v>2758</v>
      </c>
      <c r="H50" s="3271"/>
      <c r="I50" s="1809" t="s">
        <v>2795</v>
      </c>
      <c r="J50" s="1809">
        <f>项目基本情况!F35</f>
        <v>0</v>
      </c>
      <c r="K50" s="2704" t="s">
        <v>2760</v>
      </c>
      <c r="L50" s="1101"/>
      <c r="M50" s="1139"/>
      <c r="N50" s="1139"/>
      <c r="O50" s="1139"/>
    </row>
    <row r="51" spans="1:17" s="691" customFormat="1">
      <c r="A51" s="687" t="s">
        <v>2761</v>
      </c>
      <c r="B51" s="688" t="e">
        <f>C43</f>
        <v>#DIV/0!</v>
      </c>
      <c r="C51" s="689">
        <v>1</v>
      </c>
      <c r="D51" s="1158">
        <v>1</v>
      </c>
      <c r="E51" s="689">
        <f>'数据-汇总表'!E8+'数据-汇总表'!E9</f>
        <v>71473.9099999998</v>
      </c>
      <c r="F51" s="690" t="e">
        <f t="shared" ref="F51:F60" si="15">ROUND(B51*E51/10000,0)</f>
        <v>#DIV/0!</v>
      </c>
      <c r="G51" s="3272"/>
      <c r="H51" s="3248"/>
      <c r="I51" s="937">
        <v>1</v>
      </c>
      <c r="J51" s="937">
        <v>1</v>
      </c>
      <c r="K51" s="1140"/>
      <c r="L51" s="936"/>
      <c r="M51" s="936"/>
      <c r="N51" s="936"/>
      <c r="O51" s="936"/>
    </row>
    <row r="52" spans="1:17" s="691" customFormat="1">
      <c r="A52" s="692" t="s">
        <v>2762</v>
      </c>
      <c r="B52" s="261" t="e">
        <f>ROUND($C$43*C52*D52,0)</f>
        <v>#DIV/0!</v>
      </c>
      <c r="C52" s="199">
        <f t="shared" ref="C52:C60" si="16">IF($C$50="北京市系数",I52,J52)</f>
        <v>0</v>
      </c>
      <c r="D52" s="1159">
        <v>0.25</v>
      </c>
      <c r="E52" s="693"/>
      <c r="F52" s="690" t="e">
        <f t="shared" si="15"/>
        <v>#DIV/0!</v>
      </c>
      <c r="G52" s="3273" t="s">
        <v>2763</v>
      </c>
      <c r="H52" s="1099">
        <f>项目基本情况!B37</f>
        <v>0</v>
      </c>
      <c r="I52" s="937">
        <f>SUMIF(修正!A45:A56,H52,修正!B45:B56)</f>
        <v>0</v>
      </c>
      <c r="J52" s="938"/>
      <c r="K52" s="1139"/>
      <c r="L52" s="936"/>
      <c r="M52" s="936"/>
      <c r="N52" s="936"/>
      <c r="O52" s="936"/>
    </row>
    <row r="53" spans="1:17" s="691" customFormat="1">
      <c r="A53" s="692" t="s">
        <v>2764</v>
      </c>
      <c r="B53" s="261" t="e">
        <f t="shared" ref="B53:B60" si="17">ROUND($C$43*C53*D53,0)</f>
        <v>#DIV/0!</v>
      </c>
      <c r="C53" s="199">
        <f t="shared" si="16"/>
        <v>0</v>
      </c>
      <c r="D53" s="1159">
        <v>0.25</v>
      </c>
      <c r="E53" s="693"/>
      <c r="F53" s="690" t="e">
        <f t="shared" si="15"/>
        <v>#DIV/0!</v>
      </c>
      <c r="G53" s="3273"/>
      <c r="H53" s="1099">
        <f>项目基本情况!B37</f>
        <v>0</v>
      </c>
      <c r="I53" s="937">
        <f>SUMIF(修正!A45:A56,H53,修正!C45:C56)</f>
        <v>0</v>
      </c>
      <c r="J53" s="938"/>
      <c r="K53" s="1140"/>
      <c r="L53" s="936"/>
      <c r="M53" s="936"/>
      <c r="N53" s="936"/>
      <c r="O53" s="936"/>
    </row>
    <row r="54" spans="1:17" s="691" customFormat="1">
      <c r="A54" s="692" t="s">
        <v>2765</v>
      </c>
      <c r="B54" s="261" t="e">
        <f t="shared" si="17"/>
        <v>#DIV/0!</v>
      </c>
      <c r="C54" s="199">
        <f t="shared" si="16"/>
        <v>0</v>
      </c>
      <c r="D54" s="1159">
        <v>0.25</v>
      </c>
      <c r="E54" s="693"/>
      <c r="F54" s="690" t="e">
        <f t="shared" si="15"/>
        <v>#DIV/0!</v>
      </c>
      <c r="G54" s="3273"/>
      <c r="H54" s="1099">
        <f>项目基本情况!B37</f>
        <v>0</v>
      </c>
      <c r="I54" s="937">
        <f>SUMIF(修正!A45:A56,H54,修正!D45:D56)</f>
        <v>0</v>
      </c>
      <c r="J54" s="938"/>
      <c r="K54" s="1139"/>
      <c r="L54" s="936"/>
      <c r="M54" s="936"/>
      <c r="N54" s="936"/>
      <c r="O54" s="936"/>
    </row>
    <row r="55" spans="1:17" s="691" customFormat="1">
      <c r="A55" s="692" t="s">
        <v>2766</v>
      </c>
      <c r="B55" s="261" t="e">
        <f t="shared" si="17"/>
        <v>#DIV/0!</v>
      </c>
      <c r="C55" s="199">
        <f t="shared" si="16"/>
        <v>0</v>
      </c>
      <c r="D55" s="1159">
        <v>0.25</v>
      </c>
      <c r="E55" s="693"/>
      <c r="F55" s="690" t="e">
        <f t="shared" si="15"/>
        <v>#DIV/0!</v>
      </c>
      <c r="G55" s="3273"/>
      <c r="H55" s="1099">
        <f>项目基本情况!B37</f>
        <v>0</v>
      </c>
      <c r="I55" s="937">
        <f>SUMIF(修正!A45:A56,H55,修正!E45:E56)</f>
        <v>0</v>
      </c>
      <c r="J55" s="938"/>
      <c r="K55" s="1140"/>
      <c r="L55" s="936"/>
      <c r="M55" s="936"/>
      <c r="N55" s="936"/>
      <c r="O55" s="936"/>
    </row>
    <row r="56" spans="1:17" s="691" customFormat="1">
      <c r="A56" s="692" t="s">
        <v>2767</v>
      </c>
      <c r="B56" s="261" t="e">
        <f t="shared" si="17"/>
        <v>#DIV/0!</v>
      </c>
      <c r="C56" s="199">
        <f t="shared" si="16"/>
        <v>0</v>
      </c>
      <c r="D56" s="1159">
        <v>0.25</v>
      </c>
      <c r="E56" s="260">
        <f>'数据-汇总表'!E11</f>
        <v>0</v>
      </c>
      <c r="F56" s="690" t="e">
        <f t="shared" si="15"/>
        <v>#DIV/0!</v>
      </c>
      <c r="G56" s="2705" t="s">
        <v>2768</v>
      </c>
      <c r="H56" s="1099">
        <f>项目基本情况!C37</f>
        <v>0</v>
      </c>
      <c r="I56" s="937">
        <f>SUMIF(修正!A45:A56,H56,修正!F45:F56)</f>
        <v>0</v>
      </c>
      <c r="J56" s="938"/>
      <c r="K56" s="1139"/>
      <c r="L56" s="936"/>
      <c r="M56" s="936"/>
      <c r="N56" s="936"/>
      <c r="O56" s="936"/>
    </row>
    <row r="57" spans="1:17" s="691" customFormat="1">
      <c r="A57" s="692" t="s">
        <v>2769</v>
      </c>
      <c r="B57" s="261" t="e">
        <f t="shared" si="17"/>
        <v>#DIV/0!</v>
      </c>
      <c r="C57" s="199">
        <f t="shared" si="16"/>
        <v>0</v>
      </c>
      <c r="D57" s="1159">
        <v>0.25</v>
      </c>
      <c r="E57" s="260">
        <f>'数据-汇总表'!E12</f>
        <v>0</v>
      </c>
      <c r="F57" s="690" t="e">
        <f t="shared" si="15"/>
        <v>#DIV/0!</v>
      </c>
      <c r="G57" s="1104" t="s">
        <v>2770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2771</v>
      </c>
      <c r="B58" s="261" t="e">
        <f t="shared" si="17"/>
        <v>#DIV/0!</v>
      </c>
      <c r="C58" s="199">
        <f t="shared" si="16"/>
        <v>0</v>
      </c>
      <c r="D58" s="1159">
        <v>0.25</v>
      </c>
      <c r="E58" s="260">
        <f>'数据-汇总表'!E13</f>
        <v>0</v>
      </c>
      <c r="F58" s="690" t="e">
        <f t="shared" si="15"/>
        <v>#DIV/0!</v>
      </c>
      <c r="G58" s="1104" t="s">
        <v>2772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1" customFormat="1">
      <c r="A59" s="692" t="s">
        <v>2773</v>
      </c>
      <c r="B59" s="261" t="e">
        <f t="shared" si="17"/>
        <v>#DIV/0!</v>
      </c>
      <c r="C59" s="199">
        <f t="shared" si="16"/>
        <v>0</v>
      </c>
      <c r="D59" s="1159">
        <v>0.25</v>
      </c>
      <c r="E59" s="260">
        <f>'数据-汇总表'!E14</f>
        <v>0</v>
      </c>
      <c r="F59" s="690" t="e">
        <f t="shared" si="15"/>
        <v>#DIV/0!</v>
      </c>
      <c r="G59" s="2705" t="s">
        <v>2763</v>
      </c>
      <c r="H59" s="1099">
        <f>项目基本情况!B37</f>
        <v>0</v>
      </c>
      <c r="I59" s="937">
        <f>SUMIF(修正!A45:A56,H59,修正!H45:H56)</f>
        <v>0</v>
      </c>
      <c r="J59" s="938"/>
      <c r="K59" s="1140"/>
      <c r="L59" s="936"/>
      <c r="M59" s="936"/>
      <c r="N59" s="936"/>
      <c r="O59" s="936"/>
    </row>
    <row r="60" spans="1:17" s="691" customFormat="1" ht="15" thickBot="1">
      <c r="A60" s="692" t="s">
        <v>2774</v>
      </c>
      <c r="B60" s="261" t="e">
        <f t="shared" si="17"/>
        <v>#DIV/0!</v>
      </c>
      <c r="C60" s="199">
        <f t="shared" si="16"/>
        <v>0</v>
      </c>
      <c r="D60" s="1159">
        <v>0.25</v>
      </c>
      <c r="E60" s="260">
        <f>'数据-汇总表'!E15</f>
        <v>0</v>
      </c>
      <c r="F60" s="690" t="e">
        <f t="shared" si="15"/>
        <v>#DIV/0!</v>
      </c>
      <c r="G60" s="2706" t="s">
        <v>2768</v>
      </c>
      <c r="H60" s="1109">
        <f>项目基本情况!C37</f>
        <v>0</v>
      </c>
      <c r="I60" s="937">
        <f>SUMIF(修正!A45:A56,H60,修正!H45:H56)</f>
        <v>0</v>
      </c>
      <c r="J60" s="938"/>
      <c r="K60" s="1139"/>
      <c r="L60" s="936"/>
      <c r="M60" s="936"/>
      <c r="N60" s="936"/>
      <c r="O60" s="936"/>
    </row>
    <row r="61" spans="1:17" s="691" customFormat="1" ht="15" thickBot="1">
      <c r="A61" s="694" t="s">
        <v>2775</v>
      </c>
      <c r="B61" s="695" t="s">
        <v>28</v>
      </c>
      <c r="C61" s="695" t="s">
        <v>29</v>
      </c>
      <c r="D61" s="695" t="s">
        <v>1026</v>
      </c>
      <c r="E61" s="695">
        <f>IF(B41="楼面地价",SUM(E51:E60),'数据-汇总表'!D3)</f>
        <v>63815.99</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2669</v>
      </c>
      <c r="B64" s="758"/>
      <c r="C64" s="763"/>
      <c r="D64" s="763"/>
      <c r="E64" s="763"/>
      <c r="F64" s="764"/>
      <c r="G64" s="764"/>
      <c r="H64" s="763"/>
      <c r="I64" s="763"/>
      <c r="J64" s="763"/>
      <c r="K64" s="765"/>
      <c r="L64" s="766"/>
      <c r="M64" s="763"/>
      <c r="N64" s="763"/>
      <c r="O64" s="1154"/>
      <c r="P64" s="502"/>
      <c r="Q64" s="503"/>
    </row>
    <row r="65" spans="1:17" s="507" customFormat="1" ht="15">
      <c r="A65" s="2707" t="s">
        <v>2776</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6"/>
    </row>
    <row r="66" spans="1:17" s="116" customFormat="1" ht="30.75" customHeight="1">
      <c r="A66" s="2712" t="s">
        <v>2796</v>
      </c>
      <c r="B66" s="331" t="str">
        <f>"北京市平均增长率"&amp;TEXT(基准地价修正!P24,"0.00%")</f>
        <v>北京市平均增长率0.00%</v>
      </c>
      <c r="C66" s="602">
        <v>100</v>
      </c>
      <c r="D66" s="594"/>
      <c r="E66" s="594"/>
      <c r="F66" s="594"/>
      <c r="G66" s="594"/>
      <c r="H66" s="594"/>
      <c r="I66" s="594"/>
      <c r="J66" s="594"/>
      <c r="K66" s="594"/>
      <c r="L66" s="594"/>
      <c r="M66" s="1562"/>
      <c r="N66" s="1562"/>
      <c r="O66" s="1564"/>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2583</v>
      </c>
      <c r="B70" s="527" t="s">
        <v>2549</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2552</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2779</v>
      </c>
      <c r="C87" s="572" t="s">
        <v>2592</v>
      </c>
      <c r="D87" s="572" t="s">
        <v>2593</v>
      </c>
      <c r="E87" s="572" t="s">
        <v>2594</v>
      </c>
      <c r="F87" s="572" t="s">
        <v>2595</v>
      </c>
      <c r="G87" s="572" t="s">
        <v>2596</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2780</v>
      </c>
      <c r="C89" s="572" t="s">
        <v>2592</v>
      </c>
      <c r="D89" s="572" t="s">
        <v>2593</v>
      </c>
      <c r="E89" s="572" t="s">
        <v>2594</v>
      </c>
      <c r="F89" s="572" t="s">
        <v>2595</v>
      </c>
      <c r="G89" s="572" t="s">
        <v>2596</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2797</v>
      </c>
      <c r="C93" s="659" t="s">
        <v>2670</v>
      </c>
      <c r="D93" s="659" t="s">
        <v>2671</v>
      </c>
      <c r="E93" s="659" t="s">
        <v>2672</v>
      </c>
      <c r="F93" s="659" t="s">
        <v>2673</v>
      </c>
      <c r="G93" s="659" t="s">
        <v>2674</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2686</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2745</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2558</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2786</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2788</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2789</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7"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5"/>
      <c r="L1" s="2714" t="s">
        <v>2800</v>
      </c>
      <c r="M1" s="1075">
        <f>SUMPRODUCT((区片价!B5:B9=I2)*(区片价!C3:F3=E2)*(区片价!C5:F9))</f>
        <v>0</v>
      </c>
      <c r="N1" s="1078">
        <f>SUMPRODUCT((因素修正幅度!B5:B9=I2)*(因素修正幅度!C3:F3=E2)*(因素修正幅度!C5:F9))</f>
        <v>0</v>
      </c>
      <c r="O1" s="2715"/>
      <c r="P1" s="2715"/>
      <c r="Q1" s="1365"/>
      <c r="R1" s="1597" t="s">
        <v>2801</v>
      </c>
      <c r="S1" s="1597" t="s">
        <v>2802</v>
      </c>
      <c r="T1" s="1597" t="s">
        <v>2803</v>
      </c>
      <c r="U1" s="1597" t="s">
        <v>2804</v>
      </c>
      <c r="V1" s="1597" t="s">
        <v>2805</v>
      </c>
      <c r="W1" s="1601"/>
      <c r="X1" s="1601"/>
      <c r="Y1" s="1601"/>
      <c r="Z1" s="1601"/>
      <c r="AA1" s="1601"/>
      <c r="AB1" s="1601"/>
      <c r="AC1" s="1602"/>
      <c r="AD1" s="1603"/>
      <c r="AE1" s="1603"/>
      <c r="AF1" s="1603"/>
      <c r="AG1" s="1603"/>
      <c r="AH1" s="1603"/>
      <c r="AI1" s="1603"/>
      <c r="AJ1" s="1604"/>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5"/>
      <c r="L2" s="2722" t="s">
        <v>2811</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2812</v>
      </c>
      <c r="B3" s="247" t="e">
        <f>ROUND(B2*10000/D1,0)</f>
        <v>#DIV/0!</v>
      </c>
      <c r="C3" s="2717" t="s">
        <v>2813</v>
      </c>
      <c r="D3" s="2718" t="s">
        <v>2814</v>
      </c>
      <c r="E3" s="2723"/>
      <c r="F3" s="2724" t="s">
        <v>2815</v>
      </c>
      <c r="G3" s="911">
        <f>IF(F3="宗地容积率",'数据-汇总表'!I4,IF(F3="估价对象容积率",'数据-汇总表'!I6,'数据-汇总表'!I7))</f>
        <v>1.1200000000000001</v>
      </c>
      <c r="H3" s="197" t="s">
        <v>2816</v>
      </c>
      <c r="I3" s="939"/>
      <c r="J3" s="2721" t="s">
        <v>2817</v>
      </c>
      <c r="K3" s="1365"/>
      <c r="L3" s="2722" t="s">
        <v>2818</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46"/>
      <c r="B4" s="3347"/>
      <c r="C4" s="3347"/>
      <c r="D4" s="3348"/>
      <c r="E4" s="3348"/>
      <c r="F4" s="3348"/>
      <c r="G4" s="3348"/>
      <c r="H4" s="3348"/>
      <c r="I4" s="3348"/>
      <c r="J4" s="3349"/>
      <c r="K4" s="1365"/>
      <c r="L4" s="2722" t="s">
        <v>2819</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2820</v>
      </c>
      <c r="C5" s="912" t="e">
        <f>ROUND(IF(E2="商业",C6*C7+C16,(IF(E2="住宅",C6*C12+C16,C6+C16))),0)</f>
        <v>#DIV/0!</v>
      </c>
      <c r="D5" s="1782" t="e">
        <f>ROUND(IF(F17="增加",C6+C16,C6-C16),0)</f>
        <v>#DIV/0!</v>
      </c>
      <c r="E5" s="1782"/>
      <c r="F5" s="2727"/>
      <c r="G5" s="2728"/>
      <c r="H5" s="2728"/>
      <c r="I5" s="2728"/>
      <c r="J5" s="2729"/>
      <c r="K5" s="2730"/>
      <c r="L5" s="2722" t="s">
        <v>2821</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2822</v>
      </c>
      <c r="B6" s="2736" t="s">
        <v>2823</v>
      </c>
      <c r="C6" s="913">
        <f>SUMIF(L1:L12,G2,M1:M12)</f>
        <v>0</v>
      </c>
      <c r="D6" s="2737" t="s">
        <v>2824</v>
      </c>
      <c r="E6" s="2738"/>
      <c r="F6" s="2738"/>
      <c r="G6" s="2739"/>
      <c r="H6" s="2739"/>
      <c r="I6" s="2739"/>
      <c r="J6" s="2740"/>
      <c r="K6" s="1837"/>
      <c r="L6" s="2722" t="s">
        <v>2825</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330" t="str">
        <f>IF(E2="商业",IF(C8="不临58条商业街","",2),"")</f>
        <v/>
      </c>
      <c r="B7" s="2741" t="s">
        <v>2826</v>
      </c>
      <c r="C7" s="914" t="e">
        <f>IF(C8="不临58条商业街",1,ROUND(1+(1.6*E8+1.2*E9+0.8*E10+0.4*E11)*C9,4))</f>
        <v>#DIV/0!</v>
      </c>
      <c r="D7" s="2742" t="s">
        <v>2827</v>
      </c>
      <c r="E7" s="940"/>
      <c r="F7" s="2743"/>
      <c r="G7" s="2744"/>
      <c r="H7" s="2744"/>
      <c r="I7" s="2744"/>
      <c r="J7" s="2745"/>
      <c r="K7" s="1837"/>
      <c r="L7" s="2722" t="s">
        <v>2828</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2829</v>
      </c>
      <c r="X7" s="1599">
        <f>G2</f>
        <v>0</v>
      </c>
      <c r="Y7" s="1599" t="s">
        <v>2830</v>
      </c>
      <c r="Z7" s="1600">
        <f>G3</f>
        <v>1.1200000000000001</v>
      </c>
      <c r="AA7" s="1601"/>
      <c r="AB7" s="1601"/>
      <c r="AC7" s="1602"/>
      <c r="AD7" s="1603"/>
      <c r="AE7" s="1603"/>
      <c r="AF7" s="1603"/>
      <c r="AG7" s="1603"/>
      <c r="AH7" s="1603"/>
      <c r="AI7" s="1603"/>
      <c r="AJ7" s="1604"/>
    </row>
    <row r="8" spans="1:36" ht="15">
      <c r="A8" s="3350"/>
      <c r="B8" s="197" t="s">
        <v>2831</v>
      </c>
      <c r="C8" s="2746"/>
      <c r="D8" s="915" t="s">
        <v>139</v>
      </c>
      <c r="E8" s="916" t="e">
        <f>ROUND(C11/E7,4)</f>
        <v>#DIV/0!</v>
      </c>
      <c r="F8" s="2747" t="s">
        <v>2832</v>
      </c>
      <c r="G8" s="2748"/>
      <c r="H8" s="2748"/>
      <c r="I8" s="2748"/>
      <c r="J8" s="2749"/>
      <c r="K8" s="1365"/>
      <c r="L8" s="2722" t="s">
        <v>2833</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43" t="s">
        <v>2834</v>
      </c>
      <c r="X8" s="3344"/>
      <c r="Y8" s="1605" t="s">
        <v>2835</v>
      </c>
      <c r="Z8" s="1605" t="s">
        <v>2836</v>
      </c>
      <c r="AA8" s="1605" t="s">
        <v>2837</v>
      </c>
      <c r="AB8" s="1605" t="s">
        <v>2838</v>
      </c>
      <c r="AC8" s="1605" t="s">
        <v>2839</v>
      </c>
      <c r="AD8" s="1605" t="s">
        <v>2840</v>
      </c>
      <c r="AE8" s="1605" t="s">
        <v>2841</v>
      </c>
      <c r="AF8" s="1605" t="s">
        <v>2842</v>
      </c>
      <c r="AG8" s="1605" t="s">
        <v>2843</v>
      </c>
      <c r="AH8" s="1605" t="s">
        <v>2844</v>
      </c>
      <c r="AI8" s="1605" t="s">
        <v>2845</v>
      </c>
      <c r="AJ8" s="1605" t="s">
        <v>2846</v>
      </c>
    </row>
    <row r="9" spans="1:36" ht="15">
      <c r="A9" s="3350"/>
      <c r="B9" s="197" t="s">
        <v>2847</v>
      </c>
      <c r="C9" s="917">
        <f>SUMIF(修正!C59:C119,C8,修正!E59:E119)</f>
        <v>0</v>
      </c>
      <c r="D9" s="199" t="s">
        <v>140</v>
      </c>
      <c r="E9" s="199" t="e">
        <f>ROUND(C11/E7,4)</f>
        <v>#DIV/0!</v>
      </c>
      <c r="F9" s="2747" t="s">
        <v>2848</v>
      </c>
      <c r="G9" s="2748"/>
      <c r="H9" s="2748"/>
      <c r="I9" s="2748"/>
      <c r="J9" s="2749"/>
      <c r="K9" s="1365"/>
      <c r="L9" s="2722" t="s">
        <v>2849</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45" t="s">
        <v>2850</v>
      </c>
      <c r="X9" s="1606" t="s">
        <v>2851</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0"/>
      <c r="B10" s="197" t="s">
        <v>2852</v>
      </c>
      <c r="C10" s="199">
        <f>SUMIF(修正!C59:C119,C8,修正!F59:F119)</f>
        <v>0</v>
      </c>
      <c r="D10" s="199" t="s">
        <v>141</v>
      </c>
      <c r="E10" s="199" t="e">
        <f>ROUND(C11/E7,4)</f>
        <v>#DIV/0!</v>
      </c>
      <c r="F10" s="2747" t="s">
        <v>2853</v>
      </c>
      <c r="G10" s="2748"/>
      <c r="H10" s="2748"/>
      <c r="I10" s="2748"/>
      <c r="J10" s="2749"/>
      <c r="K10" s="1365"/>
      <c r="L10" s="2722" t="s">
        <v>2854</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4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50"/>
      <c r="B11" s="2750" t="s">
        <v>2855</v>
      </c>
      <c r="C11" s="918">
        <f>C10/4</f>
        <v>0</v>
      </c>
      <c r="D11" s="918" t="s">
        <v>142</v>
      </c>
      <c r="E11" s="918" t="e">
        <f>ROUND(C11/E7,4)</f>
        <v>#DIV/0!</v>
      </c>
      <c r="F11" s="2751" t="s">
        <v>2856</v>
      </c>
      <c r="G11" s="2752"/>
      <c r="H11" s="2752"/>
      <c r="I11" s="2752"/>
      <c r="J11" s="2753"/>
      <c r="K11" s="1365"/>
      <c r="L11" s="2722" t="s">
        <v>2857</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45" t="s">
        <v>2858</v>
      </c>
      <c r="X11" s="1609" t="s">
        <v>2859</v>
      </c>
      <c r="Y11" s="1610">
        <f>$G$3</f>
        <v>1.1200000000000001</v>
      </c>
      <c r="Z11" s="1610">
        <f t="shared" ref="Z11:AJ11" si="3">$G$3</f>
        <v>1.1200000000000001</v>
      </c>
      <c r="AA11" s="1610">
        <f t="shared" si="3"/>
        <v>1.1200000000000001</v>
      </c>
      <c r="AB11" s="1610">
        <f t="shared" si="3"/>
        <v>1.1200000000000001</v>
      </c>
      <c r="AC11" s="1610">
        <f t="shared" si="3"/>
        <v>1.1200000000000001</v>
      </c>
      <c r="AD11" s="1610">
        <f t="shared" si="3"/>
        <v>1.1200000000000001</v>
      </c>
      <c r="AE11" s="1610">
        <f t="shared" si="3"/>
        <v>1.1200000000000001</v>
      </c>
      <c r="AF11" s="1610">
        <f t="shared" si="3"/>
        <v>1.1200000000000001</v>
      </c>
      <c r="AG11" s="1610">
        <f t="shared" si="3"/>
        <v>1.1200000000000001</v>
      </c>
      <c r="AH11" s="1610">
        <f t="shared" si="3"/>
        <v>1.1200000000000001</v>
      </c>
      <c r="AI11" s="1610">
        <f t="shared" si="3"/>
        <v>1.1200000000000001</v>
      </c>
      <c r="AJ11" s="1610">
        <f t="shared" si="3"/>
        <v>1.1200000000000001</v>
      </c>
    </row>
    <row r="12" spans="1:36" ht="25.5" thickBot="1">
      <c r="A12" s="3330" t="s">
        <v>2860</v>
      </c>
      <c r="B12" s="2754" t="s">
        <v>2861</v>
      </c>
      <c r="C12" s="914">
        <f>ROUND(C15*D15*E15*F15*G15*H15*I15*J15,4)</f>
        <v>1</v>
      </c>
      <c r="D12" s="2755" t="s">
        <v>2862</v>
      </c>
      <c r="E12" s="2756"/>
      <c r="F12" s="2756"/>
      <c r="G12" s="2757"/>
      <c r="H12" s="2757"/>
      <c r="I12" s="2757"/>
      <c r="J12" s="2758"/>
      <c r="K12" s="1365"/>
      <c r="L12" s="2759" t="s">
        <v>2863</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45"/>
      <c r="X12" s="1611" t="s">
        <v>2864</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51"/>
      <c r="B13" s="2760" t="s">
        <v>2865</v>
      </c>
      <c r="C13" s="2761" t="s">
        <v>2866</v>
      </c>
      <c r="D13" s="1803" t="s">
        <v>2867</v>
      </c>
      <c r="E13" s="1803" t="s">
        <v>2868</v>
      </c>
      <c r="F13" s="30" t="s">
        <v>2869</v>
      </c>
      <c r="G13" s="2762" t="s">
        <v>2870</v>
      </c>
      <c r="H13" s="2762" t="s">
        <v>2870</v>
      </c>
      <c r="I13" s="2762" t="s">
        <v>2870</v>
      </c>
      <c r="J13" s="2763" t="s">
        <v>2870</v>
      </c>
      <c r="K13" s="1365"/>
      <c r="L13" s="1365"/>
      <c r="M13" s="1365"/>
      <c r="N13" s="1365"/>
      <c r="O13" s="1365"/>
      <c r="P13" s="1365"/>
      <c r="Q13" s="1365"/>
      <c r="R13" s="1597">
        <v>12</v>
      </c>
      <c r="S13" s="1598"/>
      <c r="T13" s="1597" t="e">
        <f t="shared" si="0"/>
        <v>#DIV/0!</v>
      </c>
      <c r="U13" s="1598"/>
      <c r="V13" s="1597" t="e">
        <f t="shared" si="1"/>
        <v>#DIV/0!</v>
      </c>
      <c r="W13" s="3345"/>
      <c r="X13" s="1611"/>
      <c r="Y13" s="1608">
        <f>(-0.163*(Y12^2)-0.59*Y12+7617)*(10^(-4))/Y11</f>
        <v>0.68008928571428573</v>
      </c>
      <c r="Z13" s="1608">
        <f t="shared" ref="Z13:AJ13" si="5">(-0.163*(Z12^2)-0.59*Z12+7617)*(10^(-4))/Z11</f>
        <v>0.68008928571428573</v>
      </c>
      <c r="AA13" s="1608">
        <f t="shared" si="5"/>
        <v>0.68008928571428573</v>
      </c>
      <c r="AB13" s="1608">
        <f t="shared" si="5"/>
        <v>0.68008928571428573</v>
      </c>
      <c r="AC13" s="1608">
        <f t="shared" si="5"/>
        <v>0.68008928571428573</v>
      </c>
      <c r="AD13" s="1608">
        <f t="shared" si="5"/>
        <v>0.68008928571428573</v>
      </c>
      <c r="AE13" s="1608">
        <f t="shared" si="5"/>
        <v>0.68008928571428573</v>
      </c>
      <c r="AF13" s="1608">
        <f t="shared" si="5"/>
        <v>0.68008928571428573</v>
      </c>
      <c r="AG13" s="1608">
        <f t="shared" si="5"/>
        <v>0.68008928571428573</v>
      </c>
      <c r="AH13" s="1608">
        <f t="shared" si="5"/>
        <v>0.68008928571428573</v>
      </c>
      <c r="AI13" s="1608">
        <f t="shared" si="5"/>
        <v>0.68008928571428573</v>
      </c>
      <c r="AJ13" s="1608">
        <f t="shared" si="5"/>
        <v>0.68008928571428573</v>
      </c>
    </row>
    <row r="14" spans="1:36" ht="15">
      <c r="A14" s="3351"/>
      <c r="B14" s="2764"/>
      <c r="C14" s="2765"/>
      <c r="D14" s="2766"/>
      <c r="E14" s="2766"/>
      <c r="F14" s="2767"/>
      <c r="G14" s="2768" t="s">
        <v>2871</v>
      </c>
      <c r="H14" s="2769"/>
      <c r="I14" s="2770"/>
      <c r="J14" s="2771"/>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52"/>
      <c r="B15" s="2772" t="s">
        <v>2872</v>
      </c>
      <c r="C15" s="228">
        <f>IF(C14="有",1.1,1)</f>
        <v>1</v>
      </c>
      <c r="D15" s="228">
        <f>IF(D14="有",1.1,1)</f>
        <v>1</v>
      </c>
      <c r="E15" s="228">
        <f>IF(E14="有",1.1,1)</f>
        <v>1</v>
      </c>
      <c r="F15" s="228">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30" t="s">
        <v>2877</v>
      </c>
      <c r="B16" s="2741" t="s">
        <v>2878</v>
      </c>
      <c r="C16" s="2931" t="e">
        <f>ROUND(IF(F17="与级别开发程度一致",0,(G17-E17)/C17),0)</f>
        <v>#DIV/0!</v>
      </c>
      <c r="D16" s="3341" t="s">
        <v>2882</v>
      </c>
      <c r="E16" s="3342"/>
      <c r="F16" s="3341" t="s">
        <v>2879</v>
      </c>
      <c r="G16" s="3342"/>
      <c r="H16" s="2775"/>
      <c r="I16" s="2775"/>
      <c r="J16" s="2935"/>
      <c r="K16" s="2775"/>
      <c r="L16" s="2775"/>
      <c r="M16" s="2775"/>
      <c r="N16" s="2775"/>
      <c r="O16" s="2776"/>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31"/>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5"/>
      <c r="R17" s="1365"/>
      <c r="S17" s="1365"/>
      <c r="T17" s="1365"/>
      <c r="U17" s="1365"/>
      <c r="V17" s="1365"/>
      <c r="W17" s="1365"/>
      <c r="X17" s="1365"/>
      <c r="Y17" s="1365"/>
      <c r="Z17" s="1366"/>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2"/>
      <c r="O18" s="1370"/>
      <c r="P18" s="1370"/>
      <c r="Q18" s="1371"/>
      <c r="R18" s="1371"/>
      <c r="S18" s="1371"/>
      <c r="T18" s="1366"/>
      <c r="U18" s="1366"/>
      <c r="V18" s="1366"/>
      <c r="W18" s="1365"/>
      <c r="X18" s="1365"/>
      <c r="Y18" s="1365"/>
      <c r="Z18" s="1372"/>
      <c r="AA18" s="1373"/>
      <c r="AB18" s="1373"/>
      <c r="AC18" s="1373"/>
      <c r="AD18" s="1373"/>
      <c r="AE18" s="1367"/>
      <c r="AF18" s="1367"/>
      <c r="AG18" s="2784"/>
      <c r="AH18" s="2784"/>
      <c r="AI18" s="2784"/>
    </row>
    <row r="19" spans="1:37" s="2734" customFormat="1" ht="27.75" thickBot="1">
      <c r="A19" s="2780" t="s">
        <v>809</v>
      </c>
      <c r="B19" s="2781" t="s">
        <v>2885</v>
      </c>
      <c r="C19" s="919" t="e">
        <f>ROUND(IF(H19="按公示增长率计算",SUMPRODUCT((地价!A3:A26=YEAR(G19)&amp;"-"&amp;ROUNDUP(MONTH(G19)/3,0))*(地价!X2:AB2=E2)*(地价!X3:AB26)),IF(H19="地价指数",M20/M19,(1+I19)^O19)),4)</f>
        <v>#DIV/0!</v>
      </c>
      <c r="D19" s="2785" t="s">
        <v>2886</v>
      </c>
      <c r="E19" s="920">
        <v>41640</v>
      </c>
      <c r="F19" s="2785" t="s">
        <v>2887</v>
      </c>
      <c r="G19" s="921">
        <f>'数据-取费表'!B2</f>
        <v>43758</v>
      </c>
      <c r="H19" s="2786" t="s">
        <v>2888</v>
      </c>
      <c r="I19" s="922" t="str">
        <f>IF(H19="季度增幅（自定义）",SUMIF(N21:N24,E2,O21:O24),"")</f>
        <v/>
      </c>
      <c r="J19" s="2783"/>
      <c r="K19" s="1372"/>
      <c r="L19" s="2787" t="s">
        <v>2889</v>
      </c>
      <c r="M19" s="1729">
        <f>ROUND(SUMIF(地价!B2:F2,E2,地价!B26:F26),0)</f>
        <v>0</v>
      </c>
      <c r="N19" s="2788" t="s">
        <v>2890</v>
      </c>
      <c r="O19" s="923">
        <f>ROUNDDOWN(DATEDIF(E19,G19,"M")/3,0)</f>
        <v>23</v>
      </c>
      <c r="P19" s="1369"/>
      <c r="Q19" s="1371"/>
      <c r="R19" s="1371"/>
      <c r="S19" s="1371"/>
      <c r="T19" s="1366"/>
      <c r="U19" s="1366"/>
      <c r="V19" s="1366"/>
      <c r="W19" s="1365"/>
      <c r="X19" s="1365"/>
      <c r="Y19" s="1365"/>
      <c r="Z19" s="1372"/>
      <c r="AA19" s="1373"/>
      <c r="AB19" s="1373"/>
      <c r="AC19" s="1373"/>
      <c r="AD19" s="1373"/>
      <c r="AE19" s="1373"/>
      <c r="AF19" s="2789"/>
      <c r="AG19" s="2790"/>
      <c r="AH19" s="2784"/>
      <c r="AI19" s="2791"/>
      <c r="AJ19" s="2791"/>
      <c r="AK19" s="2791"/>
    </row>
    <row r="20" spans="1:37" s="2734" customFormat="1" ht="27.75" thickBot="1">
      <c r="A20" s="2792" t="s">
        <v>810</v>
      </c>
      <c r="B20" s="2793" t="s">
        <v>2891</v>
      </c>
      <c r="C20" s="924" t="e">
        <f>ROUND(POWER(1+G20,J20-I20)*(POWER(1+G20,I20)-1)/(POWER(1+G20,J20)-1),4)</f>
        <v>#DIV/0!</v>
      </c>
      <c r="D20" s="2794" t="s">
        <v>2892</v>
      </c>
      <c r="E20" s="1763">
        <f ca="1">存贷款利率!D4/100</f>
        <v>4.3499999999999997E-2</v>
      </c>
      <c r="F20" s="2794" t="s">
        <v>2883</v>
      </c>
      <c r="G20" s="929">
        <f>SUMIF(M26:P26,E2,M28:P28)</f>
        <v>0</v>
      </c>
      <c r="H20" s="2794" t="s">
        <v>2893</v>
      </c>
      <c r="I20" s="930" t="e">
        <f>SUMIF('数据-取费表'!C6:C15,E2,'数据-取费表'!F6:F15)/COUNTIF('数据-取费表'!C6:C15,E2)</f>
        <v>#DIV/0!</v>
      </c>
      <c r="J20" s="931">
        <f>IF(E2="住宅",70,IF(E2="商业",40,50))</f>
        <v>50</v>
      </c>
      <c r="K20" s="1372"/>
      <c r="L20" s="2795" t="s">
        <v>2894</v>
      </c>
      <c r="M20" s="1730">
        <f>ROUND(SUMPRODUCT((地价!A4:A26=YEAR(G19)&amp;"-"&amp;ROUNDUP(MONTH(G19)/3,0))*(地价!B2:F2=E2)*(地价!B4:F26)),0)</f>
        <v>0</v>
      </c>
      <c r="N20" s="2796" t="s">
        <v>2895</v>
      </c>
      <c r="O20" s="2797" t="s">
        <v>2896</v>
      </c>
      <c r="P20" s="2798" t="s">
        <v>2897</v>
      </c>
      <c r="R20" s="1371"/>
      <c r="S20" s="1371"/>
      <c r="T20" s="1366"/>
      <c r="U20" s="1366"/>
      <c r="V20" s="1366"/>
      <c r="W20" s="1365"/>
      <c r="X20" s="1365"/>
      <c r="Y20" s="1365"/>
      <c r="Z20" s="1372"/>
      <c r="AA20" s="1373"/>
      <c r="AB20" s="1373"/>
      <c r="AC20" s="1373"/>
      <c r="AD20" s="1373"/>
      <c r="AE20" s="1373"/>
      <c r="AF20" s="1373"/>
    </row>
    <row r="21" spans="1:37" s="2734" customFormat="1" ht="15">
      <c r="A21" s="2799" t="s">
        <v>811</v>
      </c>
      <c r="B21" s="2800" t="s">
        <v>2898</v>
      </c>
      <c r="C21" s="932">
        <f>IF(B21="容积率修正",IF(G3&lt;=10,D22,J22),C23)</f>
        <v>0</v>
      </c>
      <c r="D21" s="2801"/>
      <c r="E21" s="2801"/>
      <c r="F21" s="2801"/>
      <c r="G21" s="2801"/>
      <c r="H21" s="2801"/>
      <c r="I21" s="2801"/>
      <c r="J21" s="2802"/>
      <c r="K21" s="1372"/>
      <c r="N21" s="2803" t="s">
        <v>2899</v>
      </c>
      <c r="O21" s="1556"/>
      <c r="P21" s="1557">
        <f>SUMPRODUCT((地价!A3:A26=YEAR(G19)&amp;"-"&amp;ROUNDUP(MONTH(G19)/3,0))*(地价!AD2:AH2=N21)*(地价!AD3:AH26))</f>
        <v>0</v>
      </c>
      <c r="R21" s="1371"/>
      <c r="S21" s="1371"/>
      <c r="T21" s="1366"/>
      <c r="U21" s="1366"/>
      <c r="V21" s="1366"/>
      <c r="W21" s="1365"/>
      <c r="X21" s="1365"/>
      <c r="Y21" s="1365"/>
      <c r="Z21" s="1372"/>
      <c r="AA21" s="1373"/>
      <c r="AB21" s="1373"/>
      <c r="AC21" s="1373"/>
      <c r="AD21" s="1373"/>
      <c r="AE21" s="1373"/>
      <c r="AF21" s="1373"/>
    </row>
    <row r="22" spans="1:37" s="2734" customFormat="1" ht="14.25">
      <c r="A22" s="2660" t="s">
        <v>2900</v>
      </c>
      <c r="B22" s="2804" t="s">
        <v>2901</v>
      </c>
      <c r="C22" s="1805" t="s">
        <v>2902</v>
      </c>
      <c r="D22" s="1805">
        <f>IF(E22=G22,F22,IF(G3&lt;=10,ROUND(F22+(H22-F22)*(G3-E22)/(G22-E22),4),"——"))</f>
        <v>0</v>
      </c>
      <c r="E22" s="911">
        <f>ROUNDDOWN(G3,1)</f>
        <v>1.1000000000000001</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3" t="s">
        <v>2903</v>
      </c>
      <c r="O22" s="1556"/>
      <c r="P22" s="1557">
        <f>SUMPRODUCT((地价!A3:A26=YEAR(G19)&amp;"-"&amp;ROUNDUP(MONTH(G19)/3,0))*(地价!AD2:AH2=N22)*(地价!AD3:AH26))</f>
        <v>0</v>
      </c>
      <c r="R22" s="1371"/>
      <c r="S22" s="1371"/>
      <c r="T22" s="1366"/>
      <c r="U22" s="1366"/>
      <c r="V22" s="1366"/>
      <c r="W22" s="1365"/>
      <c r="X22" s="1365"/>
      <c r="Y22" s="1365"/>
      <c r="Z22" s="1372"/>
      <c r="AA22" s="1373"/>
      <c r="AB22" s="1373"/>
      <c r="AC22" s="1373"/>
      <c r="AD22" s="1373"/>
      <c r="AE22" s="1373"/>
      <c r="AF22" s="1373"/>
    </row>
    <row r="23" spans="1:37" ht="27.75" thickBot="1">
      <c r="A23" s="2660" t="s">
        <v>2904</v>
      </c>
      <c r="B23" s="2805" t="s">
        <v>2905</v>
      </c>
      <c r="C23" s="1008">
        <f>ROUND(IF(G3&gt;1,IF(I3&lt;7,SUMPRODUCT((B93:B98=I3)*(C92:N92=G2)*(C93:N98)),SUMIF(C92:N92,G2,C100:N100)),IF(I3&lt;7,SUMPRODUCT((B102:B107=I3)*(C92:N92=G2)*(C102:N107)),SUMIF(C92:N92,G2,C109:N109))),4)</f>
        <v>0</v>
      </c>
      <c r="D23" s="2769"/>
      <c r="E23" s="2769"/>
      <c r="F23" s="2806"/>
      <c r="G23" s="2807"/>
      <c r="H23" s="2808"/>
      <c r="I23" s="2809"/>
      <c r="J23" s="2810"/>
      <c r="K23" s="1365"/>
      <c r="N23" s="2803" t="s">
        <v>2906</v>
      </c>
      <c r="O23" s="1556"/>
      <c r="P23" s="1557">
        <f>SUMPRODUCT((地价!A3:A26=YEAR(G19)&amp;"-"&amp;ROUNDUP(MONTH(G19)/3,0))*(地价!AD2:AH2=N23)*(地价!AD3:AH26))</f>
        <v>0</v>
      </c>
      <c r="R23" s="1371"/>
      <c r="S23" s="1371"/>
      <c r="T23" s="1366"/>
      <c r="U23" s="1366"/>
      <c r="V23" s="1366"/>
      <c r="W23" s="1365"/>
      <c r="X23" s="1365"/>
      <c r="Y23" s="1365"/>
      <c r="Z23" s="1372"/>
      <c r="AA23" s="1373"/>
      <c r="AB23" s="1373"/>
      <c r="AC23" s="1373"/>
      <c r="AD23" s="1373"/>
      <c r="AK23" s="2784"/>
    </row>
    <row r="24" spans="1:37" s="2734" customFormat="1" ht="15.75" thickBot="1">
      <c r="A24" s="2792" t="s">
        <v>812</v>
      </c>
      <c r="B24" s="2781" t="s">
        <v>2907</v>
      </c>
      <c r="C24" s="919">
        <f>SUMIF(A45:A88,E2,B45:B88)</f>
        <v>0</v>
      </c>
      <c r="D24" s="2782"/>
      <c r="E24" s="2811"/>
      <c r="F24" s="2811"/>
      <c r="G24" s="2811"/>
      <c r="H24" s="2811"/>
      <c r="I24" s="2811"/>
      <c r="J24" s="2812"/>
      <c r="K24" s="1372"/>
      <c r="N24" s="2813" t="s">
        <v>2908</v>
      </c>
      <c r="O24" s="1558"/>
      <c r="P24" s="1559">
        <f>SUMPRODUCT((地价!A3:A26=YEAR(G19)&amp;"-"&amp;ROUNDUP(MONTH(G19)/3,0))*(地价!AD2:AH2=N24)*(地价!AD3:AH26))</f>
        <v>0</v>
      </c>
      <c r="R24" s="1371"/>
      <c r="S24" s="1371"/>
      <c r="T24" s="1366"/>
      <c r="U24" s="1366"/>
      <c r="V24" s="1366"/>
      <c r="W24" s="1365"/>
      <c r="X24" s="1365"/>
      <c r="Y24" s="1365"/>
      <c r="Z24" s="1372"/>
      <c r="AA24" s="1373"/>
      <c r="AB24" s="1373"/>
      <c r="AC24" s="1373"/>
      <c r="AD24" s="1373"/>
      <c r="AE24" s="1373"/>
      <c r="AF24" s="1373"/>
    </row>
    <row r="25" spans="1:37" ht="15.75" thickBot="1">
      <c r="A25" s="2792" t="s">
        <v>813</v>
      </c>
      <c r="B25" s="2814" t="s">
        <v>2909</v>
      </c>
      <c r="C25" s="925"/>
      <c r="D25" s="2744"/>
      <c r="E25" s="2744"/>
      <c r="F25" s="2815"/>
      <c r="G25" s="2744"/>
      <c r="H25" s="2744"/>
      <c r="I25" s="2744"/>
      <c r="J25" s="2745"/>
      <c r="K25" s="1365"/>
      <c r="N25" s="2816" t="s">
        <v>2910</v>
      </c>
      <c r="O25" s="1560"/>
      <c r="P25" s="1559">
        <f>SUMPRODUCT((地价!A3:A26=YEAR(G19)&amp;"-"&amp;ROUNDUP(MONTH(G19)/3,0))*(地价!AD2:AH2=N25)*(地价!AD3:AH26))</f>
        <v>0</v>
      </c>
      <c r="R25" s="1371"/>
      <c r="S25" s="1371"/>
      <c r="T25" s="1366"/>
      <c r="U25" s="1366"/>
      <c r="V25" s="1366"/>
      <c r="W25" s="1365"/>
      <c r="X25" s="1365"/>
      <c r="Y25" s="1365"/>
      <c r="Z25" s="1372"/>
      <c r="AA25" s="1373"/>
      <c r="AB25" s="1373"/>
      <c r="AC25" s="1373"/>
      <c r="AD25" s="1373"/>
    </row>
    <row r="26" spans="1:37" ht="15">
      <c r="A26" s="2817"/>
      <c r="B26" s="2804" t="s">
        <v>2911</v>
      </c>
      <c r="C26" s="205" t="e">
        <f>E29+SUM(E33:E39)</f>
        <v>#DIV/0!</v>
      </c>
      <c r="D26" s="2818"/>
      <c r="E26" s="2769"/>
      <c r="F26" s="2819"/>
      <c r="G26" s="2769"/>
      <c r="H26" s="2769"/>
      <c r="I26" s="2769"/>
      <c r="J26" s="2820"/>
      <c r="K26" s="1365"/>
      <c r="L26" s="2773" t="s">
        <v>2808</v>
      </c>
      <c r="M26" s="915" t="s">
        <v>2873</v>
      </c>
      <c r="N26" s="915" t="s">
        <v>2874</v>
      </c>
      <c r="O26" s="915" t="s">
        <v>2875</v>
      </c>
      <c r="P26" s="2774" t="s">
        <v>2876</v>
      </c>
      <c r="R26" s="1371"/>
      <c r="S26" s="1371"/>
      <c r="T26" s="1366"/>
      <c r="U26" s="1366"/>
      <c r="V26" s="1366"/>
      <c r="W26" s="1365"/>
      <c r="X26" s="1365"/>
      <c r="Y26" s="1365"/>
      <c r="Z26" s="1372"/>
      <c r="AA26" s="1373"/>
      <c r="AB26" s="1373"/>
      <c r="AC26" s="1373"/>
      <c r="AD26" s="1373"/>
    </row>
    <row r="27" spans="1:37" ht="15.75" thickBot="1">
      <c r="A27" s="2817"/>
      <c r="B27" s="2821" t="s">
        <v>2912</v>
      </c>
      <c r="C27" s="926" t="e">
        <f>E30+SUM(I33:I39)</f>
        <v>#DIV/0!</v>
      </c>
      <c r="D27" s="2822"/>
      <c r="E27" s="2823"/>
      <c r="F27" s="2824"/>
      <c r="G27" s="2823"/>
      <c r="H27" s="2823"/>
      <c r="I27" s="2823"/>
      <c r="J27" s="2825"/>
      <c r="K27" s="1365"/>
      <c r="L27" s="2777" t="s">
        <v>2880</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6"/>
      <c r="B28" s="2827" t="s">
        <v>2913</v>
      </c>
      <c r="C28" s="2828" t="s">
        <v>2914</v>
      </c>
      <c r="D28" s="2828" t="s">
        <v>2915</v>
      </c>
      <c r="E28" s="2829" t="s">
        <v>2916</v>
      </c>
      <c r="F28" s="2830"/>
      <c r="G28" s="2757"/>
      <c r="H28" s="2757"/>
      <c r="I28" s="2757"/>
      <c r="J28" s="2758"/>
      <c r="K28" s="1365"/>
      <c r="L28" s="2778" t="s">
        <v>2883</v>
      </c>
      <c r="M28" s="210">
        <f ca="1">ROUND($E$20*(1+M27),3)</f>
        <v>5.3999999999999999E-2</v>
      </c>
      <c r="N28" s="210">
        <f ca="1">ROUND($E$20*(1+N27),3)</f>
        <v>5.1999999999999998E-2</v>
      </c>
      <c r="O28" s="210">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1"/>
      <c r="B29" s="2832" t="s">
        <v>2917</v>
      </c>
      <c r="C29" s="205" t="e">
        <f>ROUND(C5*C18*C19*C20*C21*C24,0)</f>
        <v>#DIV/0!</v>
      </c>
      <c r="D29" s="2833"/>
      <c r="E29" s="937" t="e">
        <f>ROUND(C29*D29/10000,0)</f>
        <v>#DIV/0!</v>
      </c>
      <c r="F29" s="2834" t="s">
        <v>2918</v>
      </c>
      <c r="G29" s="2835"/>
      <c r="H29" s="2835"/>
      <c r="I29" s="2835"/>
      <c r="J29" s="2836"/>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6"/>
      <c r="AH29" s="2716"/>
      <c r="AI29" s="2716"/>
      <c r="AJ29" s="2716"/>
    </row>
    <row r="30" spans="1:37" ht="25.5" thickBot="1">
      <c r="A30" s="2837"/>
      <c r="B30" s="2838" t="s">
        <v>2919</v>
      </c>
      <c r="C30" s="228" t="e">
        <f>ROUND(IF(E2="工业",C29*M39,C29*M38),0)</f>
        <v>#DIV/0!</v>
      </c>
      <c r="D30" s="2839"/>
      <c r="E30" s="937" t="e">
        <f>ROUND(C30*D30/10000,0)</f>
        <v>#DIV/0!</v>
      </c>
      <c r="F30" s="2840" t="s">
        <v>2920</v>
      </c>
      <c r="G30" s="2841"/>
      <c r="H30" s="2841"/>
      <c r="I30" s="2841"/>
      <c r="J30" s="2842"/>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6"/>
      <c r="AH32" s="2716"/>
      <c r="AI32" s="2716"/>
      <c r="AJ32" s="2716"/>
    </row>
    <row r="33" spans="1:37" ht="36" customHeight="1">
      <c r="A33" s="3338"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39"/>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39"/>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5"/>
      <c r="L35" s="1365"/>
      <c r="M35" s="1365"/>
      <c r="N35" s="1365"/>
      <c r="O35" s="1365"/>
      <c r="P35" s="1365"/>
      <c r="Q35" s="1365"/>
      <c r="R35" s="1365"/>
      <c r="S35" s="1365"/>
      <c r="T35" s="1365"/>
      <c r="U35" s="1365"/>
      <c r="V35" s="1365"/>
      <c r="W35" s="1365"/>
      <c r="X35" s="1365"/>
      <c r="Y35" s="1365"/>
      <c r="Z35" s="1366"/>
    </row>
    <row r="36" spans="1:37" ht="13.5" thickBot="1">
      <c r="A36" s="3340"/>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5"/>
      <c r="L36" s="2715"/>
      <c r="M36" s="2715"/>
      <c r="N36" s="1365"/>
      <c r="O36" s="1365"/>
      <c r="P36" s="1365"/>
      <c r="Q36" s="1365"/>
      <c r="R36" s="1365"/>
      <c r="S36" s="1365"/>
      <c r="T36" s="1365"/>
      <c r="U36" s="1365"/>
      <c r="V36" s="1365"/>
      <c r="W36" s="1365"/>
      <c r="X36" s="1365"/>
      <c r="Y36" s="1365"/>
      <c r="Z36" s="1366"/>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5"/>
      <c r="L37" s="2852" t="s">
        <v>2931</v>
      </c>
      <c r="M37" s="2853"/>
      <c r="N37" s="1365"/>
      <c r="O37" s="1365"/>
      <c r="P37" s="1365"/>
      <c r="Q37" s="1365"/>
      <c r="R37" s="1365"/>
      <c r="S37" s="1365"/>
      <c r="T37" s="1365"/>
      <c r="U37" s="1365"/>
      <c r="V37" s="1365"/>
      <c r="W37" s="1365"/>
      <c r="X37" s="1365"/>
      <c r="Y37" s="1365"/>
      <c r="Z37" s="1366"/>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5"/>
      <c r="L38" s="1882" t="s">
        <v>2933</v>
      </c>
      <c r="M38" s="2854">
        <v>0.25</v>
      </c>
      <c r="N38" s="1365"/>
      <c r="O38" s="1365"/>
      <c r="P38" s="1365"/>
      <c r="Q38" s="1365"/>
      <c r="R38" s="1365"/>
      <c r="S38" s="1365"/>
      <c r="T38" s="1365"/>
      <c r="U38" s="1365"/>
      <c r="V38" s="1365"/>
      <c r="W38" s="1365"/>
      <c r="X38" s="1365"/>
      <c r="Y38" s="1365"/>
      <c r="Z38" s="1366"/>
    </row>
    <row r="39" spans="1:37" ht="13.5" thickBot="1">
      <c r="A39" s="2837"/>
      <c r="B39" s="2855" t="s">
        <v>2934</v>
      </c>
      <c r="C39" s="228" t="e">
        <f>ROUND(D5*C19*C41*C24*F39,0)</f>
        <v>#DIV/0!</v>
      </c>
      <c r="D39" s="2839"/>
      <c r="E39" s="228" t="e">
        <f t="shared" si="7"/>
        <v>#DIV/0!</v>
      </c>
      <c r="F39" s="927">
        <f>SUMIF(修正!A45:A56,G2,修正!H45:H56)</f>
        <v>0</v>
      </c>
      <c r="G39" s="228" t="e">
        <f>ROUND(IF(E2="工业",C39*$M$39,C39*$M$38),0)</f>
        <v>#DIV/0!</v>
      </c>
      <c r="H39" s="228">
        <f t="shared" si="8"/>
        <v>0</v>
      </c>
      <c r="I39" s="228" t="e">
        <f t="shared" si="9"/>
        <v>#DIV/0!</v>
      </c>
      <c r="J39" s="2856"/>
      <c r="K39" s="1365"/>
      <c r="L39" s="2857" t="s">
        <v>2876</v>
      </c>
      <c r="M39" s="285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6" t="s">
        <v>3045</v>
      </c>
      <c r="C41" s="387" t="e">
        <f>ROUND(POWER(1+E41,H41-G41)*(POWER(1+E41,G41)-1)/(POWER(1+E41,H41)-1),4)</f>
        <v>#DIV/0!</v>
      </c>
      <c r="D41" s="199" t="s">
        <v>2883</v>
      </c>
      <c r="E41" s="2925">
        <f>G20</f>
        <v>0</v>
      </c>
      <c r="F41" s="199" t="s">
        <v>2893</v>
      </c>
      <c r="G41" s="217"/>
      <c r="H41" s="199">
        <v>50</v>
      </c>
      <c r="Z41" s="1366"/>
      <c r="AA41" s="1366"/>
      <c r="AB41" s="1366"/>
      <c r="AC41" s="1366"/>
      <c r="AD41" s="1366"/>
      <c r="AE41" s="1366"/>
      <c r="AF41" s="1366"/>
      <c r="AG41" s="1366"/>
      <c r="AH41" s="1366"/>
      <c r="AI41" s="1366"/>
      <c r="AJ41" s="1366"/>
    </row>
    <row r="42" spans="1:37" s="1365" customFormat="1">
      <c r="A42" s="1366"/>
      <c r="B42" s="2859"/>
      <c r="Z42" s="1366"/>
      <c r="AA42" s="1366"/>
      <c r="AB42" s="1366"/>
      <c r="AC42" s="1366"/>
      <c r="AD42" s="1366"/>
      <c r="AE42" s="1366"/>
      <c r="AF42" s="1366"/>
      <c r="AG42" s="1366"/>
      <c r="AH42" s="1366"/>
      <c r="AI42" s="1366"/>
      <c r="AJ42" s="1366"/>
    </row>
    <row r="43" spans="1:37" s="1365" customFormat="1">
      <c r="A43" s="1366"/>
      <c r="B43" s="2859"/>
      <c r="Z43" s="1366"/>
      <c r="AA43" s="1366"/>
      <c r="AB43" s="1366"/>
      <c r="AC43" s="1366"/>
      <c r="AD43" s="1366"/>
      <c r="AE43" s="1366"/>
      <c r="AF43" s="1366"/>
      <c r="AG43" s="1366"/>
      <c r="AH43" s="1366"/>
      <c r="AI43" s="1366"/>
      <c r="AJ43" s="1366"/>
    </row>
    <row r="44" spans="1:37" s="1365" customFormat="1">
      <c r="A44" s="1366"/>
      <c r="B44" s="2859"/>
      <c r="Z44" s="1366"/>
      <c r="AA44" s="1366"/>
      <c r="AB44" s="1366"/>
      <c r="AC44" s="1366"/>
      <c r="AD44" s="1366"/>
      <c r="AE44" s="1366"/>
      <c r="AF44" s="1366"/>
      <c r="AG44" s="1366"/>
      <c r="AH44" s="1366"/>
      <c r="AI44" s="1366"/>
      <c r="AJ44" s="1366"/>
    </row>
    <row r="45" spans="1:37" s="1365" customFormat="1" ht="15.75" thickBot="1">
      <c r="A45" s="2860" t="s">
        <v>2935</v>
      </c>
      <c r="B45" s="2861"/>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2" t="s">
        <v>2936</v>
      </c>
      <c r="B46" s="2863">
        <f>1+E48</f>
        <v>1</v>
      </c>
      <c r="C46" s="2864"/>
      <c r="D46" s="809"/>
      <c r="E46" s="810"/>
      <c r="F46" s="2865"/>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6" t="s">
        <v>2937</v>
      </c>
      <c r="B47" s="1804" t="s">
        <v>2938</v>
      </c>
      <c r="C47" s="1804" t="s">
        <v>2939</v>
      </c>
      <c r="D47" s="1804" t="s">
        <v>2940</v>
      </c>
      <c r="E47" s="814" t="s">
        <v>2941</v>
      </c>
      <c r="F47" s="2867" t="s">
        <v>2942</v>
      </c>
      <c r="G47" s="1804" t="s">
        <v>754</v>
      </c>
      <c r="H47" s="2868" t="s">
        <v>2943</v>
      </c>
      <c r="I47" s="1804" t="s">
        <v>2944</v>
      </c>
      <c r="J47" s="602" t="s">
        <v>2592</v>
      </c>
      <c r="K47" s="602" t="s">
        <v>2593</v>
      </c>
      <c r="L47" s="602" t="s">
        <v>2594</v>
      </c>
      <c r="M47" s="602" t="s">
        <v>2595</v>
      </c>
      <c r="N47" s="602" t="s">
        <v>2596</v>
      </c>
      <c r="AA47" s="1366"/>
      <c r="AB47" s="1366"/>
      <c r="AC47" s="1366"/>
      <c r="AD47" s="1366"/>
      <c r="AE47" s="1366"/>
      <c r="AF47" s="1366"/>
      <c r="AG47" s="1366"/>
      <c r="AH47" s="1366"/>
      <c r="AI47" s="1366"/>
      <c r="AJ47" s="1366"/>
      <c r="AK47" s="1366"/>
    </row>
    <row r="48" spans="1:37" s="1365" customFormat="1" ht="38.25">
      <c r="A48" s="2866" t="s">
        <v>2945</v>
      </c>
      <c r="B48" s="2869" t="str">
        <f>估价对象房地状况!C4</f>
        <v>估价对象位于XX商圈，周边商业氛围成熟，人流量大，商业繁华度好</v>
      </c>
      <c r="C48" s="2766"/>
      <c r="D48" s="1281">
        <f t="shared" ref="D48:D56" si="10">SUMIF($J$47:$N$47,C48,J48:N48)</f>
        <v>0</v>
      </c>
      <c r="E48" s="816">
        <f>ROUND(SUM(D48:D56),4)</f>
        <v>0</v>
      </c>
      <c r="F48" s="2500"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6" t="s">
        <v>2946</v>
      </c>
      <c r="B49" s="2870" t="str">
        <f>估价对象房地状况!C18</f>
        <v>估价对象周边道路状况、公共交通通达情况、停车便捷程度，综合评价交通便捷度较好</v>
      </c>
      <c r="C49" s="2766"/>
      <c r="D49" s="1281">
        <f t="shared" si="10"/>
        <v>0</v>
      </c>
      <c r="E49" s="817"/>
      <c r="F49" s="2500"/>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6" t="s">
        <v>2947</v>
      </c>
      <c r="B50" s="2870">
        <f>估价对象房地状况!C19</f>
        <v>0</v>
      </c>
      <c r="C50" s="2766"/>
      <c r="D50" s="1281">
        <f t="shared" si="10"/>
        <v>0</v>
      </c>
      <c r="E50" s="817"/>
      <c r="F50" s="2500"/>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6" t="s">
        <v>2948</v>
      </c>
      <c r="B51" s="2871" t="s">
        <v>2949</v>
      </c>
      <c r="C51" s="2766"/>
      <c r="D51" s="1281">
        <f t="shared" si="10"/>
        <v>0</v>
      </c>
      <c r="E51" s="817"/>
      <c r="F51" s="2500"/>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6" t="s">
        <v>2950</v>
      </c>
      <c r="B52" s="2870">
        <f>估价对象房地状况!C24</f>
        <v>0</v>
      </c>
      <c r="C52" s="2766"/>
      <c r="D52" s="1281">
        <f t="shared" si="10"/>
        <v>0</v>
      </c>
      <c r="E52" s="817"/>
      <c r="F52" s="2500"/>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6" t="s">
        <v>2951</v>
      </c>
      <c r="B53" s="2872" t="s">
        <v>2952</v>
      </c>
      <c r="C53" s="2766"/>
      <c r="D53" s="1281">
        <f t="shared" si="10"/>
        <v>0</v>
      </c>
      <c r="E53" s="817"/>
      <c r="F53" s="2500"/>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3" t="s">
        <v>2953</v>
      </c>
      <c r="B54" s="1720" t="str">
        <f>估价对象房地状况!C21</f>
        <v>估价对象所在区域公共配套设施齐备情况</v>
      </c>
      <c r="C54" s="2766"/>
      <c r="D54" s="1281">
        <f t="shared" si="10"/>
        <v>0</v>
      </c>
      <c r="E54" s="817"/>
      <c r="F54" s="2500"/>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3" t="s">
        <v>2954</v>
      </c>
      <c r="B55" s="2870" t="str">
        <f>估价对象房地状况!C22</f>
        <v>估价对象所在区域基础设施水平</v>
      </c>
      <c r="C55" s="2766"/>
      <c r="D55" s="1281">
        <f t="shared" si="10"/>
        <v>0</v>
      </c>
      <c r="E55" s="817"/>
      <c r="F55" s="2500"/>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4" t="s">
        <v>2955</v>
      </c>
      <c r="B56" s="2875" t="str">
        <f>估价对象房地状况!C20</f>
        <v>区域自然环境：；人文环境；综合评价环境状况一般</v>
      </c>
      <c r="C56" s="2766"/>
      <c r="D56" s="1281">
        <f t="shared" si="10"/>
        <v>0</v>
      </c>
      <c r="E56" s="820"/>
      <c r="F56" s="2500"/>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2" t="s">
        <v>2956</v>
      </c>
      <c r="B57" s="2863">
        <f>1+E59</f>
        <v>1</v>
      </c>
      <c r="C57" s="809"/>
      <c r="D57" s="809"/>
      <c r="E57" s="810"/>
      <c r="F57" s="286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6" t="s">
        <v>2937</v>
      </c>
      <c r="B58" s="1804"/>
      <c r="C58" s="1804" t="s">
        <v>2939</v>
      </c>
      <c r="D58" s="1804" t="s">
        <v>2940</v>
      </c>
      <c r="E58" s="814" t="s">
        <v>2941</v>
      </c>
      <c r="F58" s="2867" t="s">
        <v>2957</v>
      </c>
      <c r="G58" s="1804" t="s">
        <v>754</v>
      </c>
      <c r="H58" s="2868" t="s">
        <v>2943</v>
      </c>
      <c r="I58" s="1804" t="s">
        <v>2944</v>
      </c>
      <c r="J58" s="602" t="s">
        <v>2592</v>
      </c>
      <c r="K58" s="602" t="s">
        <v>2593</v>
      </c>
      <c r="L58" s="602" t="s">
        <v>2594</v>
      </c>
      <c r="M58" s="602" t="s">
        <v>2595</v>
      </c>
      <c r="N58" s="602" t="s">
        <v>2596</v>
      </c>
      <c r="AA58" s="1366"/>
      <c r="AB58" s="1366"/>
      <c r="AC58" s="1366"/>
      <c r="AD58" s="1366"/>
      <c r="AE58" s="1366"/>
      <c r="AF58" s="1366"/>
      <c r="AG58" s="1366"/>
      <c r="AH58" s="1366"/>
      <c r="AI58" s="1366"/>
      <c r="AJ58" s="1366"/>
      <c r="AK58" s="1366"/>
    </row>
    <row r="59" spans="1:37" s="1365" customFormat="1" ht="38.25">
      <c r="A59" s="2866" t="s">
        <v>2958</v>
      </c>
      <c r="B59" s="2869" t="str">
        <f>估价对象房地状况!C17</f>
        <v>估价对象位于XX商圈，周边办公楼项目较多，入驻率高，办公集聚程度较好</v>
      </c>
      <c r="C59" s="2766"/>
      <c r="D59" s="1281">
        <f t="shared" ref="D59:D67" si="15">SUMIF($J$58:$N$58,C59,J59:N59)</f>
        <v>0</v>
      </c>
      <c r="E59" s="816">
        <f>ROUND(SUM(D59:D67),4)</f>
        <v>0</v>
      </c>
      <c r="F59" s="2500"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6" t="s">
        <v>2946</v>
      </c>
      <c r="B60" s="2870" t="str">
        <f>估价对象房地状况!C18</f>
        <v>估价对象周边道路状况、公共交通通达情况、停车便捷程度，综合评价交通便捷度较好</v>
      </c>
      <c r="C60" s="2766"/>
      <c r="D60" s="1281">
        <f t="shared" si="15"/>
        <v>0</v>
      </c>
      <c r="E60" s="817"/>
      <c r="F60" s="2500"/>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6" t="s">
        <v>2947</v>
      </c>
      <c r="B61" s="2870">
        <f>估价对象房地状况!C19</f>
        <v>0</v>
      </c>
      <c r="C61" s="2766"/>
      <c r="D61" s="1281">
        <f t="shared" si="15"/>
        <v>0</v>
      </c>
      <c r="E61" s="817"/>
      <c r="F61" s="2500"/>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6" t="s">
        <v>2948</v>
      </c>
      <c r="B62" s="2871" t="s">
        <v>2949</v>
      </c>
      <c r="C62" s="2766"/>
      <c r="D62" s="1281">
        <f t="shared" si="15"/>
        <v>0</v>
      </c>
      <c r="E62" s="817"/>
      <c r="F62" s="2500"/>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6" t="s">
        <v>2950</v>
      </c>
      <c r="B63" s="2870">
        <f>估价对象房地状况!C24</f>
        <v>0</v>
      </c>
      <c r="C63" s="2766"/>
      <c r="D63" s="1281">
        <f t="shared" si="15"/>
        <v>0</v>
      </c>
      <c r="E63" s="817"/>
      <c r="F63" s="2500"/>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6" t="s">
        <v>2951</v>
      </c>
      <c r="B64" s="2872" t="s">
        <v>2952</v>
      </c>
      <c r="C64" s="2766"/>
      <c r="D64" s="1281">
        <f t="shared" si="15"/>
        <v>0</v>
      </c>
      <c r="E64" s="817"/>
      <c r="F64" s="2500"/>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6" t="s">
        <v>2953</v>
      </c>
      <c r="B65" s="1720" t="str">
        <f>估价对象房地状况!C21</f>
        <v>估价对象所在区域公共配套设施齐备情况</v>
      </c>
      <c r="C65" s="2766"/>
      <c r="D65" s="1281">
        <f t="shared" si="15"/>
        <v>0</v>
      </c>
      <c r="E65" s="817"/>
      <c r="F65" s="2500"/>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6" t="s">
        <v>2954</v>
      </c>
      <c r="B66" s="1720" t="str">
        <f>估价对象房地状况!C22</f>
        <v>估价对象所在区域基础设施水平</v>
      </c>
      <c r="C66" s="2766"/>
      <c r="D66" s="1281">
        <f t="shared" si="15"/>
        <v>0</v>
      </c>
      <c r="E66" s="817"/>
      <c r="F66" s="2500"/>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4" t="s">
        <v>2955</v>
      </c>
      <c r="B67" s="2876" t="str">
        <f>估价对象房地状况!C20</f>
        <v>区域自然环境：；人文环境；综合评价环境状况一般</v>
      </c>
      <c r="C67" s="2766"/>
      <c r="D67" s="1281">
        <f t="shared" si="15"/>
        <v>0</v>
      </c>
      <c r="E67" s="820"/>
      <c r="F67" s="2500"/>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2" t="s">
        <v>2959</v>
      </c>
      <c r="B68" s="2863">
        <f>1+E70</f>
        <v>1</v>
      </c>
      <c r="C68" s="809"/>
      <c r="D68" s="809"/>
      <c r="E68" s="810"/>
      <c r="F68" s="286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6" t="s">
        <v>2937</v>
      </c>
      <c r="B69" s="1804"/>
      <c r="C69" s="1804" t="s">
        <v>2939</v>
      </c>
      <c r="D69" s="1804" t="s">
        <v>2940</v>
      </c>
      <c r="E69" s="814" t="s">
        <v>2941</v>
      </c>
      <c r="F69" s="2867" t="s">
        <v>2957</v>
      </c>
      <c r="G69" s="1804" t="s">
        <v>754</v>
      </c>
      <c r="H69" s="2868" t="s">
        <v>2943</v>
      </c>
      <c r="I69" s="1804" t="s">
        <v>2944</v>
      </c>
      <c r="J69" s="602" t="s">
        <v>2592</v>
      </c>
      <c r="K69" s="602" t="s">
        <v>2593</v>
      </c>
      <c r="L69" s="602" t="s">
        <v>2594</v>
      </c>
      <c r="M69" s="602" t="s">
        <v>2595</v>
      </c>
      <c r="N69" s="602" t="s">
        <v>2596</v>
      </c>
      <c r="AA69" s="1366"/>
      <c r="AB69" s="1366"/>
      <c r="AC69" s="1366"/>
      <c r="AD69" s="1366"/>
      <c r="AE69" s="1366"/>
      <c r="AF69" s="1366"/>
      <c r="AG69" s="1366"/>
      <c r="AH69" s="1366"/>
      <c r="AI69" s="1366"/>
      <c r="AJ69" s="1366"/>
      <c r="AK69" s="1366"/>
    </row>
    <row r="70" spans="1:37" s="1365" customFormat="1" ht="51">
      <c r="A70" s="2866" t="s">
        <v>2960</v>
      </c>
      <c r="B70" s="2869" t="str">
        <f>估价对象房地状况!C15</f>
        <v>估价对象周边居住用地比例、居住小区规模和社区发展完善程度，综合评价居住社区成熟度一般</v>
      </c>
      <c r="C70" s="2766"/>
      <c r="D70" s="1281">
        <f t="shared" ref="D70:D78" si="20">SUMIF($J$69:$N$69,C70,J70:N70)</f>
        <v>0</v>
      </c>
      <c r="E70" s="816">
        <f>ROUND(SUM(D70:D78),4)</f>
        <v>0</v>
      </c>
      <c r="F70" s="2500"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6" t="s">
        <v>2946</v>
      </c>
      <c r="B71" s="2870" t="str">
        <f>估价对象房地状况!C18</f>
        <v>估价对象周边道路状况、公共交通通达情况、停车便捷程度，综合评价交通便捷度较好</v>
      </c>
      <c r="C71" s="2766"/>
      <c r="D71" s="1281">
        <f t="shared" si="20"/>
        <v>0</v>
      </c>
      <c r="E71" s="821"/>
      <c r="F71" s="2500"/>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6" t="s">
        <v>2947</v>
      </c>
      <c r="B72" s="2870">
        <f>估价对象房地状况!C19</f>
        <v>0</v>
      </c>
      <c r="C72" s="2766"/>
      <c r="D72" s="1281">
        <f t="shared" si="20"/>
        <v>0</v>
      </c>
      <c r="E72" s="821"/>
      <c r="F72" s="2500"/>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6" t="s">
        <v>2961</v>
      </c>
      <c r="B73" s="2870">
        <f>估价对象房地状况!C24</f>
        <v>0</v>
      </c>
      <c r="C73" s="2766"/>
      <c r="D73" s="1281">
        <f t="shared" si="20"/>
        <v>0</v>
      </c>
      <c r="E73" s="821"/>
      <c r="F73" s="2500"/>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6" t="s">
        <v>2953</v>
      </c>
      <c r="B74" s="1720" t="str">
        <f>估价对象房地状况!C21</f>
        <v>估价对象所在区域公共配套设施齐备情况</v>
      </c>
      <c r="C74" s="2766"/>
      <c r="D74" s="1281">
        <f t="shared" si="20"/>
        <v>0</v>
      </c>
      <c r="E74" s="821"/>
      <c r="F74" s="2500"/>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6" t="s">
        <v>2954</v>
      </c>
      <c r="B75" s="1720" t="str">
        <f>估价对象房地状况!C22</f>
        <v>估价对象所在区域基础设施水平</v>
      </c>
      <c r="C75" s="2766"/>
      <c r="D75" s="1281">
        <f t="shared" si="20"/>
        <v>0</v>
      </c>
      <c r="E75" s="821"/>
      <c r="F75" s="2500"/>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5" customFormat="1" ht="24">
      <c r="A76" s="2866" t="s">
        <v>2951</v>
      </c>
      <c r="B76" s="2872" t="s">
        <v>2952</v>
      </c>
      <c r="C76" s="2766"/>
      <c r="D76" s="1281">
        <f t="shared" si="20"/>
        <v>0</v>
      </c>
      <c r="E76" s="821"/>
      <c r="F76" s="2500"/>
      <c r="G76" s="1279"/>
      <c r="H76" s="1283" t="str">
        <f t="shared" si="21"/>
        <v>——</v>
      </c>
      <c r="I76" s="815">
        <v>0.05</v>
      </c>
      <c r="J76" s="1280">
        <f t="shared" si="22"/>
        <v>0</v>
      </c>
      <c r="K76" s="1280">
        <f t="shared" si="23"/>
        <v>0</v>
      </c>
      <c r="L76" s="1280">
        <v>0</v>
      </c>
      <c r="M76" s="1280">
        <f t="shared" si="24"/>
        <v>0</v>
      </c>
      <c r="N76" s="1280">
        <f t="shared" si="24"/>
        <v>0</v>
      </c>
      <c r="AA76" s="2877"/>
      <c r="AB76" s="1366"/>
      <c r="AC76" s="1366"/>
      <c r="AD76" s="1366"/>
      <c r="AE76" s="1366"/>
      <c r="AF76" s="1366"/>
      <c r="AG76" s="1366"/>
      <c r="AH76" s="2877"/>
      <c r="AI76" s="2877"/>
      <c r="AJ76" s="2877"/>
      <c r="AK76" s="2877"/>
    </row>
    <row r="77" spans="1:37" ht="38.25">
      <c r="A77" s="2866" t="s">
        <v>2955</v>
      </c>
      <c r="B77" s="2869" t="str">
        <f>估价对象房地状况!C20</f>
        <v>区域自然环境：；人文环境；综合评价环境状况一般</v>
      </c>
      <c r="C77" s="2766"/>
      <c r="D77" s="1281">
        <f t="shared" si="20"/>
        <v>0</v>
      </c>
      <c r="E77" s="821"/>
      <c r="F77" s="2500"/>
      <c r="G77" s="1279"/>
      <c r="H77" s="1283" t="str">
        <f t="shared" si="21"/>
        <v>——</v>
      </c>
      <c r="I77" s="815">
        <v>0.15</v>
      </c>
      <c r="J77" s="1280">
        <f t="shared" si="22"/>
        <v>0</v>
      </c>
      <c r="K77" s="1280">
        <f t="shared" si="23"/>
        <v>0</v>
      </c>
      <c r="L77" s="1280">
        <v>0</v>
      </c>
      <c r="M77" s="1280">
        <f t="shared" si="24"/>
        <v>0</v>
      </c>
      <c r="N77" s="1280">
        <f t="shared" si="24"/>
        <v>0</v>
      </c>
      <c r="Z77" s="2716"/>
      <c r="AA77" s="2784"/>
      <c r="AG77" s="1367"/>
      <c r="AK77" s="2784"/>
    </row>
    <row r="78" spans="1:37" ht="24.75" thickBot="1">
      <c r="A78" s="2874" t="s">
        <v>2962</v>
      </c>
      <c r="B78" s="2878"/>
      <c r="C78" s="2766"/>
      <c r="D78" s="1281">
        <f t="shared" si="20"/>
        <v>0</v>
      </c>
      <c r="E78" s="822"/>
      <c r="F78" s="2500"/>
      <c r="G78" s="1279"/>
      <c r="H78" s="1283" t="str">
        <f t="shared" si="21"/>
        <v>——</v>
      </c>
      <c r="I78" s="819">
        <v>0.04</v>
      </c>
      <c r="J78" s="1280">
        <f t="shared" si="22"/>
        <v>0</v>
      </c>
      <c r="K78" s="1280">
        <f t="shared" si="23"/>
        <v>0</v>
      </c>
      <c r="L78" s="1280">
        <v>0</v>
      </c>
      <c r="M78" s="1280">
        <f t="shared" si="24"/>
        <v>0</v>
      </c>
      <c r="N78" s="1280">
        <f t="shared" si="24"/>
        <v>0</v>
      </c>
      <c r="Z78" s="2716"/>
      <c r="AA78" s="2784"/>
      <c r="AG78" s="1367"/>
      <c r="AK78" s="2784"/>
    </row>
    <row r="79" spans="1:37" ht="15">
      <c r="A79" s="2862" t="s">
        <v>2963</v>
      </c>
      <c r="B79" s="2863">
        <f>1+E81</f>
        <v>1</v>
      </c>
      <c r="C79" s="809"/>
      <c r="D79" s="809"/>
      <c r="E79" s="810"/>
      <c r="F79" s="2865"/>
      <c r="G79" s="6"/>
      <c r="H79" s="6"/>
      <c r="I79" s="6"/>
      <c r="J79" s="7"/>
      <c r="K79" s="7"/>
      <c r="L79" s="7"/>
      <c r="M79" s="7"/>
      <c r="N79" s="7"/>
      <c r="Z79" s="2716"/>
      <c r="AA79" s="2784"/>
      <c r="AG79" s="1367"/>
      <c r="AK79" s="2784"/>
    </row>
    <row r="80" spans="1:37" ht="24.75">
      <c r="A80" s="2866" t="s">
        <v>2937</v>
      </c>
      <c r="B80" s="1804"/>
      <c r="C80" s="1804" t="s">
        <v>2939</v>
      </c>
      <c r="D80" s="1804" t="s">
        <v>2940</v>
      </c>
      <c r="E80" s="814" t="s">
        <v>2941</v>
      </c>
      <c r="F80" s="2867" t="s">
        <v>2957</v>
      </c>
      <c r="G80" s="1804" t="s">
        <v>754</v>
      </c>
      <c r="H80" s="2868" t="s">
        <v>2943</v>
      </c>
      <c r="I80" s="1804" t="s">
        <v>2944</v>
      </c>
      <c r="J80" s="602" t="s">
        <v>2592</v>
      </c>
      <c r="K80" s="602" t="s">
        <v>2593</v>
      </c>
      <c r="L80" s="602" t="s">
        <v>2594</v>
      </c>
      <c r="M80" s="602" t="s">
        <v>2595</v>
      </c>
      <c r="N80" s="602" t="s">
        <v>2596</v>
      </c>
      <c r="Z80" s="2716"/>
      <c r="AA80" s="2784"/>
      <c r="AG80" s="1367"/>
      <c r="AK80" s="2784"/>
    </row>
    <row r="81" spans="1:37" ht="38.25">
      <c r="A81" s="2866" t="s">
        <v>2964</v>
      </c>
      <c r="B81" s="2870" t="str">
        <f>估价对象房地状况!G15</f>
        <v>估价对象位于XX开发区，园区建设成熟度XX，产业集聚程度XX</v>
      </c>
      <c r="C81" s="2766"/>
      <c r="D81" s="1281">
        <f t="shared" ref="D81:D88" si="25">SUMIF($J$80:$N$80,C81,J81:N81)</f>
        <v>0</v>
      </c>
      <c r="E81" s="816">
        <f>ROUND(SUM(D81:D88),4)</f>
        <v>0</v>
      </c>
      <c r="F81" s="2500"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6"/>
      <c r="AA81" s="2784"/>
      <c r="AG81" s="1367"/>
      <c r="AK81" s="2784"/>
    </row>
    <row r="82" spans="1:37" ht="51">
      <c r="A82" s="2866" t="s">
        <v>2946</v>
      </c>
      <c r="B82" s="2870" t="str">
        <f>估价对象房地状况!G16</f>
        <v>估价对象周边道路状况、公共交通通达情况、停车便捷程度，综合评价交通便捷度较好</v>
      </c>
      <c r="C82" s="2766"/>
      <c r="D82" s="1281">
        <f t="shared" si="25"/>
        <v>0</v>
      </c>
      <c r="E82" s="821"/>
      <c r="F82" s="2500"/>
      <c r="G82" s="1279"/>
      <c r="H82" s="1283" t="str">
        <f t="shared" si="26"/>
        <v>——</v>
      </c>
      <c r="I82" s="815">
        <v>0.33</v>
      </c>
      <c r="J82" s="1280">
        <f t="shared" si="27"/>
        <v>0</v>
      </c>
      <c r="K82" s="1280">
        <f t="shared" si="28"/>
        <v>0</v>
      </c>
      <c r="L82" s="1280">
        <v>0</v>
      </c>
      <c r="M82" s="1280">
        <f t="shared" si="29"/>
        <v>0</v>
      </c>
      <c r="N82" s="1280">
        <f t="shared" si="29"/>
        <v>0</v>
      </c>
      <c r="Z82" s="2716"/>
      <c r="AA82" s="2784"/>
      <c r="AG82" s="1367"/>
      <c r="AK82" s="2784"/>
    </row>
    <row r="83" spans="1:37" ht="24">
      <c r="A83" s="2866" t="s">
        <v>2947</v>
      </c>
      <c r="B83" s="2870">
        <f>估价对象房地状况!G17</f>
        <v>0</v>
      </c>
      <c r="C83" s="2766"/>
      <c r="D83" s="1281">
        <f t="shared" si="25"/>
        <v>0</v>
      </c>
      <c r="E83" s="821"/>
      <c r="F83" s="2500"/>
      <c r="G83" s="1279"/>
      <c r="H83" s="1283" t="str">
        <f t="shared" si="26"/>
        <v>——</v>
      </c>
      <c r="I83" s="815">
        <v>0.05</v>
      </c>
      <c r="J83" s="1280">
        <f t="shared" si="27"/>
        <v>0</v>
      </c>
      <c r="K83" s="1280">
        <f t="shared" si="28"/>
        <v>0</v>
      </c>
      <c r="L83" s="1280">
        <v>0</v>
      </c>
      <c r="M83" s="1280">
        <f t="shared" si="29"/>
        <v>0</v>
      </c>
      <c r="N83" s="1280">
        <f t="shared" si="29"/>
        <v>0</v>
      </c>
      <c r="Z83" s="2716"/>
      <c r="AA83" s="2784"/>
      <c r="AG83" s="1367"/>
      <c r="AK83" s="2784"/>
    </row>
    <row r="84" spans="1:37" ht="14.25">
      <c r="A84" s="2866" t="s">
        <v>2961</v>
      </c>
      <c r="B84" s="2870">
        <f>估价对象房地状况!G22</f>
        <v>0</v>
      </c>
      <c r="C84" s="2766"/>
      <c r="D84" s="1281">
        <f t="shared" si="25"/>
        <v>0</v>
      </c>
      <c r="E84" s="821"/>
      <c r="F84" s="2500"/>
      <c r="G84" s="1279"/>
      <c r="H84" s="1283" t="str">
        <f t="shared" si="26"/>
        <v>——</v>
      </c>
      <c r="I84" s="815">
        <v>0.04</v>
      </c>
      <c r="J84" s="1280">
        <f t="shared" si="27"/>
        <v>0</v>
      </c>
      <c r="K84" s="1280">
        <f t="shared" si="28"/>
        <v>0</v>
      </c>
      <c r="L84" s="1280">
        <v>0</v>
      </c>
      <c r="M84" s="1280">
        <f t="shared" si="29"/>
        <v>0</v>
      </c>
      <c r="N84" s="1280">
        <f t="shared" si="29"/>
        <v>0</v>
      </c>
      <c r="Z84" s="2716"/>
      <c r="AA84" s="2784"/>
      <c r="AG84" s="1367"/>
      <c r="AK84" s="2784"/>
    </row>
    <row r="85" spans="1:37" ht="25.5">
      <c r="A85" s="2866" t="s">
        <v>2953</v>
      </c>
      <c r="B85" s="1720" t="str">
        <f>估价对象房地状况!G19</f>
        <v>估价对象所在区域公共配套设施齐备情况</v>
      </c>
      <c r="C85" s="2766"/>
      <c r="D85" s="1281">
        <f t="shared" si="25"/>
        <v>0</v>
      </c>
      <c r="E85" s="821"/>
      <c r="F85" s="2500"/>
      <c r="G85" s="1279"/>
      <c r="H85" s="1283" t="str">
        <f t="shared" si="26"/>
        <v>——</v>
      </c>
      <c r="I85" s="815">
        <v>0.06</v>
      </c>
      <c r="J85" s="1280">
        <f t="shared" si="27"/>
        <v>0</v>
      </c>
      <c r="K85" s="1280">
        <f t="shared" si="28"/>
        <v>0</v>
      </c>
      <c r="L85" s="1280">
        <v>0</v>
      </c>
      <c r="M85" s="1280">
        <f t="shared" si="29"/>
        <v>0</v>
      </c>
      <c r="N85" s="1280">
        <f t="shared" si="29"/>
        <v>0</v>
      </c>
      <c r="Z85" s="2716"/>
      <c r="AA85" s="2784"/>
      <c r="AG85" s="1367"/>
      <c r="AK85" s="2784"/>
    </row>
    <row r="86" spans="1:37" ht="25.5">
      <c r="A86" s="2866" t="s">
        <v>2954</v>
      </c>
      <c r="B86" s="1720" t="str">
        <f>估价对象房地状况!G20</f>
        <v>估价对象所在区域基础设施水平</v>
      </c>
      <c r="C86" s="2766"/>
      <c r="D86" s="1281">
        <f t="shared" si="25"/>
        <v>0</v>
      </c>
      <c r="E86" s="821"/>
      <c r="F86" s="2500"/>
      <c r="G86" s="1279"/>
      <c r="H86" s="1283" t="str">
        <f t="shared" si="26"/>
        <v>——</v>
      </c>
      <c r="I86" s="815">
        <v>0.15</v>
      </c>
      <c r="J86" s="1280">
        <f t="shared" si="27"/>
        <v>0</v>
      </c>
      <c r="K86" s="1280">
        <f t="shared" si="28"/>
        <v>0</v>
      </c>
      <c r="L86" s="1280">
        <v>0</v>
      </c>
      <c r="M86" s="1280">
        <f t="shared" si="29"/>
        <v>0</v>
      </c>
      <c r="N86" s="1280">
        <f t="shared" si="29"/>
        <v>0</v>
      </c>
      <c r="Z86" s="2716"/>
      <c r="AA86" s="2784"/>
      <c r="AG86" s="1367"/>
      <c r="AK86" s="2784"/>
    </row>
    <row r="87" spans="1:37" ht="24">
      <c r="A87" s="2866" t="s">
        <v>2951</v>
      </c>
      <c r="B87" s="2872" t="s">
        <v>2965</v>
      </c>
      <c r="C87" s="2766"/>
      <c r="D87" s="1281">
        <f t="shared" si="25"/>
        <v>0</v>
      </c>
      <c r="E87" s="821"/>
      <c r="F87" s="2500"/>
      <c r="G87" s="1279"/>
      <c r="H87" s="1283" t="str">
        <f t="shared" si="26"/>
        <v>——</v>
      </c>
      <c r="I87" s="815">
        <v>0.05</v>
      </c>
      <c r="J87" s="1280">
        <f t="shared" si="27"/>
        <v>0</v>
      </c>
      <c r="K87" s="1280">
        <f t="shared" si="28"/>
        <v>0</v>
      </c>
      <c r="L87" s="1280">
        <v>0</v>
      </c>
      <c r="M87" s="1280">
        <f t="shared" si="29"/>
        <v>0</v>
      </c>
      <c r="N87" s="1280">
        <f t="shared" si="29"/>
        <v>0</v>
      </c>
      <c r="Z87" s="2716"/>
      <c r="AA87" s="2784"/>
      <c r="AG87" s="1367"/>
      <c r="AK87" s="2784"/>
    </row>
    <row r="88" spans="1:37" ht="39" thickBot="1">
      <c r="A88" s="2874" t="s">
        <v>2966</v>
      </c>
      <c r="B88" s="2879" t="str">
        <f>估价对象房地状况!G18</f>
        <v>该园区内是否有污染型企业，绿化情况，卫生条件，整体环境状况判断</v>
      </c>
      <c r="C88" s="2766"/>
      <c r="D88" s="1281">
        <f t="shared" si="25"/>
        <v>0</v>
      </c>
      <c r="E88" s="822"/>
      <c r="F88" s="2500"/>
      <c r="G88" s="1279"/>
      <c r="H88" s="1283" t="str">
        <f t="shared" si="26"/>
        <v>——</v>
      </c>
      <c r="I88" s="819">
        <v>0.06</v>
      </c>
      <c r="J88" s="1280">
        <f t="shared" si="27"/>
        <v>0</v>
      </c>
      <c r="K88" s="1280">
        <f t="shared" si="28"/>
        <v>0</v>
      </c>
      <c r="L88" s="1280">
        <v>0</v>
      </c>
      <c r="M88" s="1280">
        <f t="shared" si="29"/>
        <v>0</v>
      </c>
      <c r="N88" s="1280">
        <f t="shared" si="29"/>
        <v>0</v>
      </c>
      <c r="Z88" s="2716"/>
      <c r="AA88" s="2784"/>
      <c r="AG88" s="1367"/>
      <c r="AK88" s="2784"/>
    </row>
    <row r="90" spans="1:37">
      <c r="A90" s="3332" t="s">
        <v>2967</v>
      </c>
      <c r="B90" s="3332"/>
      <c r="C90" s="3332"/>
      <c r="D90" s="3332"/>
      <c r="E90" s="3332"/>
      <c r="F90" s="3332"/>
      <c r="G90" s="3332"/>
      <c r="H90" s="3332"/>
      <c r="I90" s="3332"/>
      <c r="J90" s="3332"/>
      <c r="K90" s="2880"/>
      <c r="L90" s="2880"/>
      <c r="M90" s="2880"/>
      <c r="N90" s="2880"/>
    </row>
    <row r="91" spans="1:37">
      <c r="A91" s="3334" t="s">
        <v>2968</v>
      </c>
      <c r="B91" s="3334" t="s">
        <v>2969</v>
      </c>
      <c r="C91" s="2834" t="s">
        <v>2970</v>
      </c>
      <c r="D91" s="2835"/>
      <c r="E91" s="2835"/>
      <c r="F91" s="2835"/>
      <c r="G91" s="2835"/>
      <c r="H91" s="2835"/>
      <c r="I91" s="2835"/>
      <c r="J91" s="2881"/>
      <c r="K91" s="2882"/>
      <c r="L91" s="2882"/>
      <c r="M91" s="2882"/>
      <c r="N91" s="2882"/>
    </row>
    <row r="92" spans="1:37">
      <c r="A92" s="3334"/>
      <c r="B92" s="3334"/>
      <c r="C92" s="937" t="s">
        <v>2835</v>
      </c>
      <c r="D92" s="937" t="s">
        <v>2836</v>
      </c>
      <c r="E92" s="937" t="s">
        <v>2837</v>
      </c>
      <c r="F92" s="937" t="s">
        <v>2838</v>
      </c>
      <c r="G92" s="937" t="s">
        <v>2839</v>
      </c>
      <c r="H92" s="937" t="s">
        <v>2840</v>
      </c>
      <c r="I92" s="937" t="s">
        <v>2841</v>
      </c>
      <c r="J92" s="937" t="s">
        <v>2842</v>
      </c>
      <c r="K92" s="937" t="s">
        <v>2843</v>
      </c>
      <c r="L92" s="937" t="s">
        <v>2844</v>
      </c>
      <c r="M92" s="937" t="s">
        <v>2845</v>
      </c>
      <c r="N92" s="937" t="s">
        <v>2846</v>
      </c>
    </row>
    <row r="93" spans="1:37">
      <c r="A93" s="3335"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3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3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3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3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3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36"/>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3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35" t="s">
        <v>2972</v>
      </c>
      <c r="B101" s="2887" t="s">
        <v>2973</v>
      </c>
      <c r="C101" s="2888">
        <f>$G$3</f>
        <v>1.1200000000000001</v>
      </c>
      <c r="D101" s="2888">
        <f t="shared" ref="D101:N101" si="31">$G$3</f>
        <v>1.1200000000000001</v>
      </c>
      <c r="E101" s="2888">
        <f t="shared" si="31"/>
        <v>1.1200000000000001</v>
      </c>
      <c r="F101" s="2888">
        <f t="shared" si="31"/>
        <v>1.1200000000000001</v>
      </c>
      <c r="G101" s="2888">
        <f t="shared" si="31"/>
        <v>1.1200000000000001</v>
      </c>
      <c r="H101" s="2888">
        <f t="shared" si="31"/>
        <v>1.1200000000000001</v>
      </c>
      <c r="I101" s="2888">
        <f t="shared" si="31"/>
        <v>1.1200000000000001</v>
      </c>
      <c r="J101" s="2888">
        <f t="shared" si="31"/>
        <v>1.1200000000000001</v>
      </c>
      <c r="K101" s="2888">
        <f t="shared" si="31"/>
        <v>1.1200000000000001</v>
      </c>
      <c r="L101" s="2888">
        <f t="shared" si="31"/>
        <v>1.1200000000000001</v>
      </c>
      <c r="M101" s="2888">
        <f t="shared" si="31"/>
        <v>1.1200000000000001</v>
      </c>
      <c r="N101" s="2888">
        <f t="shared" si="31"/>
        <v>1.1200000000000001</v>
      </c>
    </row>
    <row r="102" spans="1:14">
      <c r="A102" s="3336"/>
      <c r="B102" s="2883">
        <v>1</v>
      </c>
      <c r="C102" s="2884">
        <f>1.9362/C101</f>
        <v>1.7287499999999998</v>
      </c>
      <c r="D102" s="2884">
        <f>1.9362/D101</f>
        <v>1.7287499999999998</v>
      </c>
      <c r="E102" s="2884">
        <f>1.8629/E101</f>
        <v>1.6633035714285713</v>
      </c>
      <c r="F102" s="2884">
        <f>1.8629/F101</f>
        <v>1.6633035714285713</v>
      </c>
      <c r="G102" s="2884">
        <f>1.8629/G101</f>
        <v>1.6633035714285713</v>
      </c>
      <c r="H102" s="2884">
        <f>1.8629/H101</f>
        <v>1.6633035714285713</v>
      </c>
      <c r="I102" s="2884">
        <f>1.8629/I101</f>
        <v>1.6633035714285713</v>
      </c>
      <c r="J102" s="2884">
        <f>1.942/J101</f>
        <v>1.7339285714285713</v>
      </c>
      <c r="K102" s="2884">
        <f>1.942/K101</f>
        <v>1.7339285714285713</v>
      </c>
      <c r="L102" s="2884">
        <f>1.942/L101</f>
        <v>1.7339285714285713</v>
      </c>
      <c r="M102" s="2884">
        <f>1.942/M101</f>
        <v>1.7339285714285713</v>
      </c>
      <c r="N102" s="2884">
        <f>1.942/N101</f>
        <v>1.7339285714285713</v>
      </c>
    </row>
    <row r="103" spans="1:14">
      <c r="A103" s="3336"/>
      <c r="B103" s="2883">
        <v>2</v>
      </c>
      <c r="C103" s="2884">
        <f>1.4198/C101</f>
        <v>1.2676785714285712</v>
      </c>
      <c r="D103" s="2884">
        <f>1.4198/D101</f>
        <v>1.2676785714285712</v>
      </c>
      <c r="E103" s="2884">
        <f>1.3372/E101</f>
        <v>1.1939285714285712</v>
      </c>
      <c r="F103" s="2884">
        <f>1.3372/F101</f>
        <v>1.1939285714285712</v>
      </c>
      <c r="G103" s="2884">
        <f>1.3372/G101</f>
        <v>1.1939285714285712</v>
      </c>
      <c r="H103" s="2884">
        <f>1.3372/H101</f>
        <v>1.1939285714285712</v>
      </c>
      <c r="I103" s="2884">
        <f>1.3372/I101</f>
        <v>1.1939285714285712</v>
      </c>
      <c r="J103" s="2884">
        <f>1.2799/J101</f>
        <v>1.142767857142857</v>
      </c>
      <c r="K103" s="2884">
        <f>1.2799/K101</f>
        <v>1.142767857142857</v>
      </c>
      <c r="L103" s="2884">
        <f>1.2799/L101</f>
        <v>1.142767857142857</v>
      </c>
      <c r="M103" s="2884">
        <f>1.2799/M101</f>
        <v>1.142767857142857</v>
      </c>
      <c r="N103" s="2884">
        <f>1.2799/N101</f>
        <v>1.142767857142857</v>
      </c>
    </row>
    <row r="104" spans="1:14">
      <c r="A104" s="3336"/>
      <c r="B104" s="2883">
        <v>3</v>
      </c>
      <c r="C104" s="2884">
        <f>1.1594/C101</f>
        <v>1.0351785714285713</v>
      </c>
      <c r="D104" s="2884">
        <f>1.1594/D101</f>
        <v>1.0351785714285713</v>
      </c>
      <c r="E104" s="2884">
        <f>1.0788/E101</f>
        <v>0.96321428571428558</v>
      </c>
      <c r="F104" s="2884">
        <f>1.0788/F101</f>
        <v>0.96321428571428558</v>
      </c>
      <c r="G104" s="2884">
        <f>1.0788/G101</f>
        <v>0.96321428571428558</v>
      </c>
      <c r="H104" s="2884">
        <f>1.0788/H101</f>
        <v>0.96321428571428558</v>
      </c>
      <c r="I104" s="2884">
        <f>1.0788/I101</f>
        <v>0.96321428571428558</v>
      </c>
      <c r="J104" s="2884">
        <f>1.0072/J101</f>
        <v>0.89928571428571424</v>
      </c>
      <c r="K104" s="2884">
        <f>1.0072/K101</f>
        <v>0.89928571428571424</v>
      </c>
      <c r="L104" s="2884">
        <f>1.0072/L101</f>
        <v>0.89928571428571424</v>
      </c>
      <c r="M104" s="2884">
        <f>1.0072/M101</f>
        <v>0.89928571428571424</v>
      </c>
      <c r="N104" s="2884">
        <f>1.0072/N101</f>
        <v>0.89928571428571424</v>
      </c>
    </row>
    <row r="105" spans="1:14">
      <c r="A105" s="3336"/>
      <c r="B105" s="2883">
        <v>4</v>
      </c>
      <c r="C105" s="2884">
        <f>0.9622/C101</f>
        <v>0.85910714285714285</v>
      </c>
      <c r="D105" s="2884">
        <f>0.9622/D101</f>
        <v>0.85910714285714285</v>
      </c>
      <c r="E105" s="2884">
        <f>0.8656/E101</f>
        <v>0.7728571428571428</v>
      </c>
      <c r="F105" s="2884">
        <f>0.8656/F101</f>
        <v>0.7728571428571428</v>
      </c>
      <c r="G105" s="2884">
        <f>0.8656/G101</f>
        <v>0.7728571428571428</v>
      </c>
      <c r="H105" s="2884">
        <f>0.8656/H101</f>
        <v>0.7728571428571428</v>
      </c>
      <c r="I105" s="2884">
        <f>0.8656/I101</f>
        <v>0.7728571428571428</v>
      </c>
      <c r="J105" s="2884">
        <f>0.7525/J101</f>
        <v>0.67187499999999989</v>
      </c>
      <c r="K105" s="2884">
        <f>0.7525/K101</f>
        <v>0.67187499999999989</v>
      </c>
      <c r="L105" s="2884">
        <f>0.7525/L101</f>
        <v>0.67187499999999989</v>
      </c>
      <c r="M105" s="2884">
        <f>0.7525/M101</f>
        <v>0.67187499999999989</v>
      </c>
      <c r="N105" s="2884">
        <f>0.7525/N101</f>
        <v>0.67187499999999989</v>
      </c>
    </row>
    <row r="106" spans="1:14">
      <c r="A106" s="3336"/>
      <c r="B106" s="2883">
        <v>5</v>
      </c>
      <c r="C106" s="2884">
        <f>0.8417/C101</f>
        <v>0.75151785714285713</v>
      </c>
      <c r="D106" s="2884">
        <f>0.8417/D101</f>
        <v>0.75151785714285713</v>
      </c>
      <c r="E106" s="2884">
        <f>0.7371/E101</f>
        <v>0.65812499999999996</v>
      </c>
      <c r="F106" s="2884">
        <f>0.7371/F101</f>
        <v>0.65812499999999996</v>
      </c>
      <c r="G106" s="2884">
        <f>0.7371/G101</f>
        <v>0.65812499999999996</v>
      </c>
      <c r="H106" s="2884">
        <f>0.7371/H101</f>
        <v>0.65812499999999996</v>
      </c>
      <c r="I106" s="2884">
        <f>0.7371/I101</f>
        <v>0.65812499999999996</v>
      </c>
      <c r="J106" s="2884">
        <f>0.5659/J101</f>
        <v>0.50526785714285705</v>
      </c>
      <c r="K106" s="2884">
        <f>0.5659/K101</f>
        <v>0.50526785714285705</v>
      </c>
      <c r="L106" s="2884">
        <f>0.5659/L101</f>
        <v>0.50526785714285705</v>
      </c>
      <c r="M106" s="2884">
        <f>0.5659/M101</f>
        <v>0.50526785714285705</v>
      </c>
      <c r="N106" s="2884">
        <f>0.5659/N101</f>
        <v>0.50526785714285705</v>
      </c>
    </row>
    <row r="107" spans="1:14">
      <c r="A107" s="3336"/>
      <c r="B107" s="2883">
        <v>6</v>
      </c>
      <c r="C107" s="2884">
        <f>0.7608/C101</f>
        <v>0.67928571428571427</v>
      </c>
      <c r="D107" s="2884">
        <f>0.7608/D101</f>
        <v>0.67928571428571427</v>
      </c>
      <c r="E107" s="2884">
        <f>0.6482/E101</f>
        <v>0.57874999999999999</v>
      </c>
      <c r="F107" s="2884">
        <f>0.6482/F101</f>
        <v>0.57874999999999999</v>
      </c>
      <c r="G107" s="2884">
        <f>0.6482/G101</f>
        <v>0.57874999999999999</v>
      </c>
      <c r="H107" s="2884">
        <f>0.6482/H101</f>
        <v>0.57874999999999999</v>
      </c>
      <c r="I107" s="2884">
        <f>0.6482/I101</f>
        <v>0.57874999999999999</v>
      </c>
      <c r="J107" s="2884">
        <f>0.4525/J101</f>
        <v>0.4040178571428571</v>
      </c>
      <c r="K107" s="2884">
        <f>0.4525/K101</f>
        <v>0.4040178571428571</v>
      </c>
      <c r="L107" s="2884">
        <f>0.4525/L101</f>
        <v>0.4040178571428571</v>
      </c>
      <c r="M107" s="2884">
        <f>0.4525/M101</f>
        <v>0.4040178571428571</v>
      </c>
      <c r="N107" s="2884">
        <f>0.4525/N101</f>
        <v>0.4040178571428571</v>
      </c>
    </row>
    <row r="108" spans="1:14">
      <c r="A108" s="3336"/>
      <c r="B108" s="3160"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37"/>
      <c r="B109" s="3161"/>
      <c r="C109" s="2886">
        <f>(-0.163*(C108^2)-0.59*C108+7617)*(10^(-4))/C101</f>
        <v>0.68008928571428573</v>
      </c>
      <c r="D109" s="2886">
        <f>(-0.163*(D108^2)-0.59*D108+7617)*(10^(-4))/D101</f>
        <v>0.68008928571428573</v>
      </c>
      <c r="E109" s="2886">
        <f>(-0.161*(E108^2)-7.509*E108+6533)*(10^(-4))/E101</f>
        <v>0.58330357142857137</v>
      </c>
      <c r="F109" s="2886">
        <f>(-0.161*(F108^2)-7.509*F108+6533)*(10^(-4))/F101</f>
        <v>0.58330357142857137</v>
      </c>
      <c r="G109" s="2886">
        <f>(-0.161*(G108^2)-7.509*G108+6533)*(10^(-4))/G101</f>
        <v>0.58330357142857137</v>
      </c>
      <c r="H109" s="2886">
        <f>(-0.161*(H108^2)-7.509*H108+6533)*(10^(-4))/H101</f>
        <v>0.58330357142857137</v>
      </c>
      <c r="I109" s="2886">
        <f>(-0.161*(I108^2)-7.509*I108+6533)*(10^(-4))/I101</f>
        <v>0.58330357142857137</v>
      </c>
      <c r="J109" s="2886">
        <f>(-0.214*(J108^2)-21.991*J108+4665)*(10^(-4))/J101</f>
        <v>0.41651785714285711</v>
      </c>
      <c r="K109" s="2886">
        <f>(-0.214*(K108^2)-21.991*K108+4665)*(10^(-4))/K101</f>
        <v>0.41651785714285711</v>
      </c>
      <c r="L109" s="2886">
        <f>(-0.214*(L108^2)-21.991*L108+4665)*(10^(-4))/L101</f>
        <v>0.41651785714285711</v>
      </c>
      <c r="M109" s="2886">
        <f>(-0.214*(M108^2)-21.991*M108+4665)*(10^(-4))/M101</f>
        <v>0.41651785714285711</v>
      </c>
      <c r="N109" s="2886">
        <f>(-0.214*(N108^2)-21.991*N108+4665)*(10^(-4))/N101</f>
        <v>0.41651785714285711</v>
      </c>
    </row>
    <row r="110" spans="1:14">
      <c r="A110" s="3333" t="s">
        <v>2975</v>
      </c>
      <c r="B110" s="3333"/>
      <c r="C110" s="3333"/>
      <c r="D110" s="3333"/>
      <c r="E110" s="3333"/>
      <c r="F110" s="3333"/>
      <c r="G110" s="3333"/>
      <c r="H110" s="3333"/>
      <c r="I110" s="3333"/>
      <c r="J110" s="3333"/>
      <c r="K110" s="2889"/>
      <c r="L110" s="2889"/>
      <c r="M110" s="2889"/>
      <c r="N110" s="2889"/>
    </row>
    <row r="112" spans="1:14" ht="13.5" thickBot="1"/>
    <row r="113" spans="1:13" ht="25.5" thickBot="1">
      <c r="A113" s="898" t="s">
        <v>2976</v>
      </c>
      <c r="B113" s="1282">
        <f>G3</f>
        <v>1.1200000000000001</v>
      </c>
      <c r="C113" s="899" t="s">
        <v>2977</v>
      </c>
      <c r="D113" s="900">
        <f>SUMPRODUCT((A115:A118=F113)*(B114:M114=H113)*B115:M118)</f>
        <v>0</v>
      </c>
      <c r="E113" s="2720" t="s">
        <v>2808</v>
      </c>
      <c r="F113" s="2891">
        <f>E2</f>
        <v>0</v>
      </c>
      <c r="G113" s="2720" t="s">
        <v>2809</v>
      </c>
      <c r="H113" s="2891">
        <f>G2</f>
        <v>0</v>
      </c>
      <c r="I113" s="2720"/>
      <c r="J113" s="2892"/>
      <c r="K113" s="2892"/>
      <c r="L113" s="2892"/>
      <c r="M113" s="2892"/>
    </row>
    <row r="114" spans="1:13">
      <c r="A114" s="903"/>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4" t="s">
        <v>2873</v>
      </c>
      <c r="B115" s="905">
        <f>ROUND(0.9335-0.0094*B113,4)</f>
        <v>0.92300000000000004</v>
      </c>
      <c r="C115" s="905">
        <f>B115</f>
        <v>0.92300000000000004</v>
      </c>
      <c r="D115" s="905">
        <f>ROUND(0.8331-0.0109*B113,4)</f>
        <v>0.82089999999999996</v>
      </c>
      <c r="E115" s="905">
        <f>D115</f>
        <v>0.82089999999999996</v>
      </c>
      <c r="F115" s="905">
        <f>E115</f>
        <v>0.82089999999999996</v>
      </c>
      <c r="G115" s="905">
        <f>F115</f>
        <v>0.82089999999999996</v>
      </c>
      <c r="H115" s="905">
        <f>G115</f>
        <v>0.82089999999999996</v>
      </c>
      <c r="I115" s="905">
        <f>ROUND(0.689-0.0155*B113,4)</f>
        <v>0.67159999999999997</v>
      </c>
      <c r="J115" s="905">
        <f t="shared" ref="J115:M118" si="33">I115</f>
        <v>0.67159999999999997</v>
      </c>
      <c r="K115" s="905">
        <f t="shared" si="33"/>
        <v>0.67159999999999997</v>
      </c>
      <c r="L115" s="905">
        <f t="shared" si="33"/>
        <v>0.67159999999999997</v>
      </c>
      <c r="M115" s="906">
        <f t="shared" si="33"/>
        <v>0.67159999999999997</v>
      </c>
    </row>
    <row r="116" spans="1:13">
      <c r="A116" s="904" t="s">
        <v>2874</v>
      </c>
      <c r="B116" s="905">
        <f>ROUND(0.949-0.012*B113,4)</f>
        <v>0.93559999999999999</v>
      </c>
      <c r="C116" s="905">
        <f>B116</f>
        <v>0.93559999999999999</v>
      </c>
      <c r="D116" s="905">
        <f>ROUND(0.8567-0.013*B113,4)</f>
        <v>0.84209999999999996</v>
      </c>
      <c r="E116" s="905">
        <f t="shared" ref="E116:H117" si="34">D116</f>
        <v>0.84209999999999996</v>
      </c>
      <c r="F116" s="905">
        <f t="shared" si="34"/>
        <v>0.84209999999999996</v>
      </c>
      <c r="G116" s="905">
        <f t="shared" si="34"/>
        <v>0.84209999999999996</v>
      </c>
      <c r="H116" s="905">
        <f t="shared" si="34"/>
        <v>0.84209999999999996</v>
      </c>
      <c r="I116" s="905">
        <f>ROUND(0.7694-0.014*B113,4)</f>
        <v>0.75370000000000004</v>
      </c>
      <c r="J116" s="905">
        <f t="shared" si="33"/>
        <v>0.75370000000000004</v>
      </c>
      <c r="K116" s="905">
        <f t="shared" si="33"/>
        <v>0.75370000000000004</v>
      </c>
      <c r="L116" s="905">
        <f t="shared" si="33"/>
        <v>0.75370000000000004</v>
      </c>
      <c r="M116" s="906">
        <f t="shared" si="33"/>
        <v>0.75370000000000004</v>
      </c>
    </row>
    <row r="117" spans="1:13">
      <c r="A117" s="904" t="s">
        <v>2875</v>
      </c>
      <c r="B117" s="905">
        <f>ROUND(0.8808-0.006*B113,4)</f>
        <v>0.87409999999999999</v>
      </c>
      <c r="C117" s="905">
        <f>B117</f>
        <v>0.87409999999999999</v>
      </c>
      <c r="D117" s="905">
        <f>ROUND(0.8748-0.008*B113,4)</f>
        <v>0.86580000000000001</v>
      </c>
      <c r="E117" s="905">
        <f t="shared" si="34"/>
        <v>0.86580000000000001</v>
      </c>
      <c r="F117" s="905">
        <f t="shared" si="34"/>
        <v>0.86580000000000001</v>
      </c>
      <c r="G117" s="905">
        <f t="shared" si="34"/>
        <v>0.86580000000000001</v>
      </c>
      <c r="H117" s="905">
        <f t="shared" si="34"/>
        <v>0.86580000000000001</v>
      </c>
      <c r="I117" s="905">
        <f>ROUND(0.7412-0.0095*B113,4)</f>
        <v>0.73060000000000003</v>
      </c>
      <c r="J117" s="905">
        <f t="shared" si="33"/>
        <v>0.73060000000000003</v>
      </c>
      <c r="K117" s="905">
        <f t="shared" si="33"/>
        <v>0.73060000000000003</v>
      </c>
      <c r="L117" s="905">
        <f t="shared" si="33"/>
        <v>0.73060000000000003</v>
      </c>
      <c r="M117" s="906">
        <f t="shared" si="33"/>
        <v>0.73060000000000003</v>
      </c>
    </row>
    <row r="118" spans="1:13" ht="13.5" thickBot="1">
      <c r="A118" s="713" t="s">
        <v>2876</v>
      </c>
      <c r="B118" s="907">
        <f>ROUND(0.7275-0.01*B113,4)</f>
        <v>0.71630000000000005</v>
      </c>
      <c r="C118" s="907">
        <f>B118</f>
        <v>0.71630000000000005</v>
      </c>
      <c r="D118" s="907">
        <f>ROUND(0.7043-0.012*B113,4)</f>
        <v>0.69089999999999996</v>
      </c>
      <c r="E118" s="907">
        <f>D118</f>
        <v>0.69089999999999996</v>
      </c>
      <c r="F118" s="907">
        <f>E118</f>
        <v>0.69089999999999996</v>
      </c>
      <c r="G118" s="907">
        <f>ROUND(0.6299-0.0122*B113,4)</f>
        <v>0.61619999999999997</v>
      </c>
      <c r="H118" s="907">
        <f>G118</f>
        <v>0.61619999999999997</v>
      </c>
      <c r="I118" s="907">
        <f>ROUND(0.5667-0.0136*B113,4)</f>
        <v>0.55149999999999999</v>
      </c>
      <c r="J118" s="907">
        <f t="shared" si="33"/>
        <v>0.55149999999999999</v>
      </c>
      <c r="K118" s="907">
        <f t="shared" si="33"/>
        <v>0.55149999999999999</v>
      </c>
      <c r="L118" s="907">
        <f t="shared" si="33"/>
        <v>0.55149999999999999</v>
      </c>
      <c r="M118" s="908">
        <f t="shared" si="33"/>
        <v>0.55149999999999999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3049</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53" t="s">
        <v>183</v>
      </c>
      <c r="B18" s="877" t="s">
        <v>560</v>
      </c>
      <c r="C18" s="878" t="s">
        <v>561</v>
      </c>
      <c r="D18" s="879"/>
      <c r="E18" s="877">
        <v>1</v>
      </c>
      <c r="F18" s="880" t="s">
        <v>562</v>
      </c>
      <c r="G18" s="881"/>
      <c r="H18" s="873"/>
      <c r="I18" s="873"/>
    </row>
    <row r="19" spans="1:9" s="882" customFormat="1" ht="19.5" customHeight="1">
      <c r="A19" s="3353"/>
      <c r="B19" s="3353" t="s">
        <v>563</v>
      </c>
      <c r="C19" s="878" t="s">
        <v>564</v>
      </c>
      <c r="D19" s="879"/>
      <c r="E19" s="877">
        <v>0.9</v>
      </c>
      <c r="F19" s="880" t="s">
        <v>565</v>
      </c>
      <c r="G19" s="881"/>
      <c r="H19" s="873"/>
      <c r="I19" s="873"/>
    </row>
    <row r="20" spans="1:9" s="882" customFormat="1" ht="19.5" customHeight="1">
      <c r="A20" s="3353"/>
      <c r="B20" s="3353"/>
      <c r="C20" s="878" t="s">
        <v>566</v>
      </c>
      <c r="D20" s="879"/>
      <c r="E20" s="877">
        <v>1.1000000000000001</v>
      </c>
      <c r="F20" s="880" t="s">
        <v>567</v>
      </c>
      <c r="G20" s="881"/>
      <c r="H20" s="873"/>
      <c r="I20" s="873"/>
    </row>
    <row r="21" spans="1:9" s="882" customFormat="1" ht="19.5" customHeight="1">
      <c r="A21" s="3353"/>
      <c r="B21" s="3353"/>
      <c r="C21" s="878" t="s">
        <v>568</v>
      </c>
      <c r="D21" s="879"/>
      <c r="E21" s="877">
        <v>0.8</v>
      </c>
      <c r="F21" s="880" t="s">
        <v>569</v>
      </c>
      <c r="G21" s="881"/>
      <c r="H21" s="873"/>
      <c r="I21" s="873"/>
    </row>
    <row r="22" spans="1:9" s="882" customFormat="1" ht="19.5" customHeight="1">
      <c r="A22" s="3353"/>
      <c r="B22" s="3353"/>
      <c r="C22" s="878" t="s">
        <v>570</v>
      </c>
      <c r="D22" s="879"/>
      <c r="E22" s="877">
        <v>0.5</v>
      </c>
      <c r="F22" s="880"/>
      <c r="G22" s="881"/>
      <c r="H22" s="873"/>
      <c r="I22" s="873"/>
    </row>
    <row r="23" spans="1:9" s="882" customFormat="1" ht="19.5" customHeight="1">
      <c r="A23" s="3353" t="s">
        <v>184</v>
      </c>
      <c r="B23" s="877" t="s">
        <v>560</v>
      </c>
      <c r="C23" s="878" t="s">
        <v>571</v>
      </c>
      <c r="D23" s="879"/>
      <c r="E23" s="877">
        <v>1</v>
      </c>
      <c r="F23" s="880" t="s">
        <v>572</v>
      </c>
      <c r="G23" s="881"/>
      <c r="H23" s="873"/>
      <c r="I23" s="873"/>
    </row>
    <row r="24" spans="1:9" s="882" customFormat="1" ht="19.5" customHeight="1">
      <c r="A24" s="3353"/>
      <c r="B24" s="3353" t="s">
        <v>563</v>
      </c>
      <c r="C24" s="878" t="s">
        <v>573</v>
      </c>
      <c r="D24" s="879"/>
      <c r="E24" s="877">
        <v>0.5</v>
      </c>
      <c r="F24" s="880"/>
      <c r="G24" s="881"/>
      <c r="H24" s="873"/>
      <c r="I24" s="873"/>
    </row>
    <row r="25" spans="1:9" s="882" customFormat="1" ht="19.5" customHeight="1">
      <c r="A25" s="3353"/>
      <c r="B25" s="3353"/>
      <c r="C25" s="878" t="s">
        <v>574</v>
      </c>
      <c r="D25" s="879"/>
      <c r="E25" s="877">
        <v>1.1000000000000001</v>
      </c>
      <c r="F25" s="880"/>
      <c r="G25" s="881"/>
      <c r="H25" s="873"/>
      <c r="I25" s="873"/>
    </row>
    <row r="26" spans="1:9" s="882" customFormat="1" ht="19.5" customHeight="1">
      <c r="A26" s="3353"/>
      <c r="B26" s="3353"/>
      <c r="C26" s="878" t="s">
        <v>575</v>
      </c>
      <c r="D26" s="879"/>
      <c r="E26" s="877">
        <v>1.1000000000000001</v>
      </c>
      <c r="F26" s="880"/>
      <c r="G26" s="881"/>
      <c r="H26" s="873"/>
      <c r="I26" s="873"/>
    </row>
    <row r="27" spans="1:9" s="882" customFormat="1" ht="19.5" customHeight="1">
      <c r="A27" s="3353"/>
      <c r="B27" s="3353"/>
      <c r="C27" s="878" t="s">
        <v>576</v>
      </c>
      <c r="D27" s="879"/>
      <c r="E27" s="877">
        <v>0.9</v>
      </c>
      <c r="F27" s="880" t="s">
        <v>577</v>
      </c>
      <c r="G27" s="881"/>
      <c r="H27" s="873"/>
      <c r="I27" s="873"/>
    </row>
    <row r="28" spans="1:9" s="882" customFormat="1" ht="19.5" customHeight="1">
      <c r="A28" s="3353"/>
      <c r="B28" s="3353"/>
      <c r="C28" s="878" t="s">
        <v>578</v>
      </c>
      <c r="D28" s="879"/>
      <c r="E28" s="877">
        <v>0.9</v>
      </c>
      <c r="F28" s="880" t="s">
        <v>579</v>
      </c>
      <c r="G28" s="881"/>
      <c r="H28" s="873"/>
      <c r="I28" s="873"/>
    </row>
    <row r="29" spans="1:9" s="882" customFormat="1" ht="19.5" customHeight="1">
      <c r="A29" s="3353"/>
      <c r="B29" s="3353"/>
      <c r="C29" s="878" t="s">
        <v>580</v>
      </c>
      <c r="D29" s="879"/>
      <c r="E29" s="877">
        <v>0.9</v>
      </c>
      <c r="F29" s="880" t="s">
        <v>581</v>
      </c>
      <c r="G29" s="881"/>
      <c r="H29" s="873"/>
      <c r="I29" s="873"/>
    </row>
    <row r="30" spans="1:9" s="882" customFormat="1" ht="19.5" customHeight="1">
      <c r="A30" s="3353"/>
      <c r="B30" s="3353"/>
      <c r="C30" s="878" t="s">
        <v>582</v>
      </c>
      <c r="D30" s="879"/>
      <c r="E30" s="877">
        <v>0.9</v>
      </c>
      <c r="F30" s="880" t="s">
        <v>583</v>
      </c>
      <c r="G30" s="881"/>
      <c r="H30" s="873"/>
      <c r="I30" s="873"/>
    </row>
    <row r="31" spans="1:9" s="882" customFormat="1" ht="19.5" customHeight="1">
      <c r="A31" s="3353"/>
      <c r="B31" s="3353"/>
      <c r="C31" s="878" t="s">
        <v>584</v>
      </c>
      <c r="D31" s="879"/>
      <c r="E31" s="877">
        <v>0.8</v>
      </c>
      <c r="F31" s="880" t="s">
        <v>585</v>
      </c>
      <c r="G31" s="881"/>
      <c r="H31" s="873"/>
      <c r="I31" s="873"/>
    </row>
    <row r="32" spans="1:9" s="882" customFormat="1" ht="19.5" customHeight="1">
      <c r="A32" s="3353"/>
      <c r="B32" s="3353"/>
      <c r="C32" s="878" t="s">
        <v>586</v>
      </c>
      <c r="D32" s="879"/>
      <c r="E32" s="877">
        <v>0.8</v>
      </c>
      <c r="F32" s="880" t="s">
        <v>587</v>
      </c>
      <c r="G32" s="881"/>
      <c r="H32" s="873"/>
      <c r="I32" s="873"/>
    </row>
    <row r="33" spans="1:9" s="882" customFormat="1" ht="19.5" customHeight="1">
      <c r="A33" s="3353" t="s">
        <v>185</v>
      </c>
      <c r="B33" s="877" t="s">
        <v>560</v>
      </c>
      <c r="C33" s="878" t="s">
        <v>588</v>
      </c>
      <c r="D33" s="879"/>
      <c r="E33" s="877">
        <v>1</v>
      </c>
      <c r="F33" s="880" t="s">
        <v>589</v>
      </c>
      <c r="G33" s="881"/>
      <c r="H33" s="873"/>
      <c r="I33" s="873"/>
    </row>
    <row r="34" spans="1:9" s="882" customFormat="1" ht="19.5" customHeight="1">
      <c r="A34" s="3353"/>
      <c r="B34" s="877" t="s">
        <v>563</v>
      </c>
      <c r="C34" s="878" t="s">
        <v>590</v>
      </c>
      <c r="D34" s="879"/>
      <c r="E34" s="877">
        <v>1.5</v>
      </c>
      <c r="F34" s="880" t="s">
        <v>591</v>
      </c>
      <c r="G34" s="881"/>
      <c r="H34" s="873"/>
      <c r="I34" s="873"/>
    </row>
    <row r="35" spans="1:9" s="882" customFormat="1" ht="19.5" customHeight="1">
      <c r="A35" s="3353" t="s">
        <v>186</v>
      </c>
      <c r="B35" s="877" t="s">
        <v>560</v>
      </c>
      <c r="C35" s="878" t="s">
        <v>592</v>
      </c>
      <c r="D35" s="879"/>
      <c r="E35" s="877">
        <v>1</v>
      </c>
      <c r="F35" s="880" t="s">
        <v>593</v>
      </c>
      <c r="G35" s="881"/>
      <c r="H35" s="873"/>
      <c r="I35" s="873"/>
    </row>
    <row r="36" spans="1:9" s="882" customFormat="1" ht="19.5" customHeight="1">
      <c r="A36" s="3353"/>
      <c r="B36" s="3353" t="s">
        <v>563</v>
      </c>
      <c r="C36" s="878" t="s">
        <v>594</v>
      </c>
      <c r="D36" s="879"/>
      <c r="E36" s="877">
        <v>1</v>
      </c>
      <c r="F36" s="880" t="s">
        <v>595</v>
      </c>
      <c r="G36" s="881"/>
      <c r="H36" s="873"/>
      <c r="I36" s="873"/>
    </row>
    <row r="37" spans="1:9" s="882" customFormat="1" ht="19.5" customHeight="1">
      <c r="A37" s="3353"/>
      <c r="B37" s="3353"/>
      <c r="C37" s="878" t="s">
        <v>596</v>
      </c>
      <c r="D37" s="879"/>
      <c r="E37" s="877">
        <v>1.5</v>
      </c>
      <c r="F37" s="880" t="s">
        <v>597</v>
      </c>
      <c r="G37" s="881"/>
      <c r="H37" s="873"/>
      <c r="I37" s="873"/>
    </row>
    <row r="38" spans="1:9" s="882" customFormat="1" ht="19.5" customHeight="1">
      <c r="A38" s="3353"/>
      <c r="B38" s="3353"/>
      <c r="C38" s="878" t="s">
        <v>598</v>
      </c>
      <c r="D38" s="879"/>
      <c r="E38" s="877">
        <v>1</v>
      </c>
      <c r="F38" s="880" t="s">
        <v>599</v>
      </c>
      <c r="G38" s="881"/>
      <c r="H38" s="873"/>
      <c r="I38" s="873"/>
    </row>
    <row r="39" spans="1:9" s="882" customFormat="1" ht="19.5" customHeight="1">
      <c r="A39" s="3353"/>
      <c r="B39" s="335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53" t="s">
        <v>614</v>
      </c>
      <c r="C61" s="813" t="s">
        <v>615</v>
      </c>
      <c r="D61" s="813" t="s">
        <v>616</v>
      </c>
      <c r="E61" s="890">
        <v>0.5</v>
      </c>
      <c r="F61" s="877">
        <v>80</v>
      </c>
    </row>
    <row r="62" spans="1:8" s="873" customFormat="1" ht="24">
      <c r="A62" s="877">
        <v>2</v>
      </c>
      <c r="B62" s="3353"/>
      <c r="C62" s="813" t="s">
        <v>617</v>
      </c>
      <c r="D62" s="813" t="s">
        <v>618</v>
      </c>
      <c r="E62" s="890">
        <v>0.5</v>
      </c>
      <c r="F62" s="877">
        <v>80</v>
      </c>
    </row>
    <row r="63" spans="1:8" s="873" customFormat="1" ht="36">
      <c r="A63" s="877">
        <v>3</v>
      </c>
      <c r="B63" s="3353"/>
      <c r="C63" s="813" t="s">
        <v>619</v>
      </c>
      <c r="D63" s="813" t="s">
        <v>620</v>
      </c>
      <c r="E63" s="890">
        <v>0.5</v>
      </c>
      <c r="F63" s="877">
        <v>80</v>
      </c>
    </row>
    <row r="64" spans="1:8" s="873" customFormat="1" ht="36">
      <c r="A64" s="877">
        <v>4</v>
      </c>
      <c r="B64" s="3353"/>
      <c r="C64" s="813" t="s">
        <v>621</v>
      </c>
      <c r="D64" s="813" t="s">
        <v>622</v>
      </c>
      <c r="E64" s="890">
        <v>0.4</v>
      </c>
      <c r="F64" s="877">
        <v>60</v>
      </c>
    </row>
    <row r="65" spans="1:6" s="873" customFormat="1" ht="36">
      <c r="A65" s="877">
        <v>5</v>
      </c>
      <c r="B65" s="3353"/>
      <c r="C65" s="813" t="s">
        <v>623</v>
      </c>
      <c r="D65" s="813" t="s">
        <v>624</v>
      </c>
      <c r="E65" s="890">
        <v>0.2</v>
      </c>
      <c r="F65" s="877">
        <v>30</v>
      </c>
    </row>
    <row r="66" spans="1:6" s="873" customFormat="1" ht="36">
      <c r="A66" s="877">
        <v>6</v>
      </c>
      <c r="B66" s="3353"/>
      <c r="C66" s="813" t="s">
        <v>625</v>
      </c>
      <c r="D66" s="813" t="s">
        <v>626</v>
      </c>
      <c r="E66" s="890">
        <v>0.3</v>
      </c>
      <c r="F66" s="877">
        <v>50</v>
      </c>
    </row>
    <row r="67" spans="1:6" s="873" customFormat="1" ht="36">
      <c r="A67" s="877">
        <v>7</v>
      </c>
      <c r="B67" s="3353"/>
      <c r="C67" s="813" t="s">
        <v>627</v>
      </c>
      <c r="D67" s="813" t="s">
        <v>628</v>
      </c>
      <c r="E67" s="890">
        <v>0.2</v>
      </c>
      <c r="F67" s="877">
        <v>30</v>
      </c>
    </row>
    <row r="68" spans="1:6" s="873" customFormat="1" ht="36">
      <c r="A68" s="877">
        <v>8</v>
      </c>
      <c r="B68" s="3353"/>
      <c r="C68" s="813" t="s">
        <v>629</v>
      </c>
      <c r="D68" s="813" t="s">
        <v>630</v>
      </c>
      <c r="E68" s="890">
        <v>0.2</v>
      </c>
      <c r="F68" s="877">
        <v>30</v>
      </c>
    </row>
    <row r="69" spans="1:6" s="873" customFormat="1" ht="36">
      <c r="A69" s="877">
        <v>9</v>
      </c>
      <c r="B69" s="3353"/>
      <c r="C69" s="813" t="s">
        <v>631</v>
      </c>
      <c r="D69" s="813" t="s">
        <v>632</v>
      </c>
      <c r="E69" s="890">
        <v>0.2</v>
      </c>
      <c r="F69" s="877">
        <v>30</v>
      </c>
    </row>
    <row r="70" spans="1:6" s="873" customFormat="1" ht="48">
      <c r="A70" s="877">
        <v>10</v>
      </c>
      <c r="B70" s="3353"/>
      <c r="C70" s="813" t="s">
        <v>633</v>
      </c>
      <c r="D70" s="813" t="s">
        <v>634</v>
      </c>
      <c r="E70" s="890">
        <v>0.2</v>
      </c>
      <c r="F70" s="877">
        <v>30</v>
      </c>
    </row>
    <row r="71" spans="1:6" s="873" customFormat="1" ht="48">
      <c r="A71" s="877">
        <v>11</v>
      </c>
      <c r="B71" s="3353"/>
      <c r="C71" s="813" t="s">
        <v>635</v>
      </c>
      <c r="D71" s="813" t="s">
        <v>636</v>
      </c>
      <c r="E71" s="890">
        <v>0.2</v>
      </c>
      <c r="F71" s="877">
        <v>30</v>
      </c>
    </row>
    <row r="72" spans="1:6" s="873" customFormat="1" ht="36">
      <c r="A72" s="877">
        <v>12</v>
      </c>
      <c r="B72" s="3353"/>
      <c r="C72" s="813" t="s">
        <v>637</v>
      </c>
      <c r="D72" s="813" t="s">
        <v>638</v>
      </c>
      <c r="E72" s="890">
        <v>0.5</v>
      </c>
      <c r="F72" s="877">
        <v>80</v>
      </c>
    </row>
    <row r="73" spans="1:6" s="873" customFormat="1" ht="24">
      <c r="A73" s="877">
        <v>13</v>
      </c>
      <c r="B73" s="3353"/>
      <c r="C73" s="813" t="s">
        <v>639</v>
      </c>
      <c r="D73" s="813" t="s">
        <v>640</v>
      </c>
      <c r="E73" s="890">
        <v>0.4</v>
      </c>
      <c r="F73" s="877">
        <v>60</v>
      </c>
    </row>
    <row r="74" spans="1:6" s="873" customFormat="1" ht="24">
      <c r="A74" s="877">
        <v>14</v>
      </c>
      <c r="B74" s="3353"/>
      <c r="C74" s="813" t="s">
        <v>641</v>
      </c>
      <c r="D74" s="813" t="s">
        <v>642</v>
      </c>
      <c r="E74" s="890">
        <v>0.2</v>
      </c>
      <c r="F74" s="877">
        <v>30</v>
      </c>
    </row>
    <row r="75" spans="1:6" s="873" customFormat="1" ht="24">
      <c r="A75" s="877">
        <v>15</v>
      </c>
      <c r="B75" s="3353"/>
      <c r="C75" s="813" t="s">
        <v>643</v>
      </c>
      <c r="D75" s="813" t="s">
        <v>644</v>
      </c>
      <c r="E75" s="890">
        <v>0.2</v>
      </c>
      <c r="F75" s="877">
        <v>30</v>
      </c>
    </row>
    <row r="76" spans="1:6" s="873" customFormat="1" ht="24">
      <c r="A76" s="877">
        <v>16</v>
      </c>
      <c r="B76" s="3353" t="s">
        <v>645</v>
      </c>
      <c r="C76" s="813" t="s">
        <v>646</v>
      </c>
      <c r="D76" s="813" t="s">
        <v>647</v>
      </c>
      <c r="E76" s="890">
        <v>0.5</v>
      </c>
      <c r="F76" s="877">
        <v>80</v>
      </c>
    </row>
    <row r="77" spans="1:6" s="873" customFormat="1" ht="24">
      <c r="A77" s="877">
        <v>17</v>
      </c>
      <c r="B77" s="3353"/>
      <c r="C77" s="813" t="s">
        <v>648</v>
      </c>
      <c r="D77" s="813" t="s">
        <v>649</v>
      </c>
      <c r="E77" s="890">
        <v>0.5</v>
      </c>
      <c r="F77" s="877">
        <v>80</v>
      </c>
    </row>
    <row r="78" spans="1:6" s="873" customFormat="1" ht="24">
      <c r="A78" s="877">
        <v>18</v>
      </c>
      <c r="B78" s="3353"/>
      <c r="C78" s="813" t="s">
        <v>650</v>
      </c>
      <c r="D78" s="813" t="s">
        <v>651</v>
      </c>
      <c r="E78" s="890">
        <v>0.2</v>
      </c>
      <c r="F78" s="877">
        <v>30</v>
      </c>
    </row>
    <row r="79" spans="1:6" s="873" customFormat="1" ht="24">
      <c r="A79" s="877">
        <v>19</v>
      </c>
      <c r="B79" s="3353"/>
      <c r="C79" s="813" t="s">
        <v>652</v>
      </c>
      <c r="D79" s="813" t="s">
        <v>653</v>
      </c>
      <c r="E79" s="890">
        <v>0.5</v>
      </c>
      <c r="F79" s="877">
        <v>80</v>
      </c>
    </row>
    <row r="80" spans="1:6" s="873" customFormat="1" ht="36">
      <c r="A80" s="877">
        <v>20</v>
      </c>
      <c r="B80" s="3353"/>
      <c r="C80" s="813" t="s">
        <v>654</v>
      </c>
      <c r="D80" s="813" t="s">
        <v>655</v>
      </c>
      <c r="E80" s="890">
        <v>0.2</v>
      </c>
      <c r="F80" s="877">
        <v>30</v>
      </c>
    </row>
    <row r="81" spans="1:6" s="873" customFormat="1" ht="36">
      <c r="A81" s="877">
        <v>21</v>
      </c>
      <c r="B81" s="3353"/>
      <c r="C81" s="813" t="s">
        <v>656</v>
      </c>
      <c r="D81" s="813" t="s">
        <v>657</v>
      </c>
      <c r="E81" s="890">
        <v>0.2</v>
      </c>
      <c r="F81" s="877">
        <v>30</v>
      </c>
    </row>
    <row r="82" spans="1:6" s="873" customFormat="1" ht="48">
      <c r="A82" s="877">
        <v>22</v>
      </c>
      <c r="B82" s="3353"/>
      <c r="C82" s="813" t="s">
        <v>658</v>
      </c>
      <c r="D82" s="813" t="s">
        <v>659</v>
      </c>
      <c r="E82" s="890">
        <v>0.2</v>
      </c>
      <c r="F82" s="877">
        <v>30</v>
      </c>
    </row>
    <row r="83" spans="1:6" s="873" customFormat="1" ht="48">
      <c r="A83" s="877">
        <v>23</v>
      </c>
      <c r="B83" s="3353"/>
      <c r="C83" s="813" t="s">
        <v>660</v>
      </c>
      <c r="D83" s="813" t="s">
        <v>661</v>
      </c>
      <c r="E83" s="890">
        <v>0.2</v>
      </c>
      <c r="F83" s="877">
        <v>30</v>
      </c>
    </row>
    <row r="84" spans="1:6" s="873" customFormat="1" ht="36">
      <c r="A84" s="877">
        <v>24</v>
      </c>
      <c r="B84" s="3353"/>
      <c r="C84" s="813" t="s">
        <v>662</v>
      </c>
      <c r="D84" s="813" t="s">
        <v>663</v>
      </c>
      <c r="E84" s="890">
        <v>0.2</v>
      </c>
      <c r="F84" s="877">
        <v>30</v>
      </c>
    </row>
    <row r="85" spans="1:6" s="873" customFormat="1" ht="36">
      <c r="A85" s="877">
        <v>25</v>
      </c>
      <c r="B85" s="3353"/>
      <c r="C85" s="813" t="s">
        <v>664</v>
      </c>
      <c r="D85" s="813" t="s">
        <v>665</v>
      </c>
      <c r="E85" s="890">
        <v>0.5</v>
      </c>
      <c r="F85" s="877">
        <v>80</v>
      </c>
    </row>
    <row r="86" spans="1:6" s="873" customFormat="1" ht="36">
      <c r="A86" s="877">
        <v>26</v>
      </c>
      <c r="B86" s="3353"/>
      <c r="C86" s="813" t="s">
        <v>666</v>
      </c>
      <c r="D86" s="813" t="s">
        <v>667</v>
      </c>
      <c r="E86" s="890">
        <v>0.2</v>
      </c>
      <c r="F86" s="877">
        <v>30</v>
      </c>
    </row>
    <row r="87" spans="1:6" s="873" customFormat="1" ht="36">
      <c r="A87" s="877">
        <v>27</v>
      </c>
      <c r="B87" s="3353"/>
      <c r="C87" s="813" t="s">
        <v>668</v>
      </c>
      <c r="D87" s="813" t="s">
        <v>669</v>
      </c>
      <c r="E87" s="890">
        <v>0.2</v>
      </c>
      <c r="F87" s="877">
        <v>30</v>
      </c>
    </row>
    <row r="88" spans="1:6" s="873" customFormat="1" ht="36">
      <c r="A88" s="877">
        <v>28</v>
      </c>
      <c r="B88" s="3353"/>
      <c r="C88" s="813" t="s">
        <v>670</v>
      </c>
      <c r="D88" s="813" t="s">
        <v>671</v>
      </c>
      <c r="E88" s="890">
        <v>0.2</v>
      </c>
      <c r="F88" s="877">
        <v>30</v>
      </c>
    </row>
    <row r="89" spans="1:6" s="873" customFormat="1" ht="24">
      <c r="A89" s="877">
        <v>29</v>
      </c>
      <c r="B89" s="3353"/>
      <c r="C89" s="813" t="s">
        <v>672</v>
      </c>
      <c r="D89" s="813" t="s">
        <v>673</v>
      </c>
      <c r="E89" s="890">
        <v>0.2</v>
      </c>
      <c r="F89" s="877">
        <v>30</v>
      </c>
    </row>
    <row r="90" spans="1:6" s="873" customFormat="1" ht="24">
      <c r="A90" s="877">
        <v>30</v>
      </c>
      <c r="B90" s="3353"/>
      <c r="C90" s="813" t="s">
        <v>674</v>
      </c>
      <c r="D90" s="813" t="s">
        <v>675</v>
      </c>
      <c r="E90" s="890">
        <v>0.2</v>
      </c>
      <c r="F90" s="877">
        <v>30</v>
      </c>
    </row>
    <row r="91" spans="1:6" s="873" customFormat="1" ht="36">
      <c r="A91" s="877">
        <v>31</v>
      </c>
      <c r="B91" s="3353"/>
      <c r="C91" s="813" t="s">
        <v>676</v>
      </c>
      <c r="D91" s="813" t="s">
        <v>677</v>
      </c>
      <c r="E91" s="890">
        <v>0.2</v>
      </c>
      <c r="F91" s="877">
        <v>30</v>
      </c>
    </row>
    <row r="92" spans="1:6" s="873" customFormat="1" ht="24">
      <c r="A92" s="877">
        <v>32</v>
      </c>
      <c r="B92" s="3353" t="s">
        <v>678</v>
      </c>
      <c r="C92" s="877" t="s">
        <v>679</v>
      </c>
      <c r="D92" s="813" t="s">
        <v>680</v>
      </c>
      <c r="E92" s="890">
        <v>0.2</v>
      </c>
      <c r="F92" s="877">
        <v>30</v>
      </c>
    </row>
    <row r="93" spans="1:6" s="873" customFormat="1" ht="36">
      <c r="A93" s="877">
        <v>33</v>
      </c>
      <c r="B93" s="3353"/>
      <c r="C93" s="877" t="s">
        <v>681</v>
      </c>
      <c r="D93" s="813" t="s">
        <v>682</v>
      </c>
      <c r="E93" s="890">
        <v>0.2</v>
      </c>
      <c r="F93" s="877">
        <v>30</v>
      </c>
    </row>
    <row r="94" spans="1:6" s="873" customFormat="1" ht="48">
      <c r="A94" s="877">
        <v>34</v>
      </c>
      <c r="B94" s="3353"/>
      <c r="C94" s="877" t="s">
        <v>683</v>
      </c>
      <c r="D94" s="813" t="s">
        <v>684</v>
      </c>
      <c r="E94" s="890">
        <v>0.2</v>
      </c>
      <c r="F94" s="877">
        <v>30</v>
      </c>
    </row>
    <row r="95" spans="1:6" s="873" customFormat="1" ht="36">
      <c r="A95" s="877">
        <v>35</v>
      </c>
      <c r="B95" s="3353"/>
      <c r="C95" s="877" t="s">
        <v>685</v>
      </c>
      <c r="D95" s="813" t="s">
        <v>686</v>
      </c>
      <c r="E95" s="890">
        <v>0.2</v>
      </c>
      <c r="F95" s="877">
        <v>30</v>
      </c>
    </row>
    <row r="96" spans="1:6" s="873" customFormat="1" ht="48">
      <c r="A96" s="877">
        <v>36</v>
      </c>
      <c r="B96" s="3353"/>
      <c r="C96" s="813" t="s">
        <v>687</v>
      </c>
      <c r="D96" s="813" t="s">
        <v>688</v>
      </c>
      <c r="E96" s="890">
        <v>0.2</v>
      </c>
      <c r="F96" s="877">
        <v>30</v>
      </c>
    </row>
    <row r="97" spans="1:6" s="873" customFormat="1" ht="36">
      <c r="A97" s="877">
        <v>37</v>
      </c>
      <c r="B97" s="3353"/>
      <c r="C97" s="877" t="s">
        <v>689</v>
      </c>
      <c r="D97" s="813" t="s">
        <v>690</v>
      </c>
      <c r="E97" s="890">
        <v>0.2</v>
      </c>
      <c r="F97" s="877">
        <v>30</v>
      </c>
    </row>
    <row r="98" spans="1:6" s="873" customFormat="1" ht="36">
      <c r="A98" s="877">
        <v>38</v>
      </c>
      <c r="B98" s="3353"/>
      <c r="C98" s="877" t="s">
        <v>691</v>
      </c>
      <c r="D98" s="813" t="s">
        <v>692</v>
      </c>
      <c r="E98" s="890">
        <v>0.2</v>
      </c>
      <c r="F98" s="877">
        <v>30</v>
      </c>
    </row>
    <row r="99" spans="1:6" s="873" customFormat="1" ht="36">
      <c r="A99" s="877">
        <v>39</v>
      </c>
      <c r="B99" s="3353" t="s">
        <v>693</v>
      </c>
      <c r="C99" s="877" t="s">
        <v>694</v>
      </c>
      <c r="D99" s="813" t="s">
        <v>695</v>
      </c>
      <c r="E99" s="890">
        <v>0.3</v>
      </c>
      <c r="F99" s="877">
        <v>50</v>
      </c>
    </row>
    <row r="100" spans="1:6" s="873" customFormat="1" ht="24">
      <c r="A100" s="877">
        <v>40</v>
      </c>
      <c r="B100" s="3353"/>
      <c r="C100" s="877" t="s">
        <v>696</v>
      </c>
      <c r="D100" s="813" t="s">
        <v>697</v>
      </c>
      <c r="E100" s="890">
        <v>0.2</v>
      </c>
      <c r="F100" s="877">
        <v>30</v>
      </c>
    </row>
    <row r="101" spans="1:6" s="873" customFormat="1" ht="36">
      <c r="A101" s="877">
        <v>41</v>
      </c>
      <c r="B101" s="335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53" t="s">
        <v>708</v>
      </c>
      <c r="C105" s="877" t="s">
        <v>709</v>
      </c>
      <c r="D105" s="813" t="s">
        <v>710</v>
      </c>
      <c r="E105" s="890">
        <v>0.2</v>
      </c>
      <c r="F105" s="877">
        <v>30</v>
      </c>
    </row>
    <row r="106" spans="1:6" s="873" customFormat="1" ht="36">
      <c r="A106" s="877">
        <v>46</v>
      </c>
      <c r="B106" s="3353"/>
      <c r="C106" s="877" t="s">
        <v>711</v>
      </c>
      <c r="D106" s="813" t="s">
        <v>712</v>
      </c>
      <c r="E106" s="890">
        <v>0.2</v>
      </c>
      <c r="F106" s="877">
        <v>30</v>
      </c>
    </row>
    <row r="107" spans="1:6" s="873" customFormat="1" ht="36">
      <c r="A107" s="877">
        <v>47</v>
      </c>
      <c r="B107" s="3353" t="s">
        <v>713</v>
      </c>
      <c r="C107" s="877" t="s">
        <v>714</v>
      </c>
      <c r="D107" s="813" t="s">
        <v>715</v>
      </c>
      <c r="E107" s="890">
        <v>0.3</v>
      </c>
      <c r="F107" s="877">
        <v>50</v>
      </c>
    </row>
    <row r="108" spans="1:6" s="873" customFormat="1" ht="36">
      <c r="A108" s="877">
        <v>48</v>
      </c>
      <c r="B108" s="335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53" t="s">
        <v>724</v>
      </c>
      <c r="C111" s="877" t="s">
        <v>725</v>
      </c>
      <c r="D111" s="813" t="s">
        <v>726</v>
      </c>
      <c r="E111" s="890">
        <v>0.2</v>
      </c>
      <c r="F111" s="877">
        <v>30</v>
      </c>
    </row>
    <row r="112" spans="1:6" s="873" customFormat="1" ht="24">
      <c r="A112" s="877">
        <v>52</v>
      </c>
      <c r="B112" s="3353"/>
      <c r="C112" s="877" t="s">
        <v>727</v>
      </c>
      <c r="D112" s="813" t="s">
        <v>728</v>
      </c>
      <c r="E112" s="890">
        <v>0.2</v>
      </c>
      <c r="F112" s="877">
        <v>30</v>
      </c>
    </row>
    <row r="113" spans="1:6" s="873" customFormat="1" ht="24">
      <c r="A113" s="877">
        <v>53</v>
      </c>
      <c r="B113" s="335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53" t="s">
        <v>737</v>
      </c>
      <c r="C116" s="877" t="s">
        <v>738</v>
      </c>
      <c r="D116" s="813" t="s">
        <v>739</v>
      </c>
      <c r="E116" s="890">
        <v>0.2</v>
      </c>
      <c r="F116" s="877">
        <v>30</v>
      </c>
    </row>
    <row r="117" spans="1:6" ht="36">
      <c r="A117" s="877">
        <v>57</v>
      </c>
      <c r="B117" s="335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56"/>
      <c r="B4" s="3040" t="s">
        <v>1626</v>
      </c>
      <c r="C4" s="3040"/>
      <c r="D4" s="3040"/>
      <c r="E4" s="1956"/>
    </row>
    <row r="5" spans="1:5" ht="16.5" thickTop="1">
      <c r="A5" s="1954"/>
      <c r="B5" s="3038" t="s">
        <v>1618</v>
      </c>
      <c r="C5" s="1957" t="s">
        <v>1619</v>
      </c>
      <c r="D5" s="1035">
        <f ca="1">结果表!H101</f>
        <v>62283</v>
      </c>
      <c r="E5" s="1954"/>
    </row>
    <row r="6" spans="1:5" ht="15.75">
      <c r="A6" s="1954"/>
      <c r="B6" s="3038"/>
      <c r="C6" s="1957" t="s">
        <v>1620</v>
      </c>
      <c r="D6" s="1035" t="str">
        <f ca="1">NUMBERSTRING(INT(D5*10000),2)&amp;"元整"</f>
        <v>陆亿贰仟贰佰捌拾叁万元整</v>
      </c>
      <c r="E6" s="1954"/>
    </row>
    <row r="7" spans="1:5" ht="15.75">
      <c r="A7" s="1954"/>
      <c r="B7" s="3043"/>
      <c r="C7" s="1958" t="s">
        <v>1621</v>
      </c>
      <c r="D7" s="1036">
        <f ca="1">结果表!H102</f>
        <v>8714</v>
      </c>
      <c r="E7" s="1954"/>
    </row>
    <row r="8" spans="1:5" ht="15.75">
      <c r="A8" s="1954"/>
      <c r="B8" s="3044" t="str">
        <f>结果表!E103</f>
        <v>2.估价师知悉的法定优先受偿款</v>
      </c>
      <c r="C8" s="1959" t="s">
        <v>1622</v>
      </c>
      <c r="D8" s="1036">
        <f>结果表!H103</f>
        <v>0</v>
      </c>
      <c r="E8" s="1954"/>
    </row>
    <row r="9" spans="1:5" ht="15.75">
      <c r="A9" s="1954"/>
      <c r="B9" s="3046"/>
      <c r="C9" s="1957" t="s">
        <v>1620</v>
      </c>
      <c r="D9" s="1035" t="str">
        <f>NUMBERSTRING(INT(D8*10000),2)&amp;"元整"</f>
        <v>零元整</v>
      </c>
      <c r="E9" s="1954"/>
    </row>
    <row r="10" spans="1:5" ht="15">
      <c r="A10" s="1954"/>
      <c r="B10" s="1960" t="s">
        <v>1625</v>
      </c>
      <c r="C10" s="1961" t="s">
        <v>1623</v>
      </c>
      <c r="D10" s="1037">
        <f>结果表!H104</f>
        <v>0</v>
      </c>
      <c r="E10" s="1954"/>
    </row>
    <row r="11" spans="1:5" ht="15">
      <c r="A11" s="1954"/>
      <c r="B11" s="1960" t="s">
        <v>1627</v>
      </c>
      <c r="C11" s="1961" t="s">
        <v>1628</v>
      </c>
      <c r="D11" s="1037">
        <f>结果表!H105</f>
        <v>0</v>
      </c>
      <c r="E11" s="1954"/>
    </row>
    <row r="12" spans="1:5" ht="15">
      <c r="A12" s="1954"/>
      <c r="B12" s="1960" t="s">
        <v>1629</v>
      </c>
      <c r="C12" s="1961" t="s">
        <v>1628</v>
      </c>
      <c r="D12" s="1037">
        <f>结果表!H106</f>
        <v>0</v>
      </c>
      <c r="E12" s="1954"/>
    </row>
    <row r="13" spans="1:5" ht="15.75">
      <c r="A13" s="1954"/>
      <c r="B13" s="3037" t="str">
        <f>结果表!E107</f>
        <v>3.房地产抵押价值</v>
      </c>
      <c r="C13" s="1962" t="s">
        <v>1619</v>
      </c>
      <c r="D13" s="1038">
        <f ca="1">结果表!H107</f>
        <v>62283</v>
      </c>
      <c r="E13" s="1954"/>
    </row>
    <row r="14" spans="1:5" ht="15.75">
      <c r="A14" s="1954"/>
      <c r="B14" s="3038"/>
      <c r="C14" s="1957" t="s">
        <v>1620</v>
      </c>
      <c r="D14" s="1035" t="str">
        <f ca="1">NUMBERSTRING(INT(D13*10000),2)&amp;"元整"</f>
        <v>陆亿贰仟贰佰捌拾叁万元整</v>
      </c>
      <c r="E14" s="1954"/>
    </row>
    <row r="15" spans="1:5" ht="15">
      <c r="A15" s="1954"/>
      <c r="B15" s="3043"/>
      <c r="C15" s="1958" t="s">
        <v>1630</v>
      </c>
      <c r="D15" s="1047">
        <f ca="1">结果表!H108</f>
        <v>8714</v>
      </c>
      <c r="E15" s="1954"/>
    </row>
    <row r="16" spans="1:5" ht="15">
      <c r="A16" s="1954"/>
      <c r="B16" s="3044" t="str">
        <f>结果表!E109</f>
        <v>——</v>
      </c>
      <c r="C16" s="1962" t="s">
        <v>1631</v>
      </c>
      <c r="D16" s="1963" t="str">
        <f>结果表!H109</f>
        <v>——</v>
      </c>
      <c r="E16" s="1954"/>
    </row>
    <row r="17" spans="1:5" ht="15.75">
      <c r="A17" s="1954"/>
      <c r="B17" s="3045"/>
      <c r="C17" s="1957" t="s">
        <v>1632</v>
      </c>
      <c r="D17" s="1035" t="e">
        <f>NUMBERSTRING(INT(D16*10000),2)&amp;"元整"</f>
        <v>#VALUE!</v>
      </c>
      <c r="E17" s="1954"/>
    </row>
    <row r="18" spans="1:5" ht="15">
      <c r="A18" s="1954"/>
      <c r="B18" s="3046"/>
      <c r="C18" s="1958" t="s">
        <v>1621</v>
      </c>
      <c r="D18" s="1047" t="str">
        <f>结果表!H110</f>
        <v>——</v>
      </c>
      <c r="E18" s="1954"/>
    </row>
    <row r="19" spans="1:5" ht="15.75">
      <c r="A19" s="1954"/>
      <c r="B19" s="3037" t="str">
        <f>结果表!E111</f>
        <v>4.抵押净值</v>
      </c>
      <c r="C19" s="1962" t="s">
        <v>1619</v>
      </c>
      <c r="D19" s="1036">
        <f ca="1">结果表!H111</f>
        <v>39644</v>
      </c>
      <c r="E19" s="1954"/>
    </row>
    <row r="20" spans="1:5" ht="15.75">
      <c r="A20" s="1954"/>
      <c r="B20" s="3038"/>
      <c r="C20" s="1957" t="s">
        <v>1632</v>
      </c>
      <c r="D20" s="1035" t="str">
        <f ca="1">NUMBERSTRING(INT(D19*10000),2)&amp;"元整"</f>
        <v>叁亿玖仟陆佰肆拾肆万元整</v>
      </c>
      <c r="E20" s="1954"/>
    </row>
    <row r="21" spans="1:5" ht="15.75" thickBot="1">
      <c r="A21" s="1954"/>
      <c r="B21" s="3039"/>
      <c r="C21" s="1964" t="s">
        <v>1630</v>
      </c>
      <c r="D21" s="1048">
        <f ca="1">结果表!H112</f>
        <v>5547</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60"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4">
        <f ca="1">SUMIF(INDIRECT("'"&amp;A6&amp;"'"&amp;"!C:C"),"建筑面积",INDIRECT("'"&amp;A6&amp;"'"&amp;"!D:D"))</f>
        <v>0</v>
      </c>
    </row>
    <row r="7" spans="1:5" ht="15.75">
      <c r="A7" s="2903"/>
      <c r="B7" s="2899" t="e">
        <f ca="1">SUMIF(INDIRECT("'"&amp;A7&amp;"'"&amp;"!A:A"),"总价",INDIRECT("'"&amp;A7&amp;"'"&amp;"!B:B"))</f>
        <v>#REF!</v>
      </c>
      <c r="C7" s="2898" t="s">
        <v>2991</v>
      </c>
      <c r="D7" s="2900"/>
      <c r="E7" s="2574"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4" t="e">
        <f t="shared" ca="1" si="0"/>
        <v>#REF!</v>
      </c>
    </row>
    <row r="9" spans="1:5" ht="15.75">
      <c r="A9" s="2903"/>
      <c r="B9" s="2899" t="e">
        <f t="shared" ca="1" si="1"/>
        <v>#REF!</v>
      </c>
      <c r="C9" s="2898" t="s">
        <v>2991</v>
      </c>
      <c r="D9" s="2900"/>
      <c r="E9" s="2574" t="e">
        <f t="shared" ca="1" si="0"/>
        <v>#REF!</v>
      </c>
    </row>
    <row r="10" spans="1:5" ht="15.75">
      <c r="A10" s="2903"/>
      <c r="B10" s="2899" t="e">
        <f t="shared" ca="1" si="1"/>
        <v>#REF!</v>
      </c>
      <c r="C10" s="2898" t="s">
        <v>2991</v>
      </c>
      <c r="D10" s="2900"/>
      <c r="E10" s="2574" t="e">
        <f t="shared" ca="1" si="0"/>
        <v>#REF!</v>
      </c>
    </row>
    <row r="11" spans="1:5" ht="15.75">
      <c r="A11" s="2903"/>
      <c r="B11" s="2899" t="e">
        <f t="shared" ca="1" si="1"/>
        <v>#REF!</v>
      </c>
      <c r="C11" s="2898" t="s">
        <v>2991</v>
      </c>
      <c r="D11" s="2900"/>
      <c r="E11" s="2574" t="e">
        <f t="shared" ca="1" si="0"/>
        <v>#REF!</v>
      </c>
    </row>
    <row r="12" spans="1:5" ht="15.75">
      <c r="A12" s="2903"/>
      <c r="B12" s="2899" t="e">
        <f t="shared" ca="1" si="1"/>
        <v>#REF!</v>
      </c>
      <c r="C12" s="2898" t="s">
        <v>2991</v>
      </c>
      <c r="D12" s="2900"/>
      <c r="E12" s="2574" t="e">
        <f t="shared" ca="1" si="0"/>
        <v>#REF!</v>
      </c>
    </row>
    <row r="13" spans="1:5" ht="15.75">
      <c r="A13" s="2903"/>
      <c r="B13" s="2899" t="e">
        <f t="shared" ca="1" si="1"/>
        <v>#REF!</v>
      </c>
      <c r="C13" s="2898" t="s">
        <v>2991</v>
      </c>
      <c r="D13" s="290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59" t="s">
        <v>1146</v>
      </c>
      <c r="C1" s="3359"/>
      <c r="D1" s="3359"/>
      <c r="E1" s="3359"/>
      <c r="F1" s="3359"/>
      <c r="G1" s="3355" t="s">
        <v>1147</v>
      </c>
      <c r="H1" s="3355"/>
      <c r="I1" s="3355"/>
      <c r="J1" s="3355"/>
      <c r="K1" s="3355"/>
      <c r="L1" s="3355"/>
      <c r="N1" s="3355" t="s">
        <v>1148</v>
      </c>
      <c r="O1" s="3355"/>
      <c r="P1" s="3355"/>
      <c r="Q1" s="3355"/>
      <c r="R1" s="1441"/>
      <c r="S1" s="3355" t="s">
        <v>1149</v>
      </c>
      <c r="T1" s="3355"/>
      <c r="U1" s="3355"/>
      <c r="V1" s="3355"/>
      <c r="X1" s="3354" t="s">
        <v>1150</v>
      </c>
      <c r="Y1" s="3355"/>
      <c r="Z1" s="3355"/>
      <c r="AA1" s="3355"/>
      <c r="AB1" s="3355"/>
      <c r="AD1" s="3354" t="s">
        <v>1151</v>
      </c>
      <c r="AE1" s="3355"/>
      <c r="AF1" s="3355"/>
      <c r="AG1" s="3355"/>
      <c r="AH1" s="3355"/>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3047</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8">
        <v>2019</v>
      </c>
      <c r="H5" s="1725">
        <v>2</v>
      </c>
      <c r="I5" s="2910">
        <v>0</v>
      </c>
      <c r="J5" s="2910">
        <v>0</v>
      </c>
      <c r="K5" s="2910">
        <v>0</v>
      </c>
      <c r="L5" s="2910">
        <v>0</v>
      </c>
      <c r="N5" s="1462">
        <f>I5/100</f>
        <v>0</v>
      </c>
      <c r="O5" s="1462">
        <f t="shared" ref="O5" si="7">J5/100</f>
        <v>0</v>
      </c>
      <c r="P5" s="1462">
        <f t="shared" ref="P5" si="8">K5/100</f>
        <v>0</v>
      </c>
      <c r="Q5" s="1462">
        <f t="shared" ref="Q5" si="9">L5/100</f>
        <v>0</v>
      </c>
      <c r="R5" s="1727"/>
      <c r="S5" s="1728"/>
      <c r="T5" s="1727"/>
      <c r="U5" s="1727"/>
      <c r="V5" s="1727"/>
      <c r="W5" s="2913" t="s">
        <v>3034</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3048</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7">
        <v>2019</v>
      </c>
      <c r="H6" s="1459">
        <v>1</v>
      </c>
      <c r="I6" s="2929">
        <v>0.6</v>
      </c>
      <c r="J6" s="2929">
        <v>0.37</v>
      </c>
      <c r="K6" s="2929">
        <v>0.63</v>
      </c>
      <c r="L6" s="2930">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3046</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57">
        <v>2018</v>
      </c>
      <c r="H7" s="1459">
        <v>4</v>
      </c>
      <c r="I7" s="2929">
        <v>0.96</v>
      </c>
      <c r="J7" s="2929">
        <v>1.03</v>
      </c>
      <c r="K7" s="2929">
        <v>0.92</v>
      </c>
      <c r="L7" s="2930">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3040</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57"/>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3039</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57"/>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3032</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64"/>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3029</v>
      </c>
      <c r="B11" s="1464">
        <v>439</v>
      </c>
      <c r="C11" s="1464">
        <v>327</v>
      </c>
      <c r="D11" s="1464">
        <f>C11</f>
        <v>327</v>
      </c>
      <c r="E11" s="1464">
        <v>627</v>
      </c>
      <c r="F11" s="1465">
        <v>283</v>
      </c>
      <c r="G11" s="3360">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3030</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57"/>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357"/>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364"/>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60">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57"/>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57"/>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58"/>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56">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57"/>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57"/>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58"/>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56">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57"/>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57"/>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58"/>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361">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62"/>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362"/>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363"/>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356">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357"/>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357"/>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358"/>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356">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57">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357">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358">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356">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57">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357">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358">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356">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57">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357">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358">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356">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57">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357">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358">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356">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57">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357">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358">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356">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57">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357">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358">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356">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57">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357">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358">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356">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57">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357">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358">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356">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357">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357">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358">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356">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357">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357">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358">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9" t="s">
        <v>3000</v>
      </c>
      <c r="C1" s="3366" t="s">
        <v>3001</v>
      </c>
      <c r="D1" s="3367"/>
      <c r="E1" s="3367"/>
      <c r="F1" s="3367"/>
      <c r="G1" s="3367"/>
      <c r="H1" s="3367"/>
      <c r="I1" s="3367"/>
      <c r="J1" s="3367"/>
      <c r="K1" s="3367"/>
      <c r="L1" s="3367"/>
      <c r="M1" s="3367"/>
      <c r="N1" s="3367"/>
      <c r="O1" s="3367"/>
      <c r="P1" s="3367"/>
      <c r="Q1" s="3367"/>
      <c r="R1" s="3367"/>
      <c r="S1" s="3368"/>
      <c r="T1" s="1199" t="s">
        <v>3002</v>
      </c>
    </row>
    <row r="2" spans="1:45" s="706" customFormat="1">
      <c r="A2" s="1200"/>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2"/>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0"/>
      <c r="B5" s="1764" t="s">
        <v>3004</v>
      </c>
      <c r="C5" s="1211"/>
      <c r="D5" s="1212"/>
      <c r="E5" s="1212"/>
      <c r="F5" s="1706"/>
      <c r="G5" s="1706"/>
      <c r="H5" s="1706"/>
      <c r="I5" s="1706"/>
      <c r="J5" s="1706"/>
      <c r="K5" s="1706"/>
      <c r="L5" s="1707"/>
      <c r="M5" s="1708"/>
      <c r="N5" s="1708"/>
      <c r="O5" s="1706"/>
      <c r="P5" s="1706"/>
      <c r="Q5" s="1706"/>
      <c r="R5" s="1706"/>
      <c r="S5" s="1709"/>
      <c r="T5" s="1214"/>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0"/>
      <c r="B7" s="1765" t="s">
        <v>3005</v>
      </c>
      <c r="C7" s="1116"/>
      <c r="D7" s="1110"/>
      <c r="E7" s="1110"/>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0"/>
      <c r="B9" s="1765" t="s">
        <v>3006</v>
      </c>
      <c r="C9" s="1116"/>
      <c r="D9" s="1110"/>
      <c r="E9" s="1110"/>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0"/>
      <c r="B11" s="1764" t="s">
        <v>3007</v>
      </c>
      <c r="C11" s="1211"/>
      <c r="D11" s="1212"/>
      <c r="E11" s="1212"/>
      <c r="F11" s="1212"/>
      <c r="G11" s="1212"/>
      <c r="H11" s="1212"/>
      <c r="I11" s="1212"/>
      <c r="J11" s="1212"/>
      <c r="K11" s="1212"/>
      <c r="L11" s="1212"/>
      <c r="M11" s="1213"/>
      <c r="N11" s="1217"/>
      <c r="O11" s="1218"/>
      <c r="P11" s="1219"/>
      <c r="Q11" s="1220"/>
      <c r="R11" s="1221"/>
      <c r="S11" s="1222"/>
      <c r="T11" s="1214"/>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0"/>
      <c r="B13" s="1764" t="s">
        <v>3008</v>
      </c>
      <c r="C13" s="1211"/>
      <c r="D13" s="1212"/>
      <c r="E13" s="1212"/>
      <c r="F13" s="1212"/>
      <c r="G13" s="1212"/>
      <c r="H13" s="1212"/>
      <c r="I13" s="1212"/>
      <c r="J13" s="1212"/>
      <c r="K13" s="1212"/>
      <c r="L13" s="1212"/>
      <c r="M13" s="1213"/>
      <c r="N13" s="1217"/>
      <c r="O13" s="1218"/>
      <c r="P13" s="1219"/>
      <c r="Q13" s="1220"/>
      <c r="R13" s="1221"/>
      <c r="S13" s="1222"/>
      <c r="T13" s="1223"/>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0"/>
      <c r="B15" s="1764" t="s">
        <v>3009</v>
      </c>
      <c r="C15" s="1211"/>
      <c r="D15" s="1212"/>
      <c r="E15" s="1212"/>
      <c r="F15" s="1212"/>
      <c r="G15" s="1212"/>
      <c r="H15" s="1212"/>
      <c r="I15" s="1212"/>
      <c r="J15" s="1212"/>
      <c r="K15" s="1212"/>
      <c r="L15" s="1212"/>
      <c r="M15" s="1213"/>
      <c r="N15" s="1217"/>
      <c r="O15" s="1218"/>
      <c r="P15" s="1219"/>
      <c r="Q15" s="1220"/>
      <c r="R15" s="1221"/>
      <c r="S15" s="1222"/>
      <c r="T15" s="1223"/>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3010</v>
      </c>
      <c r="B17" s="2905" t="s">
        <v>3011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5"/>
      <c r="AS17" s="795"/>
    </row>
    <row r="18" spans="1:45" s="706"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5"/>
      <c r="AS18" s="795"/>
    </row>
    <row r="19" spans="1:45">
      <c r="A19" s="137"/>
      <c r="B19" s="167"/>
      <c r="C19" s="167"/>
      <c r="D19" s="2906" t="s">
        <v>3012</v>
      </c>
      <c r="E19" s="1787"/>
      <c r="F19" s="1787"/>
      <c r="G19" s="1787"/>
      <c r="H19" s="1275"/>
      <c r="I19" s="167"/>
      <c r="J19" s="167"/>
      <c r="K19" s="167"/>
      <c r="L19" s="167"/>
      <c r="M19" s="167"/>
      <c r="N19" s="167"/>
      <c r="O19" s="167"/>
      <c r="P19" s="167"/>
      <c r="Q19" s="167"/>
      <c r="R19" s="787"/>
      <c r="S19" s="137"/>
    </row>
    <row r="20" spans="1:45" ht="16.5" thickBot="1">
      <c r="A20" s="714" t="s">
        <v>3013</v>
      </c>
      <c r="B20" s="337" t="e">
        <f ca="1">IF(D20="——",S22,S22-F20)</f>
        <v>#REF!</v>
      </c>
      <c r="C20" s="167"/>
      <c r="D20" s="2907" t="s">
        <v>3014</v>
      </c>
      <c r="E20" s="1788"/>
      <c r="F20" s="1199" t="e">
        <f ca="1">SUMIF(INDIRECT("'"&amp;H20&amp;"'"&amp;"!A:A"),"承租人权益价值",INDIRECT("'"&amp;H20&amp;"'"&amp;"!c:c"))</f>
        <v>#REF!</v>
      </c>
      <c r="G20" s="1199" t="s">
        <v>3015</v>
      </c>
      <c r="H20" s="2908"/>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141" t="s">
        <v>33</v>
      </c>
      <c r="D22" s="3142"/>
      <c r="E22" s="3142"/>
      <c r="F22" s="3142"/>
      <c r="G22" s="3142"/>
      <c r="H22" s="3142"/>
      <c r="I22" s="3142"/>
      <c r="J22" s="3142"/>
      <c r="K22" s="3142"/>
      <c r="L22" s="3142"/>
      <c r="M22" s="3142"/>
      <c r="N22" s="3142"/>
      <c r="O22" s="3142"/>
      <c r="P22" s="3142"/>
      <c r="Q22" s="3365"/>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55489</v>
      </c>
      <c r="C2" s="2" t="s">
        <v>133</v>
      </c>
      <c r="D2" s="242"/>
      <c r="E2" s="242"/>
      <c r="F2" s="242"/>
      <c r="G2" s="242"/>
    </row>
    <row r="3" spans="1:7" s="243" customFormat="1" ht="18" customHeight="1" thickBot="1">
      <c r="A3" s="246" t="s">
        <v>85</v>
      </c>
      <c r="B3" s="247">
        <f ca="1">ROUND(B2*10000/'数据-汇总表'!E3,0)</f>
        <v>7764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4" t="s">
        <v>791</v>
      </c>
      <c r="B6" s="258" t="s">
        <v>91</v>
      </c>
      <c r="C6" s="259">
        <v>20000</v>
      </c>
      <c r="D6" s="260"/>
      <c r="E6" s="261"/>
      <c r="F6" s="261"/>
      <c r="G6" s="262"/>
    </row>
    <row r="7" spans="1:7" s="257" customFormat="1" ht="13.5" customHeight="1">
      <c r="A7" s="944" t="s">
        <v>792</v>
      </c>
      <c r="B7" s="258" t="s">
        <v>57</v>
      </c>
      <c r="C7" s="263">
        <f>ROUND(C6*F7,0)</f>
        <v>610</v>
      </c>
      <c r="D7" s="263"/>
      <c r="E7" s="261"/>
      <c r="F7" s="264">
        <f>'数据-取费表'!B48+'数据-取费表'!B49</f>
        <v>3.0499999999999999E-2</v>
      </c>
      <c r="G7" s="262"/>
    </row>
    <row r="8" spans="1:7" s="266" customFormat="1">
      <c r="A8" s="944" t="s">
        <v>793</v>
      </c>
      <c r="B8" s="258" t="s">
        <v>92</v>
      </c>
      <c r="C8" s="263" t="str">
        <f>IF(G8="已包含在土地购买价格中","0",'数据-取费表'!B29)</f>
        <v>0</v>
      </c>
      <c r="D8" s="265"/>
      <c r="E8" s="263"/>
      <c r="F8" s="264"/>
      <c r="G8" s="1" t="s">
        <v>1145</v>
      </c>
    </row>
    <row r="9" spans="1:7" s="257" customFormat="1" ht="13.5" customHeight="1">
      <c r="A9" s="945" t="s">
        <v>800</v>
      </c>
      <c r="B9" s="267" t="s">
        <v>93</v>
      </c>
      <c r="C9" s="268">
        <f>ROUND(D9*E9/10000,0)</f>
        <v>1406</v>
      </c>
      <c r="D9" s="1027">
        <f>'数据-汇总表'!E5</f>
        <v>63909.9099999998</v>
      </c>
      <c r="E9" s="268">
        <f>'数据-取费表'!B27</f>
        <v>220</v>
      </c>
      <c r="F9" s="264"/>
      <c r="G9" s="269"/>
    </row>
    <row r="10" spans="1:7" s="257" customFormat="1" ht="13.5" customHeight="1">
      <c r="A10" s="945" t="s">
        <v>801</v>
      </c>
      <c r="B10" s="267" t="s">
        <v>94</v>
      </c>
      <c r="C10" s="268">
        <f>ROUND(D10*E10/10000,0)</f>
        <v>166</v>
      </c>
      <c r="D10" s="1027">
        <f>'数据-汇总表'!E6</f>
        <v>7564</v>
      </c>
      <c r="E10" s="268">
        <f>'数据-取费表'!B28</f>
        <v>220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1052</v>
      </c>
      <c r="B19" s="253" t="s">
        <v>111</v>
      </c>
      <c r="C19" s="254">
        <f>IF(G19="已包含在土地取得成本中","0",ROUND(D19*E19/10000,0))</f>
        <v>1429</v>
      </c>
      <c r="D19" s="1031">
        <f>'数据-汇总表'!E3</f>
        <v>71473.9099999998</v>
      </c>
      <c r="E19" s="254">
        <f>'数据-取费表'!B31</f>
        <v>200</v>
      </c>
      <c r="F19" s="274"/>
      <c r="G19" s="1" t="s">
        <v>1071</v>
      </c>
    </row>
    <row r="20" spans="1:7" s="257" customFormat="1" ht="13.5" customHeight="1">
      <c r="A20" s="943" t="s">
        <v>1054</v>
      </c>
      <c r="B20" s="253" t="s">
        <v>104</v>
      </c>
      <c r="C20" s="275">
        <f>ROUND((C5+C19)*F20,0)</f>
        <v>661</v>
      </c>
      <c r="D20" s="275"/>
      <c r="E20" s="275"/>
      <c r="F20" s="276">
        <f>'数据-取费表'!B37</f>
        <v>0.03</v>
      </c>
      <c r="G20" s="1284" t="s">
        <v>1065</v>
      </c>
    </row>
    <row r="21" spans="1:7" s="257" customFormat="1" ht="13.5" customHeight="1">
      <c r="A21" s="943" t="s">
        <v>1056</v>
      </c>
      <c r="B21" s="253" t="s">
        <v>105</v>
      </c>
      <c r="C21" s="278">
        <f>F21</f>
        <v>0.03</v>
      </c>
      <c r="D21" s="279" t="s">
        <v>126</v>
      </c>
      <c r="E21" s="275"/>
      <c r="F21" s="276">
        <f>'数据-取费表'!B38</f>
        <v>0.03</v>
      </c>
      <c r="G21" s="277" t="s">
        <v>106</v>
      </c>
    </row>
    <row r="22" spans="1:7" s="257" customFormat="1" ht="13.5" customHeight="1">
      <c r="A22" s="943" t="s">
        <v>786</v>
      </c>
      <c r="B22" s="253" t="s">
        <v>107</v>
      </c>
      <c r="C22" s="1349">
        <f ca="1">ROUND(SUM(C23:C25),0)</f>
        <v>1171</v>
      </c>
      <c r="D22" s="278">
        <f ca="1">C26</f>
        <v>8.0000000000000004E-4</v>
      </c>
      <c r="E22" s="279" t="s">
        <v>126</v>
      </c>
      <c r="F22" s="280">
        <f ca="1">'数据-取费表'!B40</f>
        <v>4.7500000000000001E-2</v>
      </c>
      <c r="G22" s="1284" t="str">
        <f>IF('数据-取费表'!B22&lt;=1,"单利计息","复利计息")</f>
        <v>复利计息</v>
      </c>
    </row>
    <row r="23" spans="1:7" s="257" customFormat="1" ht="13.5" customHeight="1">
      <c r="A23" s="946" t="s">
        <v>794</v>
      </c>
      <c r="B23" s="258" t="s">
        <v>1058</v>
      </c>
      <c r="C23" s="1350">
        <f ca="1">ROUND(IF('数据-取费表'!B22&lt;=1,C5*F22*'数据-取费表'!B23,C5*(POWER((1+F22),'数据-取费表'!B23)-1)),0)</f>
        <v>1079</v>
      </c>
      <c r="D23" s="281"/>
      <c r="E23" s="281"/>
      <c r="F23" s="282"/>
      <c r="G23" s="283" t="s">
        <v>108</v>
      </c>
    </row>
    <row r="24" spans="1:7" s="257" customFormat="1" ht="13.5" customHeight="1">
      <c r="A24" s="946" t="s">
        <v>792</v>
      </c>
      <c r="B24" s="258" t="s">
        <v>1053</v>
      </c>
      <c r="C24" s="1350">
        <f ca="1">ROUND(IF('数据-取费表'!B22&lt;=1,C19*F22*('数据-取费表'!B19/2+'数据-取费表'!B21),C19*(POWER((1+F22),('数据-取费表'!B19/2+'数据-取费表'!B21))-1)),0)</f>
        <v>75</v>
      </c>
      <c r="D24" s="281"/>
      <c r="E24" s="281"/>
      <c r="F24" s="282"/>
      <c r="G24" s="283" t="s">
        <v>109</v>
      </c>
    </row>
    <row r="25" spans="1:7" s="257" customFormat="1" ht="24">
      <c r="A25" s="946" t="s">
        <v>793</v>
      </c>
      <c r="B25" s="258" t="s">
        <v>1055</v>
      </c>
      <c r="C25" s="1350">
        <f ca="1">ROUND(IF('数据-取费表'!B22&lt;=1,C20*F22*'数据-取费表'!B23/2,C20*(POWER((1+F22),'数据-取费表'!B23/2)-1)),0)</f>
        <v>17</v>
      </c>
      <c r="D25" s="281"/>
      <c r="E25" s="284"/>
      <c r="F25" s="282"/>
      <c r="G25" s="285" t="s">
        <v>110</v>
      </c>
    </row>
    <row r="26" spans="1:7" s="257" customFormat="1">
      <c r="A26" s="946" t="s">
        <v>795</v>
      </c>
      <c r="B26" s="258" t="s">
        <v>1057</v>
      </c>
      <c r="C26" s="281">
        <f ca="1">ROUND(IF('数据-取费表'!B22&lt;=1,F21*F22*'数据-取费表'!B23/2,F21*(POWER((1+F22),'数据-取费表'!B23/2)-1)),4)</f>
        <v>8.0000000000000004E-4</v>
      </c>
      <c r="D26" s="281"/>
      <c r="E26" s="284"/>
      <c r="F26" s="282"/>
      <c r="G26" s="286"/>
    </row>
    <row r="27" spans="1:7" s="257" customFormat="1" ht="24.75">
      <c r="A27" s="943" t="s">
        <v>787</v>
      </c>
      <c r="B27" s="287" t="s">
        <v>112</v>
      </c>
      <c r="C27" s="288">
        <f>C28</f>
        <v>2996</v>
      </c>
      <c r="D27" s="278">
        <f>C29</f>
        <v>4.0000000000000001E-3</v>
      </c>
      <c r="E27" s="279" t="s">
        <v>126</v>
      </c>
      <c r="F27" s="289">
        <f>'数据-取费表'!Q16</f>
        <v>0.24</v>
      </c>
      <c r="G27" s="290" t="s">
        <v>1066</v>
      </c>
    </row>
    <row r="28" spans="1:7" s="257" customFormat="1" ht="13.5" customHeight="1">
      <c r="A28" s="946" t="s">
        <v>794</v>
      </c>
      <c r="B28" s="291" t="s">
        <v>1059</v>
      </c>
      <c r="C28" s="292">
        <f>ROUND((C5+C19+C20)*F27*'数据-取费表'!B21/'数据-取费表'!B20,0)</f>
        <v>2996</v>
      </c>
      <c r="D28" s="278"/>
      <c r="E28" s="279"/>
      <c r="F28" s="289"/>
      <c r="G28" s="290"/>
    </row>
    <row r="29" spans="1:7" s="257" customFormat="1" ht="13.5" customHeight="1">
      <c r="A29" s="946" t="s">
        <v>792</v>
      </c>
      <c r="B29" s="291" t="s">
        <v>1060</v>
      </c>
      <c r="C29" s="281">
        <f>ROUND(C21*F27*'数据-取费表'!B21/'数据-取费表'!B20,4)</f>
        <v>4.0000000000000001E-3</v>
      </c>
      <c r="D29" s="278"/>
      <c r="E29" s="279"/>
      <c r="F29" s="289"/>
      <c r="G29" s="290"/>
    </row>
    <row r="30" spans="1:7" s="257" customFormat="1" ht="13.5" customHeight="1">
      <c r="A30" s="943"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29433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18178</v>
      </c>
      <c r="D33" s="275"/>
      <c r="E33" s="255"/>
      <c r="F33" s="284"/>
      <c r="G33" s="277"/>
    </row>
    <row r="34" spans="1:7" s="301" customFormat="1" ht="13.5" customHeight="1">
      <c r="A34" s="946" t="s">
        <v>794</v>
      </c>
      <c r="B34" s="258" t="s">
        <v>59</v>
      </c>
      <c r="C34" s="263">
        <f>IF(F34=100%,'数据-取费表'!M16-SUMIF('数据-取费表'!C:C,"公共配套",'数据-取费表'!M:M),'数据-取费表'!O16-SUMIF('数据-取费表'!C:C,"公共配套",'数据-取费表'!O:O))</f>
        <v>14936</v>
      </c>
      <c r="D34" s="260"/>
      <c r="E34" s="263"/>
      <c r="F34" s="300">
        <f>IF('数据-取费表'!B24=0,1,'数据-取费表'!N16)</f>
        <v>0.65900000000000003</v>
      </c>
      <c r="G34" s="262" t="s">
        <v>116</v>
      </c>
    </row>
    <row r="35" spans="1:7" ht="13.5" customHeight="1">
      <c r="A35" s="946" t="s">
        <v>796</v>
      </c>
      <c r="B35" s="258" t="s">
        <v>60</v>
      </c>
      <c r="C35" s="263">
        <f>ROUND(C34*F35,0)</f>
        <v>747</v>
      </c>
      <c r="D35" s="263"/>
      <c r="E35" s="263"/>
      <c r="F35" s="302">
        <f>'数据-取费表'!B33</f>
        <v>0.05</v>
      </c>
      <c r="G35" s="262" t="s">
        <v>117</v>
      </c>
    </row>
    <row r="36" spans="1:7" ht="24">
      <c r="A36" s="946"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1329</v>
      </c>
      <c r="D36" s="263"/>
      <c r="E36" s="263"/>
      <c r="F36" s="302">
        <f>'数据-取费表'!B34</f>
        <v>0.1</v>
      </c>
      <c r="G36" s="303" t="s">
        <v>62</v>
      </c>
    </row>
    <row r="37" spans="1:7" s="301" customFormat="1" ht="13.5" customHeight="1">
      <c r="A37" s="946" t="s">
        <v>798</v>
      </c>
      <c r="B37" s="258" t="s">
        <v>118</v>
      </c>
      <c r="C37" s="292">
        <f>ROUND(E37*D37*F34/10000,0)</f>
        <v>942</v>
      </c>
      <c r="D37" s="260">
        <f>'数据-汇总表'!E3</f>
        <v>71473.9099999998</v>
      </c>
      <c r="E37" s="292">
        <f>'数据-取费表'!B35</f>
        <v>200</v>
      </c>
      <c r="F37" s="302"/>
      <c r="G37" s="304" t="s">
        <v>119</v>
      </c>
    </row>
    <row r="38" spans="1:7" ht="13.5" customHeight="1">
      <c r="A38" s="946" t="s">
        <v>799</v>
      </c>
      <c r="B38" s="258" t="s">
        <v>63</v>
      </c>
      <c r="C38" s="263">
        <f>ROUND(C34*F38,0)</f>
        <v>224</v>
      </c>
      <c r="D38" s="263"/>
      <c r="E38" s="263"/>
      <c r="F38" s="302">
        <f>'数据-取费表'!B36</f>
        <v>1.4999999999999999E-2</v>
      </c>
      <c r="G38" s="262" t="s">
        <v>117</v>
      </c>
    </row>
    <row r="39" spans="1:7" s="257" customFormat="1" ht="13.5" customHeight="1">
      <c r="A39" s="943" t="s">
        <v>783</v>
      </c>
      <c r="B39" s="253" t="s">
        <v>104</v>
      </c>
      <c r="C39" s="275">
        <f>ROUND(C33*F20,0)</f>
        <v>545</v>
      </c>
      <c r="D39" s="275"/>
      <c r="E39" s="275"/>
      <c r="F39" s="276"/>
      <c r="G39" s="1284" t="s">
        <v>1068</v>
      </c>
    </row>
    <row r="40" spans="1:7" s="257" customFormat="1" ht="13.5" customHeight="1">
      <c r="A40" s="943" t="s">
        <v>784</v>
      </c>
      <c r="B40" s="253" t="s">
        <v>105</v>
      </c>
      <c r="C40" s="305">
        <f>F21</f>
        <v>0.03</v>
      </c>
      <c r="D40" s="279" t="s">
        <v>129</v>
      </c>
      <c r="E40" s="275"/>
      <c r="F40" s="276"/>
      <c r="G40" s="277" t="s">
        <v>120</v>
      </c>
    </row>
    <row r="41" spans="1:7" s="257" customFormat="1" ht="13.5" customHeight="1">
      <c r="A41" s="943" t="s">
        <v>785</v>
      </c>
      <c r="B41" s="253" t="s">
        <v>107</v>
      </c>
      <c r="C41" s="275">
        <f ca="1">ROUND(SUM(C42:C43),0)</f>
        <v>484</v>
      </c>
      <c r="D41" s="278">
        <f ca="1">C44</f>
        <v>8.0000000000000004E-4</v>
      </c>
      <c r="E41" s="279" t="s">
        <v>129</v>
      </c>
      <c r="F41" s="280"/>
      <c r="G41" s="1284" t="str">
        <f>IF('数据-取费表'!B22&lt;=1,"单利计息","复利计息")</f>
        <v>复利计息</v>
      </c>
    </row>
    <row r="42" spans="1:7" ht="13.5" customHeight="1">
      <c r="A42" s="946" t="s">
        <v>794</v>
      </c>
      <c r="B42" s="258" t="s">
        <v>1058</v>
      </c>
      <c r="C42" s="281">
        <f ca="1">ROUND(IF('数据-取费表'!B22&lt;=1,C33*F22*'数据-取费表'!B21/2,C33*(POWER((1+F22),'数据-取费表'!B21/2)-1)),0)</f>
        <v>470</v>
      </c>
      <c r="D42" s="281"/>
      <c r="E42" s="281"/>
      <c r="F42" s="282"/>
      <c r="G42" s="3226" t="s">
        <v>121</v>
      </c>
    </row>
    <row r="43" spans="1:7" ht="13.5" customHeight="1">
      <c r="A43" s="946" t="s">
        <v>792</v>
      </c>
      <c r="B43" s="258" t="s">
        <v>1061</v>
      </c>
      <c r="C43" s="281">
        <f ca="1">ROUND(IF('数据-取费表'!B22&lt;=1,C39*F22*'数据-取费表'!B21/2,C39*(POWER((1+F22),'数据-取费表'!B21/2)-1)),0)</f>
        <v>14</v>
      </c>
      <c r="D43" s="281"/>
      <c r="E43" s="281"/>
      <c r="F43" s="282"/>
      <c r="G43" s="3227"/>
    </row>
    <row r="44" spans="1:7" ht="13.5" customHeight="1">
      <c r="A44" s="946" t="s">
        <v>793</v>
      </c>
      <c r="B44" s="258" t="s">
        <v>1063</v>
      </c>
      <c r="C44" s="281">
        <f ca="1">ROUND(IF('数据-取费表'!B22&lt;=1,C40*F22*'数据-取费表'!B21/2,C40*(POWER((1+F22),'数据-取费表'!B21/2)-1)),4)</f>
        <v>8.0000000000000004E-4</v>
      </c>
      <c r="D44" s="281"/>
      <c r="E44" s="281"/>
      <c r="F44" s="282"/>
      <c r="G44" s="3228"/>
    </row>
    <row r="45" spans="1:7" s="257" customFormat="1" ht="13.5" customHeight="1">
      <c r="A45" s="943" t="s">
        <v>786</v>
      </c>
      <c r="B45" s="287" t="s">
        <v>112</v>
      </c>
      <c r="C45" s="288">
        <f>C46</f>
        <v>4494</v>
      </c>
      <c r="D45" s="278">
        <f>C47</f>
        <v>7.1999999999999998E-3</v>
      </c>
      <c r="E45" s="279" t="s">
        <v>129</v>
      </c>
      <c r="F45" s="289"/>
      <c r="G45" s="290" t="s">
        <v>1069</v>
      </c>
    </row>
    <row r="46" spans="1:7" s="257" customFormat="1" ht="13.5" customHeight="1">
      <c r="A46" s="946" t="s">
        <v>794</v>
      </c>
      <c r="B46" s="291" t="s">
        <v>1062</v>
      </c>
      <c r="C46" s="292">
        <f>ROUND((C33+C39)*F27,0)</f>
        <v>4494</v>
      </c>
      <c r="D46" s="306"/>
      <c r="E46" s="279"/>
      <c r="F46" s="289"/>
      <c r="G46" s="290"/>
    </row>
    <row r="47" spans="1:7" s="257" customFormat="1" ht="13.5" customHeight="1">
      <c r="A47" s="946" t="s">
        <v>792</v>
      </c>
      <c r="B47" s="291" t="s">
        <v>1064</v>
      </c>
      <c r="C47" s="281">
        <f>ROUND(C40*F27,4)</f>
        <v>7.1999999999999998E-3</v>
      </c>
      <c r="D47" s="306"/>
      <c r="E47" s="279"/>
      <c r="F47" s="289"/>
      <c r="G47" s="290"/>
    </row>
    <row r="48" spans="1:7" s="257" customFormat="1" ht="13.5" customHeight="1">
      <c r="A48" s="943" t="s">
        <v>787</v>
      </c>
      <c r="B48" s="253" t="s">
        <v>122</v>
      </c>
      <c r="C48" s="305">
        <f>F30</f>
        <v>5.5000000000000007E-2</v>
      </c>
      <c r="D48" s="279" t="s">
        <v>130</v>
      </c>
      <c r="E48" s="275"/>
      <c r="F48" s="280"/>
      <c r="G48" s="277" t="s">
        <v>123</v>
      </c>
    </row>
    <row r="49" spans="1:7" ht="16.5" customHeight="1">
      <c r="A49" s="943" t="s">
        <v>788</v>
      </c>
      <c r="B49" s="253" t="s">
        <v>131</v>
      </c>
      <c r="C49" s="275">
        <f ca="1">ROUND((C33+C39+C41+C45)/(1-C40-D41-D45-C48/(1+'数据-取费表'!B42)),0)</f>
        <v>26056</v>
      </c>
      <c r="D49" s="275"/>
      <c r="E49" s="275"/>
      <c r="F49" s="307"/>
      <c r="G49" s="277" t="s">
        <v>1070</v>
      </c>
    </row>
    <row r="50" spans="1:7" s="301" customFormat="1" ht="24">
      <c r="A50" s="943" t="s">
        <v>789</v>
      </c>
      <c r="B50" s="253" t="s">
        <v>124</v>
      </c>
      <c r="C50" s="275"/>
      <c r="D50" s="275"/>
      <c r="E50" s="275"/>
      <c r="F50" s="307">
        <f>IF('数据-取费表'!B24=0,'数据-取费表'!N16,1)</f>
        <v>1</v>
      </c>
      <c r="G50" s="290" t="s">
        <v>125</v>
      </c>
    </row>
    <row r="51" spans="1:7" ht="16.5" customHeight="1">
      <c r="A51" s="943" t="s">
        <v>790</v>
      </c>
      <c r="B51" s="253" t="s">
        <v>132</v>
      </c>
      <c r="C51" s="275">
        <f ca="1">ROUND(C49*F50,0)</f>
        <v>26056</v>
      </c>
      <c r="D51" s="275"/>
      <c r="E51" s="275"/>
      <c r="F51" s="307"/>
      <c r="G51" s="277" t="s">
        <v>64</v>
      </c>
    </row>
    <row r="52" spans="1:7" s="251" customFormat="1" ht="16.5" thickBot="1">
      <c r="A52" s="308" t="s">
        <v>65</v>
      </c>
      <c r="B52" s="309"/>
      <c r="C52" s="310">
        <f ca="1">C31+C51</f>
        <v>55489</v>
      </c>
      <c r="D52" s="309"/>
      <c r="E52" s="309"/>
      <c r="F52" s="309"/>
      <c r="G52" s="311"/>
    </row>
    <row r="55" spans="1:7" ht="15">
      <c r="B55" s="313" t="s">
        <v>66</v>
      </c>
      <c r="C55" s="314"/>
    </row>
    <row r="56" spans="1:7">
      <c r="B56" s="316" t="s">
        <v>67</v>
      </c>
      <c r="C56" s="317">
        <f ca="1">ROUND(C51/C52,3)</f>
        <v>0.47</v>
      </c>
    </row>
    <row r="57" spans="1:7">
      <c r="B57" s="316" t="s">
        <v>68</v>
      </c>
      <c r="C57" s="318">
        <f ca="1">1-C56</f>
        <v>0.53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69" t="s">
        <v>156</v>
      </c>
      <c r="B1" s="3369"/>
      <c r="C1" s="3369"/>
      <c r="D1" s="3369"/>
      <c r="E1" s="3369"/>
      <c r="F1" s="336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70" t="s">
        <v>169</v>
      </c>
      <c r="B2" s="3370"/>
      <c r="C2" s="3370"/>
      <c r="D2" s="3370"/>
      <c r="E2" s="3370"/>
      <c r="F2" s="337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7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7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69" t="s">
        <v>868</v>
      </c>
      <c r="B1" s="3369"/>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43758</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7" workbookViewId="0">
      <selection activeCell="C40" sqref="C40"/>
    </sheetView>
  </sheetViews>
  <sheetFormatPr defaultRowHeight="13.5"/>
  <cols>
    <col min="5" max="7" width="10.25" bestFit="1" customWidth="1"/>
  </cols>
  <sheetData>
    <row r="1" spans="1:8">
      <c r="A1" s="2965"/>
      <c r="B1" s="2965"/>
      <c r="C1" s="2965">
        <v>2017</v>
      </c>
      <c r="D1" s="2965">
        <v>2018</v>
      </c>
      <c r="E1" s="2966">
        <v>43466</v>
      </c>
      <c r="F1" s="2966">
        <v>43497</v>
      </c>
      <c r="G1" s="2966">
        <v>43525</v>
      </c>
    </row>
    <row r="2" spans="1:8">
      <c r="A2" s="2965" t="s">
        <v>3184</v>
      </c>
      <c r="B2" s="2967" t="s">
        <v>3185</v>
      </c>
      <c r="C2" s="2965">
        <f>3805.90381585817+276</f>
        <v>4081.9038158581702</v>
      </c>
      <c r="D2" s="2965">
        <v>0</v>
      </c>
      <c r="E2" s="2965"/>
      <c r="F2" s="2965"/>
      <c r="G2" s="2965"/>
    </row>
    <row r="3" spans="1:8">
      <c r="A3" s="2965"/>
      <c r="B3" s="2967" t="s">
        <v>3186</v>
      </c>
      <c r="C3" s="2965">
        <f>114.177114475745+6</f>
        <v>120.177114475745</v>
      </c>
      <c r="D3" s="2965">
        <f>973.005074865421+68</f>
        <v>1041.005074865421</v>
      </c>
      <c r="E3" s="2965"/>
      <c r="F3" s="2965">
        <v>52.744792206715765</v>
      </c>
      <c r="G3" s="2965"/>
    </row>
    <row r="4" spans="1:8">
      <c r="A4" s="2965"/>
      <c r="B4" s="2967" t="s">
        <v>3187</v>
      </c>
      <c r="C4" s="2965">
        <v>0</v>
      </c>
      <c r="D4" s="2965">
        <v>203.99999999999991</v>
      </c>
      <c r="E4" s="2965">
        <v>151.57283170587522</v>
      </c>
      <c r="F4" s="2965">
        <v>41.67711864082041</v>
      </c>
      <c r="G4" s="2965">
        <v>200</v>
      </c>
      <c r="H4">
        <f>SUM(C4:G4)</f>
        <v>597.24995034669564</v>
      </c>
    </row>
    <row r="5" spans="1:8">
      <c r="A5" s="2965"/>
      <c r="B5" s="2967" t="s">
        <v>3188</v>
      </c>
      <c r="C5" s="2965">
        <v>2614.4177967328856</v>
      </c>
      <c r="D5" s="2965">
        <f>724.044353267081+178</f>
        <v>902.04435326708096</v>
      </c>
      <c r="E5" s="2965">
        <v>659.82509762160851</v>
      </c>
      <c r="F5" s="2965"/>
      <c r="G5" s="2965"/>
      <c r="H5">
        <f>SUM(C5:G5)</f>
        <v>4176.2872476215753</v>
      </c>
    </row>
    <row r="6" spans="1:8">
      <c r="A6" s="2965"/>
      <c r="B6" s="2967" t="s">
        <v>3189</v>
      </c>
      <c r="C6" s="2965">
        <v>0</v>
      </c>
      <c r="D6" s="2965">
        <v>0</v>
      </c>
      <c r="E6" s="2965">
        <v>108.24576589162193</v>
      </c>
      <c r="F6" s="2965">
        <v>15.293195181094807</v>
      </c>
      <c r="G6" s="2965"/>
    </row>
    <row r="7" spans="1:8">
      <c r="A7" s="2965"/>
      <c r="B7" s="2967" t="s">
        <v>3190</v>
      </c>
      <c r="C7" s="2965">
        <v>0</v>
      </c>
      <c r="D7" s="2965">
        <v>0</v>
      </c>
      <c r="E7" s="2965"/>
      <c r="F7" s="2965"/>
      <c r="G7" s="2965"/>
    </row>
    <row r="8" spans="1:8">
      <c r="A8" s="2965"/>
      <c r="B8" s="2967" t="s">
        <v>3191</v>
      </c>
      <c r="C8" s="2965"/>
      <c r="D8" s="2965">
        <v>0</v>
      </c>
      <c r="E8" s="2965"/>
      <c r="F8" s="2965"/>
      <c r="G8" s="2965"/>
    </row>
    <row r="9" spans="1:8">
      <c r="A9" s="2965"/>
      <c r="B9" s="2967" t="s">
        <v>3131</v>
      </c>
      <c r="C9" s="2965"/>
      <c r="D9" s="2965">
        <v>0</v>
      </c>
      <c r="E9" s="2965"/>
      <c r="F9" s="2965"/>
      <c r="G9" s="2965"/>
    </row>
    <row r="10" spans="1:8">
      <c r="A10" s="2965"/>
      <c r="B10" s="2967" t="s">
        <v>3192</v>
      </c>
      <c r="C10" s="2965"/>
      <c r="D10" s="2965"/>
      <c r="E10" s="2965"/>
      <c r="F10" s="2965"/>
      <c r="G10" s="2965"/>
    </row>
    <row r="11" spans="1:8">
      <c r="A11" s="2965" t="s">
        <v>3193</v>
      </c>
      <c r="B11" s="2967" t="s">
        <v>3185</v>
      </c>
      <c r="C11" s="2965">
        <f>2658.42072024449+583</f>
        <v>3241.42072024449</v>
      </c>
      <c r="D11" s="2965"/>
      <c r="E11" s="2965"/>
      <c r="F11" s="2965"/>
      <c r="G11" s="2965"/>
    </row>
    <row r="12" spans="1:8">
      <c r="A12" s="2965"/>
      <c r="B12" s="2967" t="s">
        <v>3186</v>
      </c>
      <c r="C12" s="2965">
        <f>79.7526216073347+18</f>
        <v>97.752621607334703</v>
      </c>
      <c r="D12" s="2965">
        <f>107+697</f>
        <v>804</v>
      </c>
      <c r="E12" s="2965"/>
      <c r="F12" s="2965"/>
      <c r="G12" s="2965"/>
    </row>
    <row r="13" spans="1:8">
      <c r="A13" s="2965"/>
      <c r="B13" s="2967" t="s">
        <v>3187</v>
      </c>
      <c r="C13" s="2965">
        <v>0</v>
      </c>
      <c r="D13" s="2965">
        <v>100</v>
      </c>
      <c r="E13" s="2965">
        <v>106</v>
      </c>
      <c r="F13" s="2965">
        <v>37</v>
      </c>
      <c r="G13" s="2965">
        <v>197</v>
      </c>
      <c r="H13">
        <f t="shared" ref="H13:H14" si="0">SUM(C13:G13)</f>
        <v>440</v>
      </c>
    </row>
    <row r="14" spans="1:8">
      <c r="A14" s="2965"/>
      <c r="B14" s="2967" t="s">
        <v>3188</v>
      </c>
      <c r="C14" s="2965">
        <f>1844.53637359527+363</f>
        <v>2207.5363735952701</v>
      </c>
      <c r="D14" s="2965">
        <v>398</v>
      </c>
      <c r="E14" s="2965">
        <v>460</v>
      </c>
      <c r="F14" s="2965">
        <v>29</v>
      </c>
      <c r="G14" s="2965"/>
      <c r="H14">
        <f t="shared" si="0"/>
        <v>3094.5363735952701</v>
      </c>
    </row>
    <row r="15" spans="1:8">
      <c r="A15" s="2965"/>
      <c r="B15" s="2967" t="s">
        <v>3189</v>
      </c>
      <c r="C15" s="2965">
        <v>0</v>
      </c>
      <c r="D15" s="2965"/>
      <c r="E15" s="2965">
        <v>75</v>
      </c>
      <c r="F15" s="2965"/>
      <c r="G15" s="2965"/>
    </row>
    <row r="16" spans="1:8">
      <c r="A16" s="2965"/>
      <c r="B16" s="2967" t="s">
        <v>3190</v>
      </c>
      <c r="C16" s="2965">
        <v>0</v>
      </c>
      <c r="D16" s="2965"/>
      <c r="E16" s="2965"/>
      <c r="F16" s="2965">
        <v>11</v>
      </c>
      <c r="G16" s="2965"/>
    </row>
    <row r="17" spans="1:7">
      <c r="A17" s="2965"/>
      <c r="B17" s="2967" t="s">
        <v>3191</v>
      </c>
      <c r="C17" s="2965">
        <v>0</v>
      </c>
      <c r="D17" s="2965"/>
      <c r="E17" s="2965"/>
      <c r="F17" s="2965"/>
      <c r="G17" s="2965"/>
    </row>
    <row r="18" spans="1:7">
      <c r="A18" s="2965"/>
      <c r="B18" s="2967" t="s">
        <v>3131</v>
      </c>
      <c r="C18" s="2965"/>
      <c r="D18" s="2965"/>
      <c r="E18" s="2965"/>
      <c r="F18" s="2965"/>
      <c r="G18" s="2965"/>
    </row>
    <row r="19" spans="1:7">
      <c r="A19" s="2965"/>
      <c r="B19" s="2967" t="s">
        <v>3192</v>
      </c>
      <c r="C19" s="2965"/>
      <c r="D19" s="2965"/>
      <c r="E19" s="2965"/>
      <c r="F19" s="2965"/>
      <c r="G19" s="2965"/>
    </row>
    <row r="20" spans="1:7">
      <c r="A20" s="2965" t="s">
        <v>3194</v>
      </c>
      <c r="B20" s="2967" t="s">
        <v>3185</v>
      </c>
      <c r="C20" s="2965">
        <v>4348.8931862760001</v>
      </c>
      <c r="D20" s="2965"/>
      <c r="E20" s="2965"/>
      <c r="F20" s="2965"/>
      <c r="G20" s="2965"/>
    </row>
    <row r="21" spans="1:7">
      <c r="A21" s="2965"/>
      <c r="B21" s="2967" t="s">
        <v>3186</v>
      </c>
      <c r="C21" s="2965">
        <v>130.46679558828001</v>
      </c>
      <c r="D21" s="2965"/>
      <c r="E21" s="2965"/>
      <c r="F21" s="2965"/>
      <c r="G21" s="2965"/>
    </row>
    <row r="22" spans="1:7">
      <c r="A22" s="2965"/>
      <c r="B22" s="2967" t="s">
        <v>3187</v>
      </c>
      <c r="C22" s="2965">
        <v>0</v>
      </c>
      <c r="D22" s="2965"/>
      <c r="E22" s="2965"/>
      <c r="F22" s="2965"/>
      <c r="G22" s="2965"/>
    </row>
    <row r="23" spans="1:7">
      <c r="A23" s="2965"/>
      <c r="B23" s="2967" t="s">
        <v>3188</v>
      </c>
      <c r="C23" s="2965">
        <v>2938.5888990940985</v>
      </c>
      <c r="D23" s="2965"/>
      <c r="E23" s="2965"/>
      <c r="F23" s="2965"/>
      <c r="G23" s="2965"/>
    </row>
    <row r="24" spans="1:7">
      <c r="A24" s="2965"/>
      <c r="B24" s="2967" t="s">
        <v>3189</v>
      </c>
      <c r="C24" s="2965">
        <v>0</v>
      </c>
      <c r="D24" s="2965"/>
      <c r="E24" s="2965"/>
      <c r="F24" s="2965"/>
      <c r="G24" s="2965"/>
    </row>
    <row r="25" spans="1:7">
      <c r="A25" s="2965"/>
      <c r="B25" s="2967" t="s">
        <v>3190</v>
      </c>
      <c r="C25" s="2965">
        <v>0</v>
      </c>
      <c r="D25" s="2965"/>
      <c r="E25" s="2965"/>
      <c r="F25" s="2965"/>
      <c r="G25" s="2965"/>
    </row>
    <row r="26" spans="1:7">
      <c r="A26" s="2965"/>
      <c r="B26" s="2967" t="s">
        <v>3191</v>
      </c>
      <c r="C26" s="2965">
        <v>0</v>
      </c>
      <c r="D26" s="2965"/>
      <c r="E26" s="2965"/>
      <c r="F26" s="2965"/>
      <c r="G26" s="2965"/>
    </row>
    <row r="27" spans="1:7">
      <c r="A27" s="2965"/>
      <c r="B27" s="2967" t="s">
        <v>3131</v>
      </c>
      <c r="C27" s="2965"/>
      <c r="D27" s="2965"/>
      <c r="E27" s="2965"/>
      <c r="F27" s="2965"/>
      <c r="G27" s="2965"/>
    </row>
    <row r="28" spans="1:7">
      <c r="A28" s="2965"/>
      <c r="B28" s="2967" t="s">
        <v>3192</v>
      </c>
      <c r="C28" s="2965"/>
      <c r="D28" s="2965"/>
      <c r="E28" s="2965"/>
      <c r="F28" s="2965"/>
      <c r="G28" s="2965"/>
    </row>
    <row r="29" spans="1:7">
      <c r="A29" s="2965" t="s">
        <v>3195</v>
      </c>
      <c r="B29" s="2967" t="s">
        <v>3185</v>
      </c>
      <c r="C29" s="2965">
        <v>3171.0674967457999</v>
      </c>
      <c r="D29" s="2965"/>
      <c r="E29" s="2965"/>
      <c r="F29" s="2965"/>
      <c r="G29" s="2965"/>
    </row>
    <row r="30" spans="1:7">
      <c r="A30" s="2965"/>
      <c r="B30" s="2967" t="s">
        <v>3186</v>
      </c>
      <c r="C30" s="2965">
        <v>95.132024902373999</v>
      </c>
      <c r="D30" s="2965"/>
      <c r="E30" s="2965"/>
      <c r="F30" s="2965"/>
      <c r="G30" s="2965"/>
    </row>
    <row r="31" spans="1:7">
      <c r="A31" s="2965"/>
      <c r="B31" s="2967" t="s">
        <v>3187</v>
      </c>
      <c r="C31" s="2965">
        <v>0</v>
      </c>
      <c r="D31" s="2965"/>
      <c r="E31" s="2965"/>
      <c r="F31" s="2965"/>
      <c r="G31" s="2965"/>
    </row>
    <row r="32" spans="1:7">
      <c r="A32" s="2965"/>
      <c r="B32" s="2967" t="s">
        <v>3188</v>
      </c>
      <c r="C32" s="2965">
        <v>2143.1784729952469</v>
      </c>
      <c r="D32" s="2965"/>
      <c r="E32" s="2965"/>
      <c r="F32" s="2965"/>
      <c r="G32" s="2965"/>
    </row>
    <row r="33" spans="1:7">
      <c r="A33" s="2965"/>
      <c r="B33" s="2967" t="s">
        <v>3189</v>
      </c>
      <c r="C33" s="2965">
        <v>0</v>
      </c>
      <c r="D33" s="2965"/>
      <c r="E33" s="2965"/>
      <c r="F33" s="2965"/>
      <c r="G33" s="2965"/>
    </row>
    <row r="34" spans="1:7">
      <c r="A34" s="2965"/>
      <c r="B34" s="2967" t="s">
        <v>3190</v>
      </c>
      <c r="C34" s="2965"/>
      <c r="D34" s="2965"/>
      <c r="E34" s="2965"/>
      <c r="F34" s="2965"/>
      <c r="G34" s="2965"/>
    </row>
    <row r="35" spans="1:7">
      <c r="A35" s="2965"/>
      <c r="B35" s="2967" t="s">
        <v>3191</v>
      </c>
      <c r="C35" s="2965"/>
      <c r="D35" s="2965"/>
      <c r="E35" s="2965"/>
      <c r="F35" s="2965"/>
      <c r="G35" s="2965"/>
    </row>
    <row r="36" spans="1:7">
      <c r="A36" s="2965"/>
      <c r="B36" s="2967" t="s">
        <v>3131</v>
      </c>
      <c r="C36" s="2965"/>
      <c r="D36" s="2965"/>
      <c r="E36" s="2965"/>
      <c r="F36" s="2965"/>
      <c r="G36" s="2965"/>
    </row>
    <row r="37" spans="1:7">
      <c r="A37" s="2965"/>
      <c r="B37" s="2967" t="s">
        <v>3192</v>
      </c>
      <c r="C37" s="2965"/>
      <c r="D37" s="2965"/>
      <c r="E37" s="2965"/>
      <c r="F37" s="2965"/>
      <c r="G37" s="2965"/>
    </row>
    <row r="39" spans="1:7">
      <c r="B39" s="2968" t="str">
        <f>B2</f>
        <v>土地</v>
      </c>
      <c r="C39">
        <f>C2+C11+C20+C29</f>
        <v>14843.28521912446</v>
      </c>
    </row>
    <row r="40" spans="1:7">
      <c r="B40" s="2968" t="str">
        <f>B5</f>
        <v>建安</v>
      </c>
      <c r="C40">
        <f>ROUND(H5+H14,0)</f>
        <v>7271</v>
      </c>
    </row>
    <row r="41" spans="1:7">
      <c r="B41" s="2968" t="str">
        <f>B4</f>
        <v>前期</v>
      </c>
      <c r="C41">
        <f>H4+H13</f>
        <v>1037.2499503466956</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81" zoomScale="85" zoomScaleNormal="85" workbookViewId="0">
      <selection sqref="A1:I726"/>
    </sheetView>
  </sheetViews>
  <sheetFormatPr defaultRowHeight="14.25"/>
  <cols>
    <col min="1" max="2" width="9" style="2976"/>
    <col min="3" max="3" width="10.5" style="2986" bestFit="1" customWidth="1"/>
    <col min="4" max="4" width="11.25" style="2976" bestFit="1" customWidth="1"/>
    <col min="5" max="5" width="9" style="2976"/>
    <col min="6" max="6" width="15.25" style="2976" hidden="1" customWidth="1"/>
    <col min="7" max="7" width="13.75" style="2976" hidden="1" customWidth="1"/>
    <col min="8" max="8" width="11.5" style="2976" customWidth="1"/>
    <col min="9" max="9" width="9" style="2976"/>
    <col min="10" max="10" width="0" style="2976" hidden="1" customWidth="1"/>
    <col min="11" max="11" width="11.25" style="2976" bestFit="1" customWidth="1"/>
    <col min="12" max="12" width="9" style="2991"/>
    <col min="13" max="17" width="9" style="2977"/>
    <col min="18" max="18" width="13.875" style="2977" customWidth="1"/>
    <col min="19" max="31" width="9" style="2977"/>
    <col min="32" max="32" width="9" style="2978"/>
    <col min="33" max="16384" width="9" style="2976"/>
  </cols>
  <sheetData>
    <row r="1" spans="1:32">
      <c r="A1" s="2974" t="s">
        <v>3251</v>
      </c>
      <c r="B1" s="2974" t="s">
        <v>3198</v>
      </c>
      <c r="C1" s="2975" t="s">
        <v>3123</v>
      </c>
      <c r="D1" s="2974" t="s">
        <v>3199</v>
      </c>
      <c r="E1" s="2974" t="s">
        <v>3124</v>
      </c>
      <c r="F1" s="2974" t="s">
        <v>3125</v>
      </c>
      <c r="G1" s="2974" t="s">
        <v>3202</v>
      </c>
      <c r="H1" s="2974" t="s">
        <v>3126</v>
      </c>
      <c r="I1" s="2974" t="s">
        <v>3127</v>
      </c>
      <c r="J1" s="2974" t="s">
        <v>3128</v>
      </c>
      <c r="L1" s="2976"/>
      <c r="M1" s="2976"/>
      <c r="N1" s="2976"/>
      <c r="O1" s="2976"/>
      <c r="P1" s="2976"/>
      <c r="Q1" s="2976"/>
      <c r="R1" s="2976"/>
      <c r="S1" s="2976"/>
      <c r="T1" s="2976"/>
      <c r="U1" s="2976"/>
      <c r="V1" s="2976"/>
      <c r="W1" s="2976"/>
      <c r="X1" s="2976"/>
      <c r="Y1" s="2976"/>
      <c r="Z1" s="2976"/>
      <c r="AA1" s="2976"/>
      <c r="AB1" s="2976"/>
      <c r="AC1" s="2976"/>
      <c r="AD1" s="2976"/>
      <c r="AE1" s="2976"/>
      <c r="AF1" s="2976"/>
    </row>
    <row r="2" spans="1:32">
      <c r="A2" s="2972">
        <v>1</v>
      </c>
      <c r="B2" s="2974" t="s">
        <v>3220</v>
      </c>
      <c r="C2" s="2973" t="s">
        <v>3221</v>
      </c>
      <c r="D2" s="2981" t="s">
        <v>3213</v>
      </c>
      <c r="E2" s="2974">
        <v>101</v>
      </c>
      <c r="F2" s="2980">
        <v>53.82</v>
      </c>
      <c r="G2" s="2979">
        <v>12.25</v>
      </c>
      <c r="H2" s="2979">
        <v>66.069999999999993</v>
      </c>
      <c r="I2" s="2979" t="s">
        <v>3055</v>
      </c>
      <c r="J2" s="2974" t="s">
        <v>3143</v>
      </c>
      <c r="L2" s="2976"/>
      <c r="M2" s="2976"/>
      <c r="N2" s="2976"/>
      <c r="O2" s="2976"/>
      <c r="P2" s="2976"/>
      <c r="Q2" s="2976"/>
      <c r="R2" s="2976"/>
      <c r="S2" s="2976"/>
      <c r="T2" s="2976"/>
      <c r="U2" s="2976"/>
      <c r="V2" s="2976"/>
      <c r="W2" s="2976"/>
      <c r="X2" s="2976"/>
      <c r="Y2" s="2976"/>
      <c r="Z2" s="2976"/>
      <c r="AA2" s="2976"/>
      <c r="AB2" s="2976"/>
      <c r="AC2" s="2976"/>
      <c r="AD2" s="2976"/>
      <c r="AE2" s="2976"/>
      <c r="AF2" s="2976"/>
    </row>
    <row r="3" spans="1:32">
      <c r="A3" s="2972">
        <v>2</v>
      </c>
      <c r="B3" s="2974" t="s">
        <v>3220</v>
      </c>
      <c r="C3" s="2973" t="s">
        <v>3221</v>
      </c>
      <c r="D3" s="2981" t="s">
        <v>3213</v>
      </c>
      <c r="E3" s="2974">
        <v>103</v>
      </c>
      <c r="F3" s="2980">
        <v>56.79</v>
      </c>
      <c r="G3" s="2979">
        <v>12.93</v>
      </c>
      <c r="H3" s="2979">
        <v>69.72</v>
      </c>
      <c r="I3" s="2979" t="s">
        <v>3055</v>
      </c>
      <c r="J3" s="2974" t="s">
        <v>3144</v>
      </c>
      <c r="L3" s="2976"/>
      <c r="M3" s="2976"/>
      <c r="N3" s="2976"/>
      <c r="O3" s="2976"/>
      <c r="P3" s="2976"/>
      <c r="Q3" s="2976"/>
      <c r="R3" s="2976"/>
      <c r="S3" s="2976"/>
      <c r="T3" s="2976"/>
      <c r="U3" s="2976"/>
      <c r="V3" s="2976"/>
      <c r="W3" s="2976"/>
      <c r="X3" s="2976"/>
      <c r="Y3" s="2976"/>
      <c r="Z3" s="2976"/>
      <c r="AA3" s="2976"/>
      <c r="AB3" s="2976"/>
      <c r="AC3" s="2976"/>
      <c r="AD3" s="2976"/>
      <c r="AE3" s="2976"/>
      <c r="AF3" s="2976"/>
    </row>
    <row r="4" spans="1:32">
      <c r="A4" s="2972">
        <v>3</v>
      </c>
      <c r="B4" s="2974" t="s">
        <v>3220</v>
      </c>
      <c r="C4" s="2973" t="s">
        <v>3221</v>
      </c>
      <c r="D4" s="2981" t="s">
        <v>3213</v>
      </c>
      <c r="E4" s="2974">
        <v>105</v>
      </c>
      <c r="F4" s="2980">
        <v>56.66</v>
      </c>
      <c r="G4" s="2979">
        <v>12.9</v>
      </c>
      <c r="H4" s="2979">
        <v>69.56</v>
      </c>
      <c r="I4" s="2979" t="s">
        <v>3055</v>
      </c>
      <c r="J4" s="2974" t="s">
        <v>3144</v>
      </c>
      <c r="L4" s="2976"/>
      <c r="M4" s="2976"/>
      <c r="N4" s="2976"/>
      <c r="O4" s="2976"/>
      <c r="P4" s="2976"/>
      <c r="Q4" s="2976"/>
      <c r="R4" s="2976"/>
      <c r="S4" s="2976"/>
      <c r="T4" s="2976"/>
      <c r="U4" s="2976"/>
      <c r="V4" s="2976"/>
      <c r="W4" s="2976"/>
      <c r="X4" s="2976"/>
      <c r="Y4" s="2976"/>
      <c r="Z4" s="2976"/>
      <c r="AA4" s="2976"/>
      <c r="AB4" s="2976"/>
      <c r="AC4" s="2976"/>
      <c r="AD4" s="2976"/>
      <c r="AE4" s="2976"/>
      <c r="AF4" s="2976"/>
    </row>
    <row r="5" spans="1:32">
      <c r="A5" s="2972">
        <v>4</v>
      </c>
      <c r="B5" s="2974" t="s">
        <v>3220</v>
      </c>
      <c r="C5" s="2973" t="s">
        <v>3221</v>
      </c>
      <c r="D5" s="2981" t="s">
        <v>3213</v>
      </c>
      <c r="E5" s="2974">
        <v>106</v>
      </c>
      <c r="F5" s="2980">
        <v>77.17</v>
      </c>
      <c r="G5" s="2979">
        <v>17.57</v>
      </c>
      <c r="H5" s="2979">
        <v>94.740000000000009</v>
      </c>
      <c r="I5" s="2979" t="s">
        <v>3055</v>
      </c>
      <c r="J5" s="2974" t="s">
        <v>3144</v>
      </c>
      <c r="L5" s="2976"/>
      <c r="M5" s="2976"/>
      <c r="N5" s="2976"/>
      <c r="O5" s="2976"/>
      <c r="P5" s="2976"/>
      <c r="Q5" s="2976"/>
      <c r="R5" s="2976"/>
      <c r="S5" s="2976"/>
      <c r="T5" s="2976"/>
      <c r="U5" s="2976"/>
      <c r="V5" s="2976"/>
      <c r="W5" s="2976"/>
      <c r="X5" s="2976"/>
      <c r="Y5" s="2976"/>
      <c r="Z5" s="2976"/>
      <c r="AA5" s="2976"/>
      <c r="AB5" s="2976"/>
      <c r="AC5" s="2976"/>
      <c r="AD5" s="2976"/>
      <c r="AE5" s="2976"/>
      <c r="AF5" s="2976"/>
    </row>
    <row r="6" spans="1:32">
      <c r="A6" s="2972">
        <v>5</v>
      </c>
      <c r="B6" s="2974" t="s">
        <v>3220</v>
      </c>
      <c r="C6" s="2973" t="s">
        <v>3221</v>
      </c>
      <c r="D6" s="2981" t="s">
        <v>3215</v>
      </c>
      <c r="E6" s="2974">
        <v>101</v>
      </c>
      <c r="F6" s="2980">
        <v>77.17</v>
      </c>
      <c r="G6" s="2979">
        <v>17.57</v>
      </c>
      <c r="H6" s="2979">
        <v>94.740000000000009</v>
      </c>
      <c r="I6" s="2979" t="s">
        <v>3055</v>
      </c>
      <c r="J6" s="2974" t="s">
        <v>3144</v>
      </c>
      <c r="L6" s="2976"/>
      <c r="M6" s="2976"/>
      <c r="N6" s="2976"/>
      <c r="O6" s="2976"/>
      <c r="P6" s="2976"/>
      <c r="Q6" s="2976"/>
      <c r="R6" s="2976"/>
      <c r="S6" s="2976"/>
      <c r="T6" s="2976"/>
      <c r="U6" s="2976"/>
      <c r="V6" s="2976"/>
      <c r="W6" s="2976"/>
      <c r="X6" s="2976"/>
      <c r="Y6" s="2976"/>
      <c r="Z6" s="2976"/>
      <c r="AA6" s="2976"/>
      <c r="AB6" s="2976"/>
      <c r="AC6" s="2976"/>
      <c r="AD6" s="2976"/>
      <c r="AE6" s="2976"/>
      <c r="AF6" s="2976"/>
    </row>
    <row r="7" spans="1:32">
      <c r="A7" s="2972">
        <v>6</v>
      </c>
      <c r="B7" s="2974" t="s">
        <v>3220</v>
      </c>
      <c r="C7" s="2973" t="s">
        <v>3221</v>
      </c>
      <c r="D7" s="2981" t="s">
        <v>3215</v>
      </c>
      <c r="E7" s="2974">
        <v>106</v>
      </c>
      <c r="F7" s="2980">
        <v>53.82</v>
      </c>
      <c r="G7" s="2979">
        <v>12.25</v>
      </c>
      <c r="H7" s="2979">
        <v>66.069999999999993</v>
      </c>
      <c r="I7" s="2979" t="s">
        <v>3055</v>
      </c>
      <c r="J7" s="2974" t="s">
        <v>3143</v>
      </c>
      <c r="L7" s="2976"/>
      <c r="M7" s="2976"/>
      <c r="N7" s="2976"/>
      <c r="O7" s="2976"/>
      <c r="P7" s="2976"/>
      <c r="Q7" s="2976"/>
      <c r="R7" s="2976"/>
      <c r="S7" s="2976"/>
      <c r="T7" s="2976"/>
      <c r="U7" s="2976"/>
      <c r="V7" s="2976"/>
      <c r="W7" s="2976"/>
      <c r="X7" s="2976"/>
      <c r="Y7" s="2976"/>
      <c r="Z7" s="2976"/>
      <c r="AA7" s="2976"/>
      <c r="AB7" s="2976"/>
      <c r="AC7" s="2976"/>
      <c r="AD7" s="2976"/>
      <c r="AE7" s="2976"/>
      <c r="AF7" s="2976"/>
    </row>
    <row r="8" spans="1:32">
      <c r="A8" s="2972">
        <v>7</v>
      </c>
      <c r="B8" s="2974" t="s">
        <v>3220</v>
      </c>
      <c r="C8" s="2973" t="s">
        <v>3222</v>
      </c>
      <c r="D8" s="2981" t="s">
        <v>3213</v>
      </c>
      <c r="E8" s="2974">
        <v>201</v>
      </c>
      <c r="F8" s="2980">
        <v>53.82</v>
      </c>
      <c r="G8" s="2979">
        <v>12.25</v>
      </c>
      <c r="H8" s="2979">
        <v>66.069999999999993</v>
      </c>
      <c r="I8" s="2979" t="s">
        <v>3055</v>
      </c>
      <c r="J8" s="2974" t="s">
        <v>3143</v>
      </c>
      <c r="L8" s="2976"/>
      <c r="M8" s="2976"/>
      <c r="N8" s="2976"/>
      <c r="O8" s="2976"/>
      <c r="P8" s="2976"/>
      <c r="Q8" s="2976"/>
      <c r="R8" s="2976"/>
      <c r="S8" s="2976"/>
      <c r="T8" s="2976"/>
      <c r="U8" s="2976"/>
      <c r="V8" s="2976"/>
      <c r="W8" s="2976"/>
      <c r="X8" s="2976"/>
      <c r="Y8" s="2976"/>
      <c r="Z8" s="2976"/>
      <c r="AA8" s="2976"/>
      <c r="AB8" s="2976"/>
      <c r="AC8" s="2976"/>
      <c r="AD8" s="2976"/>
      <c r="AE8" s="2976"/>
      <c r="AF8" s="2976"/>
    </row>
    <row r="9" spans="1:32">
      <c r="A9" s="2972">
        <v>8</v>
      </c>
      <c r="B9" s="2974" t="s">
        <v>3220</v>
      </c>
      <c r="C9" s="2973" t="s">
        <v>3222</v>
      </c>
      <c r="D9" s="2981" t="s">
        <v>3213</v>
      </c>
      <c r="E9" s="2974">
        <v>202</v>
      </c>
      <c r="F9" s="2980">
        <v>56.66</v>
      </c>
      <c r="G9" s="2979">
        <v>12.9</v>
      </c>
      <c r="H9" s="2979">
        <v>69.56</v>
      </c>
      <c r="I9" s="2979" t="s">
        <v>3055</v>
      </c>
      <c r="J9" s="2974" t="s">
        <v>3144</v>
      </c>
      <c r="L9" s="2976"/>
      <c r="M9" s="2976"/>
      <c r="N9" s="2976"/>
      <c r="O9" s="2976"/>
      <c r="P9" s="2976"/>
      <c r="Q9" s="2976"/>
      <c r="R9" s="2976"/>
      <c r="S9" s="2976"/>
      <c r="T9" s="2976"/>
      <c r="U9" s="2976"/>
      <c r="V9" s="2976"/>
      <c r="W9" s="2976"/>
      <c r="X9" s="2976"/>
      <c r="Y9" s="2976"/>
      <c r="Z9" s="2976"/>
      <c r="AA9" s="2976"/>
      <c r="AB9" s="2976"/>
      <c r="AC9" s="2976"/>
      <c r="AD9" s="2976"/>
      <c r="AE9" s="2976"/>
      <c r="AF9" s="2976"/>
    </row>
    <row r="10" spans="1:32">
      <c r="A10" s="2972">
        <v>9</v>
      </c>
      <c r="B10" s="2974" t="s">
        <v>3220</v>
      </c>
      <c r="C10" s="2973" t="s">
        <v>3222</v>
      </c>
      <c r="D10" s="2981" t="s">
        <v>3213</v>
      </c>
      <c r="E10" s="2974">
        <v>206</v>
      </c>
      <c r="F10" s="2980">
        <v>56.66</v>
      </c>
      <c r="G10" s="2979">
        <v>12.9</v>
      </c>
      <c r="H10" s="2979">
        <v>69.56</v>
      </c>
      <c r="I10" s="2979" t="s">
        <v>3055</v>
      </c>
      <c r="J10" s="2974" t="s">
        <v>3144</v>
      </c>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row>
    <row r="11" spans="1:32">
      <c r="A11" s="2972">
        <v>10</v>
      </c>
      <c r="B11" s="2974" t="s">
        <v>3220</v>
      </c>
      <c r="C11" s="2973" t="s">
        <v>3222</v>
      </c>
      <c r="D11" s="2981" t="s">
        <v>3213</v>
      </c>
      <c r="E11" s="2974">
        <v>207</v>
      </c>
      <c r="F11" s="2980">
        <v>77.17</v>
      </c>
      <c r="G11" s="2979">
        <v>17.57</v>
      </c>
      <c r="H11" s="2979">
        <v>94.740000000000009</v>
      </c>
      <c r="I11" s="2979" t="s">
        <v>3055</v>
      </c>
      <c r="J11" s="2974" t="s">
        <v>3144</v>
      </c>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row>
    <row r="12" spans="1:32">
      <c r="A12" s="2972">
        <v>11</v>
      </c>
      <c r="B12" s="2974" t="s">
        <v>3220</v>
      </c>
      <c r="C12" s="2973" t="s">
        <v>3222</v>
      </c>
      <c r="D12" s="2981" t="s">
        <v>3215</v>
      </c>
      <c r="E12" s="2974">
        <v>201</v>
      </c>
      <c r="F12" s="2980">
        <v>77.17</v>
      </c>
      <c r="G12" s="2979">
        <v>17.57</v>
      </c>
      <c r="H12" s="2979">
        <v>94.740000000000009</v>
      </c>
      <c r="I12" s="2979" t="s">
        <v>3055</v>
      </c>
      <c r="J12" s="2974" t="s">
        <v>3144</v>
      </c>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row>
    <row r="13" spans="1:32">
      <c r="A13" s="2972">
        <v>12</v>
      </c>
      <c r="B13" s="2974" t="s">
        <v>3220</v>
      </c>
      <c r="C13" s="2973" t="s">
        <v>3223</v>
      </c>
      <c r="D13" s="2981" t="s">
        <v>3213</v>
      </c>
      <c r="E13" s="2974">
        <v>301</v>
      </c>
      <c r="F13" s="2980">
        <v>53.82</v>
      </c>
      <c r="G13" s="2979">
        <v>12.25</v>
      </c>
      <c r="H13" s="2979">
        <v>66.069999999999993</v>
      </c>
      <c r="I13" s="2979" t="s">
        <v>3055</v>
      </c>
      <c r="J13" s="2974" t="s">
        <v>3143</v>
      </c>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row>
    <row r="14" spans="1:32">
      <c r="A14" s="2972">
        <v>13</v>
      </c>
      <c r="B14" s="2974" t="s">
        <v>3220</v>
      </c>
      <c r="C14" s="2973" t="s">
        <v>3223</v>
      </c>
      <c r="D14" s="2981" t="s">
        <v>3213</v>
      </c>
      <c r="E14" s="2974">
        <v>303</v>
      </c>
      <c r="F14" s="2980">
        <v>56.81</v>
      </c>
      <c r="G14" s="2979">
        <v>12.94</v>
      </c>
      <c r="H14" s="2979">
        <v>69.75</v>
      </c>
      <c r="I14" s="2979" t="s">
        <v>3055</v>
      </c>
      <c r="J14" s="2974" t="s">
        <v>3144</v>
      </c>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row>
    <row r="15" spans="1:32">
      <c r="A15" s="2972">
        <v>14</v>
      </c>
      <c r="B15" s="2974" t="s">
        <v>3220</v>
      </c>
      <c r="C15" s="2973" t="s">
        <v>3223</v>
      </c>
      <c r="D15" s="2981" t="s">
        <v>3213</v>
      </c>
      <c r="E15" s="2974">
        <v>305</v>
      </c>
      <c r="F15" s="2980">
        <v>56.81</v>
      </c>
      <c r="G15" s="2979">
        <v>12.94</v>
      </c>
      <c r="H15" s="2979">
        <v>69.75</v>
      </c>
      <c r="I15" s="2979" t="s">
        <v>3055</v>
      </c>
      <c r="J15" s="2974" t="s">
        <v>3144</v>
      </c>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row>
    <row r="16" spans="1:32">
      <c r="A16" s="2972">
        <v>15</v>
      </c>
      <c r="B16" s="2974" t="s">
        <v>3220</v>
      </c>
      <c r="C16" s="2973" t="s">
        <v>3223</v>
      </c>
      <c r="D16" s="2981" t="s">
        <v>3213</v>
      </c>
      <c r="E16" s="2974">
        <v>306</v>
      </c>
      <c r="F16" s="2980">
        <v>56.66</v>
      </c>
      <c r="G16" s="2979">
        <v>12.9</v>
      </c>
      <c r="H16" s="2979">
        <v>69.56</v>
      </c>
      <c r="I16" s="2979" t="s">
        <v>3055</v>
      </c>
      <c r="J16" s="2974" t="s">
        <v>3144</v>
      </c>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row>
    <row r="17" spans="1:32">
      <c r="A17" s="2972">
        <v>16</v>
      </c>
      <c r="B17" s="2974" t="s">
        <v>3220</v>
      </c>
      <c r="C17" s="2973" t="s">
        <v>3223</v>
      </c>
      <c r="D17" s="2981" t="s">
        <v>3213</v>
      </c>
      <c r="E17" s="2974">
        <v>307</v>
      </c>
      <c r="F17" s="2980">
        <v>77.17</v>
      </c>
      <c r="G17" s="2979">
        <v>17.57</v>
      </c>
      <c r="H17" s="2979">
        <v>94.740000000000009</v>
      </c>
      <c r="I17" s="2979" t="s">
        <v>3055</v>
      </c>
      <c r="J17" s="2974" t="s">
        <v>3144</v>
      </c>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row>
    <row r="18" spans="1:32">
      <c r="A18" s="2972">
        <v>17</v>
      </c>
      <c r="B18" s="2974" t="s">
        <v>3220</v>
      </c>
      <c r="C18" s="2973" t="s">
        <v>3223</v>
      </c>
      <c r="D18" s="2981" t="s">
        <v>3215</v>
      </c>
      <c r="E18" s="2974">
        <v>302</v>
      </c>
      <c r="F18" s="2980">
        <v>56.66</v>
      </c>
      <c r="G18" s="2979">
        <v>12.9</v>
      </c>
      <c r="H18" s="2979">
        <v>69.56</v>
      </c>
      <c r="I18" s="2979" t="s">
        <v>3055</v>
      </c>
      <c r="J18" s="2974" t="s">
        <v>3144</v>
      </c>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row>
    <row r="19" spans="1:32">
      <c r="A19" s="2972">
        <v>18</v>
      </c>
      <c r="B19" s="2974" t="s">
        <v>3220</v>
      </c>
      <c r="C19" s="2973" t="s">
        <v>3223</v>
      </c>
      <c r="D19" s="2981" t="s">
        <v>3215</v>
      </c>
      <c r="E19" s="2974">
        <v>303</v>
      </c>
      <c r="F19" s="2980">
        <v>56.81</v>
      </c>
      <c r="G19" s="2979">
        <v>12.94</v>
      </c>
      <c r="H19" s="2979">
        <v>69.75</v>
      </c>
      <c r="I19" s="2979" t="s">
        <v>3055</v>
      </c>
      <c r="J19" s="2974" t="s">
        <v>3144</v>
      </c>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row>
    <row r="20" spans="1:32">
      <c r="A20" s="2972">
        <v>19</v>
      </c>
      <c r="B20" s="2974" t="s">
        <v>3220</v>
      </c>
      <c r="C20" s="2973" t="s">
        <v>3223</v>
      </c>
      <c r="D20" s="2981" t="s">
        <v>3215</v>
      </c>
      <c r="E20" s="2974">
        <v>305</v>
      </c>
      <c r="F20" s="2980">
        <v>56.81</v>
      </c>
      <c r="G20" s="2979">
        <v>12.94</v>
      </c>
      <c r="H20" s="2979">
        <v>69.75</v>
      </c>
      <c r="I20" s="2979" t="s">
        <v>3055</v>
      </c>
      <c r="J20" s="2974" t="s">
        <v>3144</v>
      </c>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row>
    <row r="21" spans="1:32">
      <c r="A21" s="2972">
        <v>20</v>
      </c>
      <c r="B21" s="2974" t="s">
        <v>3220</v>
      </c>
      <c r="C21" s="2973" t="s">
        <v>3223</v>
      </c>
      <c r="D21" s="2981" t="s">
        <v>3215</v>
      </c>
      <c r="E21" s="2974">
        <v>306</v>
      </c>
      <c r="F21" s="2980">
        <v>56.66</v>
      </c>
      <c r="G21" s="2979">
        <v>12.9</v>
      </c>
      <c r="H21" s="2979">
        <v>69.56</v>
      </c>
      <c r="I21" s="2979" t="s">
        <v>3055</v>
      </c>
      <c r="J21" s="2974" t="s">
        <v>3144</v>
      </c>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row>
    <row r="22" spans="1:32">
      <c r="A22" s="2972">
        <v>21</v>
      </c>
      <c r="B22" s="2974" t="s">
        <v>3220</v>
      </c>
      <c r="C22" s="2973" t="s">
        <v>3223</v>
      </c>
      <c r="D22" s="2981" t="s">
        <v>3215</v>
      </c>
      <c r="E22" s="2974">
        <v>307</v>
      </c>
      <c r="F22" s="2980">
        <v>53.82</v>
      </c>
      <c r="G22" s="2979">
        <v>12.25</v>
      </c>
      <c r="H22" s="2979">
        <v>66.069999999999993</v>
      </c>
      <c r="I22" s="2979" t="s">
        <v>3055</v>
      </c>
      <c r="J22" s="2974" t="s">
        <v>3143</v>
      </c>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row>
    <row r="23" spans="1:32">
      <c r="A23" s="2972">
        <v>22</v>
      </c>
      <c r="B23" s="2974" t="s">
        <v>3220</v>
      </c>
      <c r="C23" s="2973" t="s">
        <v>3224</v>
      </c>
      <c r="D23" s="2981" t="s">
        <v>3213</v>
      </c>
      <c r="E23" s="2974" t="s">
        <v>3146</v>
      </c>
      <c r="F23" s="2980">
        <v>56.66</v>
      </c>
      <c r="G23" s="2979">
        <v>12.9</v>
      </c>
      <c r="H23" s="2979">
        <v>69.56</v>
      </c>
      <c r="I23" s="2979" t="s">
        <v>3055</v>
      </c>
      <c r="J23" s="2974" t="s">
        <v>3144</v>
      </c>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row>
    <row r="24" spans="1:32">
      <c r="A24" s="2972">
        <v>23</v>
      </c>
      <c r="B24" s="2974" t="s">
        <v>3220</v>
      </c>
      <c r="C24" s="2973" t="s">
        <v>3224</v>
      </c>
      <c r="D24" s="2981" t="s">
        <v>3213</v>
      </c>
      <c r="E24" s="2974" t="s">
        <v>3148</v>
      </c>
      <c r="F24" s="2980">
        <v>56.81</v>
      </c>
      <c r="G24" s="2979">
        <v>12.94</v>
      </c>
      <c r="H24" s="2979">
        <v>69.75</v>
      </c>
      <c r="I24" s="2979" t="s">
        <v>3055</v>
      </c>
      <c r="J24" s="2974" t="s">
        <v>3144</v>
      </c>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row>
    <row r="25" spans="1:32">
      <c r="A25" s="2972">
        <v>24</v>
      </c>
      <c r="B25" s="2974" t="s">
        <v>3220</v>
      </c>
      <c r="C25" s="2973" t="s">
        <v>3224</v>
      </c>
      <c r="D25" s="2981" t="s">
        <v>3213</v>
      </c>
      <c r="E25" s="2974" t="s">
        <v>3149</v>
      </c>
      <c r="F25" s="2980">
        <v>56.66</v>
      </c>
      <c r="G25" s="2979">
        <v>12.9</v>
      </c>
      <c r="H25" s="2979">
        <v>69.56</v>
      </c>
      <c r="I25" s="2979" t="s">
        <v>3055</v>
      </c>
      <c r="J25" s="2974" t="s">
        <v>3144</v>
      </c>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row>
    <row r="26" spans="1:32">
      <c r="A26" s="2972">
        <v>25</v>
      </c>
      <c r="B26" s="2974" t="s">
        <v>3220</v>
      </c>
      <c r="C26" s="2973" t="s">
        <v>3224</v>
      </c>
      <c r="D26" s="2981" t="s">
        <v>3215</v>
      </c>
      <c r="E26" s="2974" t="s">
        <v>3145</v>
      </c>
      <c r="F26" s="2980">
        <v>77.17</v>
      </c>
      <c r="G26" s="2979">
        <v>17.57</v>
      </c>
      <c r="H26" s="2979">
        <v>94.740000000000009</v>
      </c>
      <c r="I26" s="2979" t="s">
        <v>3055</v>
      </c>
      <c r="J26" s="2974" t="s">
        <v>3144</v>
      </c>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row>
    <row r="27" spans="1:32">
      <c r="A27" s="2972">
        <v>26</v>
      </c>
      <c r="B27" s="2974" t="s">
        <v>3220</v>
      </c>
      <c r="C27" s="2973" t="s">
        <v>3224</v>
      </c>
      <c r="D27" s="2981" t="s">
        <v>3215</v>
      </c>
      <c r="E27" s="2974" t="s">
        <v>3146</v>
      </c>
      <c r="F27" s="2980">
        <v>56.66</v>
      </c>
      <c r="G27" s="2979">
        <v>12.9</v>
      </c>
      <c r="H27" s="2979">
        <v>69.56</v>
      </c>
      <c r="I27" s="2979" t="s">
        <v>3055</v>
      </c>
      <c r="J27" s="2974" t="s">
        <v>3144</v>
      </c>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row>
    <row r="28" spans="1:32">
      <c r="A28" s="2972">
        <v>27</v>
      </c>
      <c r="B28" s="2974" t="s">
        <v>3220</v>
      </c>
      <c r="C28" s="2973" t="s">
        <v>3224</v>
      </c>
      <c r="D28" s="2981" t="s">
        <v>3215</v>
      </c>
      <c r="E28" s="2974" t="s">
        <v>3147</v>
      </c>
      <c r="F28" s="2980">
        <v>56.81</v>
      </c>
      <c r="G28" s="2979">
        <v>12.94</v>
      </c>
      <c r="H28" s="2979">
        <v>69.75</v>
      </c>
      <c r="I28" s="2979" t="s">
        <v>3055</v>
      </c>
      <c r="J28" s="2974" t="s">
        <v>3144</v>
      </c>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row>
    <row r="29" spans="1:32">
      <c r="A29" s="2972">
        <v>28</v>
      </c>
      <c r="B29" s="2974" t="s">
        <v>3220</v>
      </c>
      <c r="C29" s="2973" t="s">
        <v>3224</v>
      </c>
      <c r="D29" s="2981" t="s">
        <v>3215</v>
      </c>
      <c r="E29" s="2974" t="s">
        <v>3148</v>
      </c>
      <c r="F29" s="2980">
        <v>56.81</v>
      </c>
      <c r="G29" s="2979">
        <v>12.94</v>
      </c>
      <c r="H29" s="2979">
        <v>69.75</v>
      </c>
      <c r="I29" s="2979" t="s">
        <v>3055</v>
      </c>
      <c r="J29" s="2974" t="s">
        <v>3144</v>
      </c>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row>
    <row r="30" spans="1:32">
      <c r="A30" s="2972">
        <v>29</v>
      </c>
      <c r="B30" s="2974" t="s">
        <v>3220</v>
      </c>
      <c r="C30" s="2973" t="s">
        <v>3224</v>
      </c>
      <c r="D30" s="2981" t="s">
        <v>3215</v>
      </c>
      <c r="E30" s="2974" t="s">
        <v>3150</v>
      </c>
      <c r="F30" s="2980">
        <v>53.82</v>
      </c>
      <c r="G30" s="2979">
        <v>12.25</v>
      </c>
      <c r="H30" s="2979">
        <v>66.069999999999993</v>
      </c>
      <c r="I30" s="2979" t="s">
        <v>3055</v>
      </c>
      <c r="J30" s="2974" t="s">
        <v>3143</v>
      </c>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row>
    <row r="31" spans="1:32">
      <c r="A31" s="2972">
        <v>30</v>
      </c>
      <c r="B31" s="2974" t="s">
        <v>3220</v>
      </c>
      <c r="C31" s="2973" t="s">
        <v>3225</v>
      </c>
      <c r="D31" s="2981" t="s">
        <v>3213</v>
      </c>
      <c r="E31" s="2974">
        <v>502</v>
      </c>
      <c r="F31" s="2980">
        <v>56.66</v>
      </c>
      <c r="G31" s="2979">
        <v>12.9</v>
      </c>
      <c r="H31" s="2979">
        <v>69.56</v>
      </c>
      <c r="I31" s="2979" t="s">
        <v>3055</v>
      </c>
      <c r="J31" s="2974" t="s">
        <v>3144</v>
      </c>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row>
    <row r="32" spans="1:32">
      <c r="A32" s="2972">
        <v>31</v>
      </c>
      <c r="B32" s="2974" t="s">
        <v>3220</v>
      </c>
      <c r="C32" s="2973" t="s">
        <v>3225</v>
      </c>
      <c r="D32" s="2981" t="s">
        <v>3213</v>
      </c>
      <c r="E32" s="2974">
        <v>503</v>
      </c>
      <c r="F32" s="2980">
        <v>56.81</v>
      </c>
      <c r="G32" s="2979">
        <v>12.94</v>
      </c>
      <c r="H32" s="2979">
        <v>69.75</v>
      </c>
      <c r="I32" s="2979" t="s">
        <v>3055</v>
      </c>
      <c r="J32" s="2974" t="s">
        <v>3144</v>
      </c>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row>
    <row r="33" spans="1:32">
      <c r="A33" s="2972">
        <v>32</v>
      </c>
      <c r="B33" s="2974" t="s">
        <v>3220</v>
      </c>
      <c r="C33" s="2973" t="s">
        <v>3225</v>
      </c>
      <c r="D33" s="2981" t="s">
        <v>3213</v>
      </c>
      <c r="E33" s="2974">
        <v>505</v>
      </c>
      <c r="F33" s="2980">
        <v>56.81</v>
      </c>
      <c r="G33" s="2979">
        <v>12.94</v>
      </c>
      <c r="H33" s="2979">
        <v>69.75</v>
      </c>
      <c r="I33" s="2979" t="s">
        <v>3055</v>
      </c>
      <c r="J33" s="2974" t="s">
        <v>3144</v>
      </c>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row>
    <row r="34" spans="1:32">
      <c r="A34" s="2972">
        <v>33</v>
      </c>
      <c r="B34" s="2974" t="s">
        <v>3220</v>
      </c>
      <c r="C34" s="2973" t="s">
        <v>3225</v>
      </c>
      <c r="D34" s="2981" t="s">
        <v>3213</v>
      </c>
      <c r="E34" s="2974">
        <v>506</v>
      </c>
      <c r="F34" s="2980">
        <v>56.66</v>
      </c>
      <c r="G34" s="2979">
        <v>12.9</v>
      </c>
      <c r="H34" s="2979">
        <v>69.56</v>
      </c>
      <c r="I34" s="2979" t="s">
        <v>3055</v>
      </c>
      <c r="J34" s="2974" t="s">
        <v>3144</v>
      </c>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row>
    <row r="35" spans="1:32">
      <c r="A35" s="2972">
        <v>34</v>
      </c>
      <c r="B35" s="2974" t="s">
        <v>3220</v>
      </c>
      <c r="C35" s="2973" t="s">
        <v>3225</v>
      </c>
      <c r="D35" s="2981" t="s">
        <v>3213</v>
      </c>
      <c r="E35" s="2974">
        <v>507</v>
      </c>
      <c r="F35" s="2980">
        <v>77.17</v>
      </c>
      <c r="G35" s="2979">
        <v>17.57</v>
      </c>
      <c r="H35" s="2979">
        <v>94.740000000000009</v>
      </c>
      <c r="I35" s="2979" t="s">
        <v>3055</v>
      </c>
      <c r="J35" s="2974" t="s">
        <v>3144</v>
      </c>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row>
    <row r="36" spans="1:32">
      <c r="A36" s="2972">
        <v>35</v>
      </c>
      <c r="B36" s="2974" t="s">
        <v>3220</v>
      </c>
      <c r="C36" s="2973" t="s">
        <v>3225</v>
      </c>
      <c r="D36" s="2981" t="s">
        <v>3215</v>
      </c>
      <c r="E36" s="2974">
        <v>502</v>
      </c>
      <c r="F36" s="2980">
        <v>56.66</v>
      </c>
      <c r="G36" s="2979">
        <v>12.9</v>
      </c>
      <c r="H36" s="2979">
        <v>69.56</v>
      </c>
      <c r="I36" s="2979" t="s">
        <v>3055</v>
      </c>
      <c r="J36" s="2974" t="s">
        <v>3144</v>
      </c>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row>
    <row r="37" spans="1:32">
      <c r="A37" s="2972">
        <v>36</v>
      </c>
      <c r="B37" s="2974" t="s">
        <v>3220</v>
      </c>
      <c r="C37" s="2973" t="s">
        <v>3225</v>
      </c>
      <c r="D37" s="2981" t="s">
        <v>3215</v>
      </c>
      <c r="E37" s="2974">
        <v>503</v>
      </c>
      <c r="F37" s="2980">
        <v>56.81</v>
      </c>
      <c r="G37" s="2979">
        <v>12.94</v>
      </c>
      <c r="H37" s="2979">
        <v>69.75</v>
      </c>
      <c r="I37" s="2979" t="s">
        <v>3055</v>
      </c>
      <c r="J37" s="2974" t="s">
        <v>3144</v>
      </c>
      <c r="L37" s="2976"/>
      <c r="M37" s="2976"/>
      <c r="N37" s="2976"/>
      <c r="O37" s="2976"/>
      <c r="P37" s="2976"/>
      <c r="Q37" s="2976"/>
      <c r="R37" s="2976"/>
      <c r="S37" s="2976"/>
      <c r="T37" s="2976"/>
      <c r="U37" s="2976"/>
      <c r="V37" s="2976"/>
      <c r="W37" s="2976"/>
      <c r="X37" s="2976"/>
      <c r="Y37" s="2976"/>
      <c r="Z37" s="2976"/>
      <c r="AA37" s="2976"/>
      <c r="AB37" s="2976"/>
      <c r="AC37" s="2976"/>
      <c r="AD37" s="2976"/>
      <c r="AE37" s="2976"/>
      <c r="AF37" s="2976"/>
    </row>
    <row r="38" spans="1:32">
      <c r="A38" s="2972">
        <v>37</v>
      </c>
      <c r="B38" s="2974" t="s">
        <v>3220</v>
      </c>
      <c r="C38" s="2973" t="s">
        <v>3225</v>
      </c>
      <c r="D38" s="2981" t="s">
        <v>3215</v>
      </c>
      <c r="E38" s="2974">
        <v>505</v>
      </c>
      <c r="F38" s="2980">
        <v>56.81</v>
      </c>
      <c r="G38" s="2979">
        <v>12.94</v>
      </c>
      <c r="H38" s="2979">
        <v>69.75</v>
      </c>
      <c r="I38" s="2979" t="s">
        <v>3055</v>
      </c>
      <c r="J38" s="2974" t="s">
        <v>3144</v>
      </c>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row>
    <row r="39" spans="1:32">
      <c r="A39" s="2972">
        <v>38</v>
      </c>
      <c r="B39" s="2974" t="s">
        <v>3220</v>
      </c>
      <c r="C39" s="2973" t="s">
        <v>3225</v>
      </c>
      <c r="D39" s="2981" t="s">
        <v>3215</v>
      </c>
      <c r="E39" s="2974">
        <v>507</v>
      </c>
      <c r="F39" s="2980">
        <v>53.82</v>
      </c>
      <c r="G39" s="2979">
        <v>12.25</v>
      </c>
      <c r="H39" s="2979">
        <v>66.069999999999993</v>
      </c>
      <c r="I39" s="2979" t="s">
        <v>3055</v>
      </c>
      <c r="J39" s="2974" t="s">
        <v>3143</v>
      </c>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row>
    <row r="40" spans="1:32">
      <c r="A40" s="2972">
        <v>39</v>
      </c>
      <c r="B40" s="2974" t="s">
        <v>3220</v>
      </c>
      <c r="C40" s="2973" t="s">
        <v>3226</v>
      </c>
      <c r="D40" s="2981" t="s">
        <v>3213</v>
      </c>
      <c r="E40" s="2974">
        <v>607</v>
      </c>
      <c r="F40" s="2980">
        <v>77.17</v>
      </c>
      <c r="G40" s="2979">
        <v>17.57</v>
      </c>
      <c r="H40" s="2979">
        <v>94.740000000000009</v>
      </c>
      <c r="I40" s="2979" t="s">
        <v>3055</v>
      </c>
      <c r="J40" s="2974" t="s">
        <v>3144</v>
      </c>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row>
    <row r="41" spans="1:32">
      <c r="A41" s="2972">
        <v>40</v>
      </c>
      <c r="B41" s="2974" t="s">
        <v>3220</v>
      </c>
      <c r="C41" s="2973" t="s">
        <v>3226</v>
      </c>
      <c r="D41" s="2981" t="s">
        <v>3215</v>
      </c>
      <c r="E41" s="2974">
        <v>602</v>
      </c>
      <c r="F41" s="2980">
        <v>56.66</v>
      </c>
      <c r="G41" s="2979">
        <v>12.9</v>
      </c>
      <c r="H41" s="2979">
        <v>69.56</v>
      </c>
      <c r="I41" s="2979" t="s">
        <v>3055</v>
      </c>
      <c r="J41" s="2974" t="s">
        <v>3144</v>
      </c>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row>
    <row r="42" spans="1:32">
      <c r="A42" s="2972">
        <v>41</v>
      </c>
      <c r="B42" s="2974" t="s">
        <v>3220</v>
      </c>
      <c r="C42" s="2973" t="s">
        <v>3226</v>
      </c>
      <c r="D42" s="2981" t="s">
        <v>3215</v>
      </c>
      <c r="E42" s="2974">
        <v>607</v>
      </c>
      <c r="F42" s="2980">
        <v>53.82</v>
      </c>
      <c r="G42" s="2979">
        <v>12.25</v>
      </c>
      <c r="H42" s="2979">
        <v>66.069999999999993</v>
      </c>
      <c r="I42" s="2979" t="s">
        <v>3055</v>
      </c>
      <c r="J42" s="2974" t="s">
        <v>3143</v>
      </c>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row>
    <row r="43" spans="1:32">
      <c r="A43" s="2972">
        <v>42</v>
      </c>
      <c r="B43" s="2974" t="s">
        <v>3227</v>
      </c>
      <c r="C43" s="2973" t="s">
        <v>3221</v>
      </c>
      <c r="D43" s="2981" t="s">
        <v>3213</v>
      </c>
      <c r="E43" s="2974">
        <v>101</v>
      </c>
      <c r="F43" s="2974">
        <v>52.63</v>
      </c>
      <c r="G43" s="2979">
        <v>14.6</v>
      </c>
      <c r="H43" s="2979">
        <v>67.23</v>
      </c>
      <c r="I43" s="2979" t="s">
        <v>3055</v>
      </c>
      <c r="J43" s="2974" t="s">
        <v>3143</v>
      </c>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row>
    <row r="44" spans="1:32">
      <c r="A44" s="2972">
        <v>43</v>
      </c>
      <c r="B44" s="2974" t="s">
        <v>3227</v>
      </c>
      <c r="C44" s="2973" t="s">
        <v>3221</v>
      </c>
      <c r="D44" s="2981" t="s">
        <v>3213</v>
      </c>
      <c r="E44" s="2974">
        <v>102</v>
      </c>
      <c r="F44" s="2974">
        <v>67.849999999999994</v>
      </c>
      <c r="G44" s="2979">
        <v>18.82</v>
      </c>
      <c r="H44" s="2979">
        <v>86.669999999999987</v>
      </c>
      <c r="I44" s="2979" t="s">
        <v>3055</v>
      </c>
      <c r="J44" s="2974" t="s">
        <v>3144</v>
      </c>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row>
    <row r="45" spans="1:32">
      <c r="A45" s="2972">
        <v>44</v>
      </c>
      <c r="B45" s="2974" t="s">
        <v>3227</v>
      </c>
      <c r="C45" s="2973" t="s">
        <v>3221</v>
      </c>
      <c r="D45" s="2981" t="s">
        <v>3213</v>
      </c>
      <c r="E45" s="2974">
        <v>103</v>
      </c>
      <c r="F45" s="2974">
        <v>67.849999999999994</v>
      </c>
      <c r="G45" s="2979">
        <v>18.82</v>
      </c>
      <c r="H45" s="2979">
        <v>86.669999999999987</v>
      </c>
      <c r="I45" s="2979" t="s">
        <v>3055</v>
      </c>
      <c r="J45" s="2974" t="s">
        <v>3144</v>
      </c>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row>
    <row r="46" spans="1:32">
      <c r="A46" s="2972">
        <v>45</v>
      </c>
      <c r="B46" s="2974" t="s">
        <v>3227</v>
      </c>
      <c r="C46" s="2973" t="s">
        <v>3221</v>
      </c>
      <c r="D46" s="2981" t="s">
        <v>3213</v>
      </c>
      <c r="E46" s="2974">
        <v>105</v>
      </c>
      <c r="F46" s="2980">
        <v>56.74</v>
      </c>
      <c r="G46" s="2979">
        <v>15.74</v>
      </c>
      <c r="H46" s="2979">
        <v>72.48</v>
      </c>
      <c r="I46" s="2979" t="s">
        <v>3055</v>
      </c>
      <c r="J46" s="2974" t="s">
        <v>3144</v>
      </c>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row>
    <row r="47" spans="1:32">
      <c r="A47" s="2972">
        <v>46</v>
      </c>
      <c r="B47" s="2974" t="s">
        <v>3227</v>
      </c>
      <c r="C47" s="2973" t="s">
        <v>3221</v>
      </c>
      <c r="D47" s="2981" t="s">
        <v>3215</v>
      </c>
      <c r="E47" s="2974">
        <v>101</v>
      </c>
      <c r="F47" s="2974">
        <v>77.27</v>
      </c>
      <c r="G47" s="2979">
        <v>20.04</v>
      </c>
      <c r="H47" s="2979">
        <v>97.31</v>
      </c>
      <c r="I47" s="2979" t="s">
        <v>3055</v>
      </c>
      <c r="J47" s="2974" t="s">
        <v>3144</v>
      </c>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row>
    <row r="48" spans="1:32">
      <c r="A48" s="2972">
        <v>47</v>
      </c>
      <c r="B48" s="2974" t="s">
        <v>3227</v>
      </c>
      <c r="C48" s="2973" t="s">
        <v>3221</v>
      </c>
      <c r="D48" s="2981" t="s">
        <v>3215</v>
      </c>
      <c r="E48" s="2974">
        <v>102</v>
      </c>
      <c r="F48" s="2974">
        <v>67.849999999999994</v>
      </c>
      <c r="G48" s="2979">
        <v>17.600000000000001</v>
      </c>
      <c r="H48" s="2979">
        <v>85.449999999999989</v>
      </c>
      <c r="I48" s="2979" t="s">
        <v>3055</v>
      </c>
      <c r="J48" s="2974" t="s">
        <v>3144</v>
      </c>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row>
    <row r="49" spans="1:32">
      <c r="A49" s="2972">
        <v>48</v>
      </c>
      <c r="B49" s="2974" t="s">
        <v>3227</v>
      </c>
      <c r="C49" s="2973" t="s">
        <v>3221</v>
      </c>
      <c r="D49" s="2981" t="s">
        <v>3215</v>
      </c>
      <c r="E49" s="2974">
        <v>103</v>
      </c>
      <c r="F49" s="2974">
        <v>67.849999999999994</v>
      </c>
      <c r="G49" s="2979">
        <v>17.600000000000001</v>
      </c>
      <c r="H49" s="2979">
        <v>85.449999999999989</v>
      </c>
      <c r="I49" s="2979" t="s">
        <v>3055</v>
      </c>
      <c r="J49" s="2974" t="s">
        <v>3144</v>
      </c>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row>
    <row r="50" spans="1:32">
      <c r="A50" s="2972">
        <v>49</v>
      </c>
      <c r="B50" s="2974" t="s">
        <v>3227</v>
      </c>
      <c r="C50" s="2973" t="s">
        <v>3221</v>
      </c>
      <c r="D50" s="2981" t="s">
        <v>3215</v>
      </c>
      <c r="E50" s="2974">
        <v>105</v>
      </c>
      <c r="F50" s="2980">
        <v>52.63</v>
      </c>
      <c r="G50" s="2979">
        <v>13.65</v>
      </c>
      <c r="H50" s="2979">
        <v>66.28</v>
      </c>
      <c r="I50" s="2979" t="s">
        <v>3055</v>
      </c>
      <c r="J50" s="2974" t="s">
        <v>3143</v>
      </c>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row>
    <row r="51" spans="1:32">
      <c r="A51" s="2972">
        <v>50</v>
      </c>
      <c r="B51" s="2974" t="s">
        <v>3227</v>
      </c>
      <c r="C51" s="2973" t="s">
        <v>3222</v>
      </c>
      <c r="D51" s="2981" t="s">
        <v>3213</v>
      </c>
      <c r="E51" s="2974">
        <v>202</v>
      </c>
      <c r="F51" s="2974">
        <v>67.849999999999994</v>
      </c>
      <c r="G51" s="2979">
        <v>18.82</v>
      </c>
      <c r="H51" s="2979">
        <v>86.669999999999987</v>
      </c>
      <c r="I51" s="2979" t="s">
        <v>3055</v>
      </c>
      <c r="J51" s="2974" t="s">
        <v>3144</v>
      </c>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row>
    <row r="52" spans="1:32">
      <c r="A52" s="2972">
        <v>51</v>
      </c>
      <c r="B52" s="2974" t="s">
        <v>3227</v>
      </c>
      <c r="C52" s="2973" t="s">
        <v>3222</v>
      </c>
      <c r="D52" s="2981" t="s">
        <v>3213</v>
      </c>
      <c r="E52" s="2974">
        <v>203</v>
      </c>
      <c r="F52" s="2974">
        <v>67.849999999999994</v>
      </c>
      <c r="G52" s="2979">
        <v>18.82</v>
      </c>
      <c r="H52" s="2979">
        <v>86.669999999999987</v>
      </c>
      <c r="I52" s="2979" t="s">
        <v>3055</v>
      </c>
      <c r="J52" s="2974" t="s">
        <v>3144</v>
      </c>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row>
    <row r="53" spans="1:32">
      <c r="A53" s="2972">
        <v>52</v>
      </c>
      <c r="B53" s="2974" t="s">
        <v>3227</v>
      </c>
      <c r="C53" s="2973" t="s">
        <v>3222</v>
      </c>
      <c r="D53" s="2981" t="s">
        <v>3215</v>
      </c>
      <c r="E53" s="2974">
        <v>201</v>
      </c>
      <c r="F53" s="2974">
        <v>77.27</v>
      </c>
      <c r="G53" s="2979">
        <v>20.04</v>
      </c>
      <c r="H53" s="2979">
        <v>97.31</v>
      </c>
      <c r="I53" s="2979" t="s">
        <v>3055</v>
      </c>
      <c r="J53" s="2974" t="s">
        <v>3144</v>
      </c>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row>
    <row r="54" spans="1:32">
      <c r="A54" s="2972">
        <v>53</v>
      </c>
      <c r="B54" s="2974" t="s">
        <v>3227</v>
      </c>
      <c r="C54" s="2973" t="s">
        <v>3223</v>
      </c>
      <c r="D54" s="2981" t="s">
        <v>3213</v>
      </c>
      <c r="E54" s="2974">
        <v>302</v>
      </c>
      <c r="F54" s="2974">
        <v>67.849999999999994</v>
      </c>
      <c r="G54" s="2979">
        <v>18.82</v>
      </c>
      <c r="H54" s="2979">
        <v>86.669999999999987</v>
      </c>
      <c r="I54" s="2979" t="s">
        <v>3055</v>
      </c>
      <c r="J54" s="2974" t="s">
        <v>3144</v>
      </c>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row>
    <row r="55" spans="1:32">
      <c r="A55" s="2972">
        <v>54</v>
      </c>
      <c r="B55" s="2974" t="s">
        <v>3227</v>
      </c>
      <c r="C55" s="2973" t="s">
        <v>3223</v>
      </c>
      <c r="D55" s="2981" t="s">
        <v>3213</v>
      </c>
      <c r="E55" s="2974">
        <v>305</v>
      </c>
      <c r="F55" s="2974">
        <v>56.74</v>
      </c>
      <c r="G55" s="2979">
        <v>15.74</v>
      </c>
      <c r="H55" s="2979">
        <v>72.48</v>
      </c>
      <c r="I55" s="2979" t="s">
        <v>3055</v>
      </c>
      <c r="J55" s="2974" t="s">
        <v>3144</v>
      </c>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row>
    <row r="56" spans="1:32">
      <c r="A56" s="2972">
        <v>55</v>
      </c>
      <c r="B56" s="2974" t="s">
        <v>3227</v>
      </c>
      <c r="C56" s="2973" t="s">
        <v>3224</v>
      </c>
      <c r="D56" s="2981" t="s">
        <v>3215</v>
      </c>
      <c r="E56" s="2974" t="s">
        <v>3145</v>
      </c>
      <c r="F56" s="2974">
        <v>77.27</v>
      </c>
      <c r="G56" s="2979">
        <v>20.04</v>
      </c>
      <c r="H56" s="2979">
        <v>97.31</v>
      </c>
      <c r="I56" s="2979" t="s">
        <v>3055</v>
      </c>
      <c r="J56" s="2974" t="s">
        <v>3144</v>
      </c>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row>
    <row r="57" spans="1:32">
      <c r="A57" s="2972">
        <v>56</v>
      </c>
      <c r="B57" s="2974" t="s">
        <v>3227</v>
      </c>
      <c r="C57" s="2973" t="s">
        <v>3224</v>
      </c>
      <c r="D57" s="2981" t="s">
        <v>3215</v>
      </c>
      <c r="E57" s="2974" t="s">
        <v>3148</v>
      </c>
      <c r="F57" s="2974">
        <v>52.63</v>
      </c>
      <c r="G57" s="2979">
        <v>13.65</v>
      </c>
      <c r="H57" s="2979">
        <v>66.28</v>
      </c>
      <c r="I57" s="2979" t="s">
        <v>3055</v>
      </c>
      <c r="J57" s="2974" t="s">
        <v>3143</v>
      </c>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row>
    <row r="58" spans="1:32">
      <c r="A58" s="2972">
        <v>57</v>
      </c>
      <c r="B58" s="2974" t="s">
        <v>3227</v>
      </c>
      <c r="C58" s="2973" t="s">
        <v>3225</v>
      </c>
      <c r="D58" s="2981" t="s">
        <v>3213</v>
      </c>
      <c r="E58" s="2974">
        <v>503</v>
      </c>
      <c r="F58" s="2974">
        <v>67.849999999999994</v>
      </c>
      <c r="G58" s="2979">
        <v>18.82</v>
      </c>
      <c r="H58" s="2979">
        <v>86.669999999999987</v>
      </c>
      <c r="I58" s="2979" t="s">
        <v>3055</v>
      </c>
      <c r="J58" s="2974" t="s">
        <v>3144</v>
      </c>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row>
    <row r="59" spans="1:32">
      <c r="A59" s="2972">
        <v>58</v>
      </c>
      <c r="B59" s="2974" t="s">
        <v>3227</v>
      </c>
      <c r="C59" s="2973" t="s">
        <v>3225</v>
      </c>
      <c r="D59" s="2981" t="s">
        <v>3213</v>
      </c>
      <c r="E59" s="2974">
        <v>505</v>
      </c>
      <c r="F59" s="2974">
        <v>56.74</v>
      </c>
      <c r="G59" s="2979">
        <v>15.74</v>
      </c>
      <c r="H59" s="2979">
        <v>72.48</v>
      </c>
      <c r="I59" s="2979" t="s">
        <v>3055</v>
      </c>
      <c r="J59" s="2974" t="s">
        <v>3144</v>
      </c>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row>
    <row r="60" spans="1:32">
      <c r="A60" s="2972">
        <v>59</v>
      </c>
      <c r="B60" s="2974" t="s">
        <v>3227</v>
      </c>
      <c r="C60" s="2973" t="s">
        <v>3226</v>
      </c>
      <c r="D60" s="2981" t="s">
        <v>3213</v>
      </c>
      <c r="E60" s="2974">
        <v>602</v>
      </c>
      <c r="F60" s="2974">
        <v>67.849999999999994</v>
      </c>
      <c r="G60" s="2979">
        <v>18.82</v>
      </c>
      <c r="H60" s="2979">
        <v>86.669999999999987</v>
      </c>
      <c r="I60" s="2979" t="s">
        <v>3055</v>
      </c>
      <c r="J60" s="2974" t="s">
        <v>3144</v>
      </c>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row>
    <row r="61" spans="1:32">
      <c r="A61" s="2972">
        <v>60</v>
      </c>
      <c r="B61" s="2974" t="s">
        <v>3227</v>
      </c>
      <c r="C61" s="2973" t="s">
        <v>3226</v>
      </c>
      <c r="D61" s="2981" t="s">
        <v>3213</v>
      </c>
      <c r="E61" s="2974">
        <v>603</v>
      </c>
      <c r="F61" s="2974">
        <v>67.849999999999994</v>
      </c>
      <c r="G61" s="2979">
        <v>18.82</v>
      </c>
      <c r="H61" s="2979">
        <v>86.669999999999987</v>
      </c>
      <c r="I61" s="2979" t="s">
        <v>3055</v>
      </c>
      <c r="J61" s="2974" t="s">
        <v>3144</v>
      </c>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row>
    <row r="62" spans="1:32">
      <c r="A62" s="2972">
        <v>61</v>
      </c>
      <c r="B62" s="2974" t="s">
        <v>3227</v>
      </c>
      <c r="C62" s="2973" t="s">
        <v>3226</v>
      </c>
      <c r="D62" s="2981" t="s">
        <v>3215</v>
      </c>
      <c r="E62" s="2974">
        <v>601</v>
      </c>
      <c r="F62" s="2974">
        <v>77.27</v>
      </c>
      <c r="G62" s="2979">
        <v>20.04</v>
      </c>
      <c r="H62" s="2979">
        <v>97.31</v>
      </c>
      <c r="I62" s="2979" t="s">
        <v>3055</v>
      </c>
      <c r="J62" s="2974" t="s">
        <v>3144</v>
      </c>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row>
    <row r="63" spans="1:32">
      <c r="A63" s="2972">
        <v>62</v>
      </c>
      <c r="B63" s="2974" t="s">
        <v>3238</v>
      </c>
      <c r="C63" s="2982" t="s">
        <v>3152</v>
      </c>
      <c r="D63" s="2974" t="s">
        <v>3215</v>
      </c>
      <c r="E63" s="2982">
        <v>101</v>
      </c>
      <c r="F63" s="2983">
        <v>77.27</v>
      </c>
      <c r="G63" s="2979">
        <v>19.77</v>
      </c>
      <c r="H63" s="2979">
        <v>97.039999999999992</v>
      </c>
      <c r="I63" s="2974" t="s">
        <v>3055</v>
      </c>
      <c r="J63" s="2981" t="s">
        <v>3155</v>
      </c>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row>
    <row r="64" spans="1:32">
      <c r="A64" s="2972">
        <v>63</v>
      </c>
      <c r="B64" s="2974" t="s">
        <v>3238</v>
      </c>
      <c r="C64" s="2982" t="s">
        <v>3152</v>
      </c>
      <c r="D64" s="2974" t="s">
        <v>3215</v>
      </c>
      <c r="E64" s="2982">
        <v>102</v>
      </c>
      <c r="F64" s="2983">
        <v>68.87</v>
      </c>
      <c r="G64" s="2979">
        <v>17.62</v>
      </c>
      <c r="H64" s="2979">
        <v>86.490000000000009</v>
      </c>
      <c r="I64" s="2974" t="s">
        <v>3055</v>
      </c>
      <c r="J64" s="2981" t="s">
        <v>3162</v>
      </c>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row>
    <row r="65" spans="1:32">
      <c r="A65" s="2972">
        <v>64</v>
      </c>
      <c r="B65" s="2974" t="s">
        <v>3238</v>
      </c>
      <c r="C65" s="2982" t="s">
        <v>3152</v>
      </c>
      <c r="D65" s="2974" t="s">
        <v>3215</v>
      </c>
      <c r="E65" s="2982">
        <v>103</v>
      </c>
      <c r="F65" s="2983">
        <v>68.87</v>
      </c>
      <c r="G65" s="2979">
        <v>17.62</v>
      </c>
      <c r="H65" s="2979">
        <v>86.490000000000009</v>
      </c>
      <c r="I65" s="2974" t="s">
        <v>3055</v>
      </c>
      <c r="J65" s="2981" t="s">
        <v>3162</v>
      </c>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row>
    <row r="66" spans="1:32">
      <c r="A66" s="2972">
        <v>65</v>
      </c>
      <c r="B66" s="2974" t="s">
        <v>3238</v>
      </c>
      <c r="C66" s="2982" t="s">
        <v>3152</v>
      </c>
      <c r="D66" s="2974" t="s">
        <v>3215</v>
      </c>
      <c r="E66" s="2982">
        <v>105</v>
      </c>
      <c r="F66" s="2983">
        <v>52.98</v>
      </c>
      <c r="G66" s="2979">
        <v>13.56</v>
      </c>
      <c r="H66" s="2979">
        <v>66.539999999999992</v>
      </c>
      <c r="I66" s="2974" t="s">
        <v>3055</v>
      </c>
      <c r="J66" s="2981" t="s">
        <v>3154</v>
      </c>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row>
    <row r="67" spans="1:32">
      <c r="A67" s="2972">
        <v>66</v>
      </c>
      <c r="B67" s="2974" t="s">
        <v>3238</v>
      </c>
      <c r="C67" s="2982" t="s">
        <v>3152</v>
      </c>
      <c r="D67" s="2974" t="s">
        <v>3213</v>
      </c>
      <c r="E67" s="2982">
        <v>106</v>
      </c>
      <c r="F67" s="2983">
        <v>52.98</v>
      </c>
      <c r="G67" s="2979">
        <v>14.49</v>
      </c>
      <c r="H67" s="2979">
        <v>67.47</v>
      </c>
      <c r="I67" s="2974" t="s">
        <v>3055</v>
      </c>
      <c r="J67" s="2981" t="s">
        <v>3154</v>
      </c>
      <c r="L67" s="2976"/>
      <c r="M67" s="2976"/>
      <c r="N67" s="2976"/>
      <c r="O67" s="2976"/>
      <c r="P67" s="2976"/>
      <c r="Q67" s="2976"/>
      <c r="R67" s="2976"/>
      <c r="S67" s="2976"/>
      <c r="T67" s="2976"/>
      <c r="U67" s="2976"/>
      <c r="V67" s="2976"/>
      <c r="W67" s="2976"/>
      <c r="X67" s="2976"/>
      <c r="Y67" s="2976"/>
      <c r="Z67" s="2976"/>
      <c r="AA67" s="2976"/>
      <c r="AB67" s="2976"/>
      <c r="AC67" s="2976"/>
      <c r="AD67" s="2976"/>
      <c r="AE67" s="2976"/>
      <c r="AF67" s="2976"/>
    </row>
    <row r="68" spans="1:32">
      <c r="A68" s="2972">
        <v>67</v>
      </c>
      <c r="B68" s="2974" t="s">
        <v>3238</v>
      </c>
      <c r="C68" s="2982" t="s">
        <v>3152</v>
      </c>
      <c r="D68" s="2974" t="s">
        <v>3213</v>
      </c>
      <c r="E68" s="2982">
        <v>107</v>
      </c>
      <c r="F68" s="2983">
        <v>68.87</v>
      </c>
      <c r="G68" s="2979">
        <v>18.84</v>
      </c>
      <c r="H68" s="2979">
        <v>87.710000000000008</v>
      </c>
      <c r="I68" s="2974" t="s">
        <v>3055</v>
      </c>
      <c r="J68" s="2981" t="s">
        <v>3162</v>
      </c>
      <c r="L68" s="2976"/>
      <c r="M68" s="2976"/>
      <c r="N68" s="2976"/>
      <c r="O68" s="2976"/>
      <c r="P68" s="2976"/>
      <c r="Q68" s="2976"/>
      <c r="R68" s="2976"/>
      <c r="S68" s="2976"/>
      <c r="T68" s="2976"/>
      <c r="U68" s="2976"/>
      <c r="V68" s="2976"/>
      <c r="W68" s="2976"/>
      <c r="X68" s="2976"/>
      <c r="Y68" s="2976"/>
      <c r="Z68" s="2976"/>
      <c r="AA68" s="2976"/>
      <c r="AB68" s="2976"/>
      <c r="AC68" s="2976"/>
      <c r="AD68" s="2976"/>
      <c r="AE68" s="2976"/>
      <c r="AF68" s="2976"/>
    </row>
    <row r="69" spans="1:32">
      <c r="A69" s="2972">
        <v>68</v>
      </c>
      <c r="B69" s="2974" t="s">
        <v>3238</v>
      </c>
      <c r="C69" s="2982" t="s">
        <v>3152</v>
      </c>
      <c r="D69" s="2974" t="s">
        <v>3213</v>
      </c>
      <c r="E69" s="2982">
        <v>108</v>
      </c>
      <c r="F69" s="2983">
        <v>68.87</v>
      </c>
      <c r="G69" s="2979">
        <v>18.84</v>
      </c>
      <c r="H69" s="2979">
        <v>87.710000000000008</v>
      </c>
      <c r="I69" s="2974" t="s">
        <v>3055</v>
      </c>
      <c r="J69" s="2981" t="s">
        <v>3162</v>
      </c>
      <c r="L69" s="2976"/>
      <c r="M69" s="2976"/>
      <c r="N69" s="2976"/>
      <c r="O69" s="2976"/>
      <c r="P69" s="2976"/>
      <c r="Q69" s="2976"/>
      <c r="R69" s="2976"/>
      <c r="S69" s="2976"/>
      <c r="T69" s="2976"/>
      <c r="U69" s="2976"/>
      <c r="V69" s="2976"/>
      <c r="W69" s="2976"/>
      <c r="X69" s="2976"/>
      <c r="Y69" s="2976"/>
      <c r="Z69" s="2976"/>
      <c r="AA69" s="2976"/>
      <c r="AB69" s="2976"/>
      <c r="AC69" s="2976"/>
      <c r="AD69" s="2976"/>
      <c r="AE69" s="2976"/>
      <c r="AF69" s="2976"/>
    </row>
    <row r="70" spans="1:32">
      <c r="A70" s="2972">
        <v>69</v>
      </c>
      <c r="B70" s="2974" t="s">
        <v>3238</v>
      </c>
      <c r="C70" s="2982" t="s">
        <v>3152</v>
      </c>
      <c r="D70" s="2974" t="s">
        <v>3213</v>
      </c>
      <c r="E70" s="2982">
        <v>109</v>
      </c>
      <c r="F70" s="2974">
        <v>56.75</v>
      </c>
      <c r="G70" s="2979">
        <v>15.52</v>
      </c>
      <c r="H70" s="2979">
        <v>72.27</v>
      </c>
      <c r="I70" s="2974" t="s">
        <v>3055</v>
      </c>
      <c r="J70" s="2981" t="s">
        <v>3155</v>
      </c>
      <c r="L70" s="2976"/>
      <c r="M70" s="2976"/>
      <c r="N70" s="2976"/>
      <c r="O70" s="2976"/>
      <c r="P70" s="2976"/>
      <c r="Q70" s="2976"/>
      <c r="R70" s="2976"/>
      <c r="S70" s="2976"/>
      <c r="T70" s="2976"/>
      <c r="U70" s="2976"/>
      <c r="V70" s="2976"/>
      <c r="W70" s="2976"/>
      <c r="X70" s="2976"/>
      <c r="Y70" s="2976"/>
      <c r="Z70" s="2976"/>
      <c r="AA70" s="2976"/>
      <c r="AB70" s="2976"/>
      <c r="AC70" s="2976"/>
      <c r="AD70" s="2976"/>
      <c r="AE70" s="2976"/>
      <c r="AF70" s="2976"/>
    </row>
    <row r="71" spans="1:32">
      <c r="A71" s="2972">
        <v>70</v>
      </c>
      <c r="B71" s="2974" t="s">
        <v>3238</v>
      </c>
      <c r="C71" s="2982" t="s">
        <v>3159</v>
      </c>
      <c r="D71" s="2974" t="s">
        <v>3215</v>
      </c>
      <c r="E71" s="2982">
        <v>201</v>
      </c>
      <c r="F71" s="2983">
        <v>77.27</v>
      </c>
      <c r="G71" s="2979">
        <v>19.77</v>
      </c>
      <c r="H71" s="2979">
        <v>97.039999999999992</v>
      </c>
      <c r="I71" s="2974" t="s">
        <v>3055</v>
      </c>
      <c r="J71" s="2981" t="s">
        <v>3155</v>
      </c>
      <c r="L71" s="2976"/>
      <c r="M71" s="2976"/>
      <c r="N71" s="2976"/>
      <c r="O71" s="2976"/>
      <c r="P71" s="2976"/>
      <c r="Q71" s="2976"/>
      <c r="R71" s="2976"/>
      <c r="S71" s="2976"/>
      <c r="T71" s="2976"/>
      <c r="U71" s="2976"/>
      <c r="V71" s="2976"/>
      <c r="W71" s="2976"/>
      <c r="X71" s="2976"/>
      <c r="Y71" s="2976"/>
      <c r="Z71" s="2976"/>
      <c r="AA71" s="2976"/>
      <c r="AB71" s="2976"/>
      <c r="AC71" s="2976"/>
      <c r="AD71" s="2976"/>
      <c r="AE71" s="2976"/>
      <c r="AF71" s="2976"/>
    </row>
    <row r="72" spans="1:32">
      <c r="A72" s="2972">
        <v>71</v>
      </c>
      <c r="B72" s="2974" t="s">
        <v>3238</v>
      </c>
      <c r="C72" s="2982" t="s">
        <v>3159</v>
      </c>
      <c r="D72" s="2974" t="s">
        <v>3215</v>
      </c>
      <c r="E72" s="2982">
        <v>202</v>
      </c>
      <c r="F72" s="2983">
        <v>68.87</v>
      </c>
      <c r="G72" s="2979">
        <v>17.62</v>
      </c>
      <c r="H72" s="2979">
        <v>86.490000000000009</v>
      </c>
      <c r="I72" s="2974" t="s">
        <v>3055</v>
      </c>
      <c r="J72" s="2981" t="s">
        <v>3162</v>
      </c>
      <c r="L72" s="2976"/>
      <c r="M72" s="2976"/>
      <c r="N72" s="2976"/>
      <c r="O72" s="2976"/>
      <c r="P72" s="2976"/>
      <c r="Q72" s="2976"/>
      <c r="R72" s="2976"/>
      <c r="S72" s="2976"/>
      <c r="T72" s="2976"/>
      <c r="U72" s="2976"/>
      <c r="V72" s="2976"/>
      <c r="W72" s="2976"/>
      <c r="X72" s="2976"/>
      <c r="Y72" s="2976"/>
      <c r="Z72" s="2976"/>
      <c r="AA72" s="2976"/>
      <c r="AB72" s="2976"/>
      <c r="AC72" s="2976"/>
      <c r="AD72" s="2976"/>
      <c r="AE72" s="2976"/>
      <c r="AF72" s="2976"/>
    </row>
    <row r="73" spans="1:32">
      <c r="A73" s="2972">
        <v>72</v>
      </c>
      <c r="B73" s="2974" t="s">
        <v>3238</v>
      </c>
      <c r="C73" s="2982" t="s">
        <v>3159</v>
      </c>
      <c r="D73" s="2974" t="s">
        <v>3215</v>
      </c>
      <c r="E73" s="2982">
        <v>203</v>
      </c>
      <c r="F73" s="2983">
        <v>68.87</v>
      </c>
      <c r="G73" s="2979">
        <v>17.62</v>
      </c>
      <c r="H73" s="2979">
        <v>86.490000000000009</v>
      </c>
      <c r="I73" s="2974" t="s">
        <v>3055</v>
      </c>
      <c r="J73" s="2981" t="s">
        <v>3162</v>
      </c>
      <c r="L73" s="2976"/>
      <c r="M73" s="2976"/>
      <c r="N73" s="2976"/>
      <c r="O73" s="2976"/>
      <c r="P73" s="2976"/>
      <c r="Q73" s="2976"/>
      <c r="R73" s="2976"/>
      <c r="S73" s="2976"/>
      <c r="T73" s="2976"/>
      <c r="U73" s="2976"/>
      <c r="V73" s="2976"/>
      <c r="W73" s="2976"/>
      <c r="X73" s="2976"/>
      <c r="Y73" s="2976"/>
      <c r="Z73" s="2976"/>
      <c r="AA73" s="2976"/>
      <c r="AB73" s="2976"/>
      <c r="AC73" s="2976"/>
      <c r="AD73" s="2976"/>
      <c r="AE73" s="2976"/>
      <c r="AF73" s="2976"/>
    </row>
    <row r="74" spans="1:32">
      <c r="A74" s="2972">
        <v>73</v>
      </c>
      <c r="B74" s="2974" t="s">
        <v>3238</v>
      </c>
      <c r="C74" s="2982" t="s">
        <v>3159</v>
      </c>
      <c r="D74" s="2974" t="s">
        <v>3215</v>
      </c>
      <c r="E74" s="2982">
        <v>205</v>
      </c>
      <c r="F74" s="2983">
        <v>52.98</v>
      </c>
      <c r="G74" s="2979">
        <v>13.56</v>
      </c>
      <c r="H74" s="2979">
        <v>66.539999999999992</v>
      </c>
      <c r="I74" s="2974" t="s">
        <v>3055</v>
      </c>
      <c r="J74" s="2981" t="s">
        <v>3154</v>
      </c>
      <c r="L74" s="2976"/>
      <c r="M74" s="2976"/>
      <c r="N74" s="2976"/>
      <c r="O74" s="2976"/>
      <c r="P74" s="2976"/>
      <c r="Q74" s="2976"/>
      <c r="R74" s="2976"/>
      <c r="S74" s="2976"/>
      <c r="T74" s="2976"/>
      <c r="U74" s="2976"/>
      <c r="V74" s="2976"/>
      <c r="W74" s="2976"/>
      <c r="X74" s="2976"/>
      <c r="Y74" s="2976"/>
      <c r="Z74" s="2976"/>
      <c r="AA74" s="2976"/>
      <c r="AB74" s="2976"/>
      <c r="AC74" s="2976"/>
      <c r="AD74" s="2976"/>
      <c r="AE74" s="2976"/>
      <c r="AF74" s="2976"/>
    </row>
    <row r="75" spans="1:32">
      <c r="A75" s="2972">
        <v>74</v>
      </c>
      <c r="B75" s="2974" t="s">
        <v>3238</v>
      </c>
      <c r="C75" s="2982" t="s">
        <v>3159</v>
      </c>
      <c r="D75" s="2974" t="s">
        <v>3213</v>
      </c>
      <c r="E75" s="2982">
        <v>206</v>
      </c>
      <c r="F75" s="2983">
        <v>52.98</v>
      </c>
      <c r="G75" s="2979">
        <v>14.49</v>
      </c>
      <c r="H75" s="2979">
        <v>67.47</v>
      </c>
      <c r="I75" s="2974" t="s">
        <v>3055</v>
      </c>
      <c r="J75" s="2981" t="s">
        <v>3154</v>
      </c>
      <c r="L75" s="2976"/>
      <c r="M75" s="2976"/>
      <c r="N75" s="2976"/>
      <c r="O75" s="2976"/>
      <c r="P75" s="2976"/>
      <c r="Q75" s="2976"/>
      <c r="R75" s="2976"/>
      <c r="S75" s="2976"/>
      <c r="T75" s="2976"/>
      <c r="U75" s="2976"/>
      <c r="V75" s="2976"/>
      <c r="W75" s="2976"/>
      <c r="X75" s="2976"/>
      <c r="Y75" s="2976"/>
      <c r="Z75" s="2976"/>
      <c r="AA75" s="2976"/>
      <c r="AB75" s="2976"/>
      <c r="AC75" s="2976"/>
      <c r="AD75" s="2976"/>
      <c r="AE75" s="2976"/>
      <c r="AF75" s="2976"/>
    </row>
    <row r="76" spans="1:32">
      <c r="A76" s="2972">
        <v>75</v>
      </c>
      <c r="B76" s="2974" t="s">
        <v>3238</v>
      </c>
      <c r="C76" s="2982" t="s">
        <v>3159</v>
      </c>
      <c r="D76" s="2974" t="s">
        <v>3213</v>
      </c>
      <c r="E76" s="2982">
        <v>207</v>
      </c>
      <c r="F76" s="2983">
        <v>68.87</v>
      </c>
      <c r="G76" s="2979">
        <v>18.84</v>
      </c>
      <c r="H76" s="2979">
        <v>87.710000000000008</v>
      </c>
      <c r="I76" s="2974" t="s">
        <v>3055</v>
      </c>
      <c r="J76" s="2981" t="s">
        <v>3162</v>
      </c>
      <c r="L76" s="2976"/>
      <c r="M76" s="2976"/>
      <c r="N76" s="2976"/>
      <c r="O76" s="2976"/>
      <c r="P76" s="2976"/>
      <c r="Q76" s="2976"/>
      <c r="R76" s="2976"/>
      <c r="S76" s="2976"/>
      <c r="T76" s="2976"/>
      <c r="U76" s="2976"/>
      <c r="V76" s="2976"/>
      <c r="W76" s="2976"/>
      <c r="X76" s="2976"/>
      <c r="Y76" s="2976"/>
      <c r="Z76" s="2976"/>
      <c r="AA76" s="2976"/>
      <c r="AB76" s="2976"/>
      <c r="AC76" s="2976"/>
      <c r="AD76" s="2976"/>
      <c r="AE76" s="2976"/>
      <c r="AF76" s="2976"/>
    </row>
    <row r="77" spans="1:32">
      <c r="A77" s="2972">
        <v>76</v>
      </c>
      <c r="B77" s="2974" t="s">
        <v>3238</v>
      </c>
      <c r="C77" s="2982" t="s">
        <v>3159</v>
      </c>
      <c r="D77" s="2974" t="s">
        <v>3213</v>
      </c>
      <c r="E77" s="2982">
        <v>208</v>
      </c>
      <c r="F77" s="2983">
        <v>68.87</v>
      </c>
      <c r="G77" s="2979">
        <v>18.84</v>
      </c>
      <c r="H77" s="2979">
        <v>87.710000000000008</v>
      </c>
      <c r="I77" s="2974" t="s">
        <v>3055</v>
      </c>
      <c r="J77" s="2981" t="s">
        <v>3162</v>
      </c>
      <c r="L77" s="2976"/>
      <c r="M77" s="2976"/>
      <c r="N77" s="2976"/>
      <c r="O77" s="2976"/>
      <c r="P77" s="2976"/>
      <c r="Q77" s="2976"/>
      <c r="R77" s="2976"/>
      <c r="S77" s="2976"/>
      <c r="T77" s="2976"/>
      <c r="U77" s="2976"/>
      <c r="V77" s="2976"/>
      <c r="W77" s="2976"/>
      <c r="X77" s="2976"/>
      <c r="Y77" s="2976"/>
      <c r="Z77" s="2976"/>
      <c r="AA77" s="2976"/>
      <c r="AB77" s="2976"/>
      <c r="AC77" s="2976"/>
      <c r="AD77" s="2976"/>
      <c r="AE77" s="2976"/>
      <c r="AF77" s="2976"/>
    </row>
    <row r="78" spans="1:32">
      <c r="A78" s="2972">
        <v>77</v>
      </c>
      <c r="B78" s="2974" t="s">
        <v>3238</v>
      </c>
      <c r="C78" s="2982" t="s">
        <v>3159</v>
      </c>
      <c r="D78" s="2974" t="s">
        <v>3213</v>
      </c>
      <c r="E78" s="2982">
        <v>209</v>
      </c>
      <c r="F78" s="2974">
        <v>56.75</v>
      </c>
      <c r="G78" s="2979">
        <v>15.52</v>
      </c>
      <c r="H78" s="2979">
        <v>72.27</v>
      </c>
      <c r="I78" s="2974" t="s">
        <v>3055</v>
      </c>
      <c r="J78" s="2981" t="s">
        <v>3155</v>
      </c>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row>
    <row r="79" spans="1:32">
      <c r="A79" s="2972">
        <v>78</v>
      </c>
      <c r="B79" s="2974" t="s">
        <v>3238</v>
      </c>
      <c r="C79" s="2982" t="s">
        <v>3153</v>
      </c>
      <c r="D79" s="2974" t="s">
        <v>3215</v>
      </c>
      <c r="E79" s="2982">
        <v>301</v>
      </c>
      <c r="F79" s="2983">
        <v>77.27</v>
      </c>
      <c r="G79" s="2979">
        <v>19.77</v>
      </c>
      <c r="H79" s="2979">
        <v>97.039999999999992</v>
      </c>
      <c r="I79" s="2974" t="s">
        <v>3055</v>
      </c>
      <c r="J79" s="2981" t="s">
        <v>3155</v>
      </c>
      <c r="L79" s="2976"/>
      <c r="M79" s="2976"/>
      <c r="N79" s="2976"/>
      <c r="O79" s="2976"/>
      <c r="P79" s="2976"/>
      <c r="Q79" s="2976"/>
      <c r="R79" s="2976"/>
      <c r="S79" s="2976"/>
      <c r="T79" s="2976"/>
      <c r="U79" s="2976"/>
      <c r="V79" s="2976"/>
      <c r="W79" s="2976"/>
      <c r="X79" s="2976"/>
      <c r="Y79" s="2976"/>
      <c r="Z79" s="2976"/>
      <c r="AA79" s="2976"/>
      <c r="AB79" s="2976"/>
      <c r="AC79" s="2976"/>
      <c r="AD79" s="2976"/>
      <c r="AE79" s="2976"/>
      <c r="AF79" s="2976"/>
    </row>
    <row r="80" spans="1:32">
      <c r="A80" s="2972">
        <v>79</v>
      </c>
      <c r="B80" s="2974" t="s">
        <v>3238</v>
      </c>
      <c r="C80" s="2982" t="s">
        <v>3153</v>
      </c>
      <c r="D80" s="2974" t="s">
        <v>3215</v>
      </c>
      <c r="E80" s="2982">
        <v>302</v>
      </c>
      <c r="F80" s="2983">
        <v>68.87</v>
      </c>
      <c r="G80" s="2979">
        <v>17.62</v>
      </c>
      <c r="H80" s="2979">
        <v>86.490000000000009</v>
      </c>
      <c r="I80" s="2974" t="s">
        <v>3055</v>
      </c>
      <c r="J80" s="2981" t="s">
        <v>3162</v>
      </c>
      <c r="L80" s="2976"/>
      <c r="M80" s="2976"/>
      <c r="N80" s="2976"/>
      <c r="O80" s="2976"/>
      <c r="P80" s="2976"/>
      <c r="Q80" s="2976"/>
      <c r="R80" s="2976"/>
      <c r="S80" s="2976"/>
      <c r="T80" s="2976"/>
      <c r="U80" s="2976"/>
      <c r="V80" s="2976"/>
      <c r="W80" s="2976"/>
      <c r="X80" s="2976"/>
      <c r="Y80" s="2976"/>
      <c r="Z80" s="2976"/>
      <c r="AA80" s="2976"/>
      <c r="AB80" s="2976"/>
      <c r="AC80" s="2976"/>
      <c r="AD80" s="2976"/>
      <c r="AE80" s="2976"/>
      <c r="AF80" s="2976"/>
    </row>
    <row r="81" spans="1:32">
      <c r="A81" s="2972">
        <v>80</v>
      </c>
      <c r="B81" s="2974" t="s">
        <v>3238</v>
      </c>
      <c r="C81" s="2982" t="s">
        <v>3153</v>
      </c>
      <c r="D81" s="2974" t="s">
        <v>3215</v>
      </c>
      <c r="E81" s="2982">
        <v>303</v>
      </c>
      <c r="F81" s="2983">
        <v>68.87</v>
      </c>
      <c r="G81" s="2979">
        <v>17.62</v>
      </c>
      <c r="H81" s="2979">
        <v>86.490000000000009</v>
      </c>
      <c r="I81" s="2974" t="s">
        <v>3055</v>
      </c>
      <c r="J81" s="2981" t="s">
        <v>3162</v>
      </c>
      <c r="L81" s="2976"/>
      <c r="M81" s="2976"/>
      <c r="N81" s="2976"/>
      <c r="O81" s="2976"/>
      <c r="P81" s="2976"/>
      <c r="Q81" s="2976"/>
      <c r="R81" s="2976"/>
      <c r="S81" s="2976"/>
      <c r="T81" s="2976"/>
      <c r="U81" s="2976"/>
      <c r="V81" s="2976"/>
      <c r="W81" s="2976"/>
      <c r="X81" s="2976"/>
      <c r="Y81" s="2976"/>
      <c r="Z81" s="2976"/>
      <c r="AA81" s="2976"/>
      <c r="AB81" s="2976"/>
      <c r="AC81" s="2976"/>
      <c r="AD81" s="2976"/>
      <c r="AE81" s="2976"/>
      <c r="AF81" s="2976"/>
    </row>
    <row r="82" spans="1:32">
      <c r="A82" s="2972">
        <v>81</v>
      </c>
      <c r="B82" s="2974" t="s">
        <v>3238</v>
      </c>
      <c r="C82" s="2982" t="s">
        <v>3153</v>
      </c>
      <c r="D82" s="2974" t="s">
        <v>3215</v>
      </c>
      <c r="E82" s="2982">
        <v>305</v>
      </c>
      <c r="F82" s="2983">
        <v>52.98</v>
      </c>
      <c r="G82" s="2979">
        <v>13.56</v>
      </c>
      <c r="H82" s="2979">
        <v>66.539999999999992</v>
      </c>
      <c r="I82" s="2974" t="s">
        <v>3055</v>
      </c>
      <c r="J82" s="2981" t="s">
        <v>3154</v>
      </c>
      <c r="L82" s="2976"/>
      <c r="M82" s="2976"/>
      <c r="N82" s="2976"/>
      <c r="O82" s="2976"/>
      <c r="P82" s="2976"/>
      <c r="Q82" s="2976"/>
      <c r="R82" s="2976"/>
      <c r="S82" s="2976"/>
      <c r="T82" s="2976"/>
      <c r="U82" s="2976"/>
      <c r="V82" s="2976"/>
      <c r="W82" s="2976"/>
      <c r="X82" s="2976"/>
      <c r="Y82" s="2976"/>
      <c r="Z82" s="2976"/>
      <c r="AA82" s="2976"/>
      <c r="AB82" s="2976"/>
      <c r="AC82" s="2976"/>
      <c r="AD82" s="2976"/>
      <c r="AE82" s="2976"/>
      <c r="AF82" s="2976"/>
    </row>
    <row r="83" spans="1:32">
      <c r="A83" s="2972">
        <v>82</v>
      </c>
      <c r="B83" s="2974" t="s">
        <v>3238</v>
      </c>
      <c r="C83" s="2982" t="s">
        <v>3153</v>
      </c>
      <c r="D83" s="2974" t="s">
        <v>3213</v>
      </c>
      <c r="E83" s="2982">
        <v>306</v>
      </c>
      <c r="F83" s="2983">
        <v>52.98</v>
      </c>
      <c r="G83" s="2979">
        <v>14.49</v>
      </c>
      <c r="H83" s="2979">
        <v>67.47</v>
      </c>
      <c r="I83" s="2974" t="s">
        <v>3055</v>
      </c>
      <c r="J83" s="2981" t="s">
        <v>3154</v>
      </c>
      <c r="L83" s="2976"/>
      <c r="M83" s="2976"/>
      <c r="N83" s="2976"/>
      <c r="O83" s="2976"/>
      <c r="P83" s="2976"/>
      <c r="Q83" s="2976"/>
      <c r="R83" s="2976"/>
      <c r="S83" s="2976"/>
      <c r="T83" s="2976"/>
      <c r="U83" s="2976"/>
      <c r="V83" s="2976"/>
      <c r="W83" s="2976"/>
      <c r="X83" s="2976"/>
      <c r="Y83" s="2976"/>
      <c r="Z83" s="2976"/>
      <c r="AA83" s="2976"/>
      <c r="AB83" s="2976"/>
      <c r="AC83" s="2976"/>
      <c r="AD83" s="2976"/>
      <c r="AE83" s="2976"/>
      <c r="AF83" s="2976"/>
    </row>
    <row r="84" spans="1:32">
      <c r="A84" s="2972">
        <v>83</v>
      </c>
      <c r="B84" s="2974" t="s">
        <v>3238</v>
      </c>
      <c r="C84" s="2982" t="s">
        <v>3153</v>
      </c>
      <c r="D84" s="2974" t="s">
        <v>3213</v>
      </c>
      <c r="E84" s="2982">
        <v>307</v>
      </c>
      <c r="F84" s="2983">
        <v>68.87</v>
      </c>
      <c r="G84" s="2979">
        <v>18.84</v>
      </c>
      <c r="H84" s="2979">
        <v>87.710000000000008</v>
      </c>
      <c r="I84" s="2974" t="s">
        <v>3055</v>
      </c>
      <c r="J84" s="2981" t="s">
        <v>3162</v>
      </c>
      <c r="L84" s="2976"/>
      <c r="M84" s="2976"/>
      <c r="N84" s="2976"/>
      <c r="O84" s="2976"/>
      <c r="P84" s="2976"/>
      <c r="Q84" s="2976"/>
      <c r="R84" s="2976"/>
      <c r="S84" s="2976"/>
      <c r="T84" s="2976"/>
      <c r="U84" s="2976"/>
      <c r="V84" s="2976"/>
      <c r="W84" s="2976"/>
      <c r="X84" s="2976"/>
      <c r="Y84" s="2976"/>
      <c r="Z84" s="2976"/>
      <c r="AA84" s="2976"/>
      <c r="AB84" s="2976"/>
      <c r="AC84" s="2976"/>
      <c r="AD84" s="2976"/>
      <c r="AE84" s="2976"/>
      <c r="AF84" s="2976"/>
    </row>
    <row r="85" spans="1:32">
      <c r="A85" s="2972">
        <v>84</v>
      </c>
      <c r="B85" s="2974" t="s">
        <v>3238</v>
      </c>
      <c r="C85" s="2982" t="s">
        <v>3153</v>
      </c>
      <c r="D85" s="2974" t="s">
        <v>3213</v>
      </c>
      <c r="E85" s="2982">
        <v>308</v>
      </c>
      <c r="F85" s="2983">
        <v>68.87</v>
      </c>
      <c r="G85" s="2979">
        <v>18.84</v>
      </c>
      <c r="H85" s="2979">
        <v>87.710000000000008</v>
      </c>
      <c r="I85" s="2974" t="s">
        <v>3055</v>
      </c>
      <c r="J85" s="2981" t="s">
        <v>3162</v>
      </c>
      <c r="L85" s="2976"/>
      <c r="M85" s="2976"/>
      <c r="N85" s="2976"/>
      <c r="O85" s="2976"/>
      <c r="P85" s="2976"/>
      <c r="Q85" s="2976"/>
      <c r="R85" s="2976"/>
      <c r="S85" s="2976"/>
      <c r="T85" s="2976"/>
      <c r="U85" s="2976"/>
      <c r="V85" s="2976"/>
      <c r="W85" s="2976"/>
      <c r="X85" s="2976"/>
      <c r="Y85" s="2976"/>
      <c r="Z85" s="2976"/>
      <c r="AA85" s="2976"/>
      <c r="AB85" s="2976"/>
      <c r="AC85" s="2976"/>
      <c r="AD85" s="2976"/>
      <c r="AE85" s="2976"/>
      <c r="AF85" s="2976"/>
    </row>
    <row r="86" spans="1:32">
      <c r="A86" s="2972">
        <v>85</v>
      </c>
      <c r="B86" s="2974" t="s">
        <v>3238</v>
      </c>
      <c r="C86" s="2982" t="s">
        <v>3153</v>
      </c>
      <c r="D86" s="2974" t="s">
        <v>3213</v>
      </c>
      <c r="E86" s="2982">
        <v>309</v>
      </c>
      <c r="F86" s="2974">
        <v>56.75</v>
      </c>
      <c r="G86" s="2979">
        <v>15.52</v>
      </c>
      <c r="H86" s="2979">
        <v>72.27</v>
      </c>
      <c r="I86" s="2974" t="s">
        <v>3055</v>
      </c>
      <c r="J86" s="2981" t="s">
        <v>3155</v>
      </c>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row>
    <row r="87" spans="1:32">
      <c r="A87" s="2972">
        <v>86</v>
      </c>
      <c r="B87" s="2974" t="s">
        <v>3238</v>
      </c>
      <c r="C87" s="2982" t="s">
        <v>3156</v>
      </c>
      <c r="D87" s="2974" t="s">
        <v>3215</v>
      </c>
      <c r="E87" s="2982" t="s">
        <v>3145</v>
      </c>
      <c r="F87" s="2983">
        <v>77.27</v>
      </c>
      <c r="G87" s="2979">
        <v>19.77</v>
      </c>
      <c r="H87" s="2979">
        <v>97.039999999999992</v>
      </c>
      <c r="I87" s="2974" t="s">
        <v>3055</v>
      </c>
      <c r="J87" s="2981" t="s">
        <v>3155</v>
      </c>
      <c r="L87" s="2976"/>
      <c r="M87" s="2976"/>
      <c r="N87" s="2976"/>
      <c r="O87" s="2976"/>
      <c r="P87" s="2976"/>
      <c r="Q87" s="2976"/>
      <c r="R87" s="2976"/>
      <c r="S87" s="2976"/>
      <c r="T87" s="2976"/>
      <c r="U87" s="2976"/>
      <c r="V87" s="2976"/>
      <c r="W87" s="2976"/>
      <c r="X87" s="2976"/>
      <c r="Y87" s="2976"/>
      <c r="Z87" s="2976"/>
      <c r="AA87" s="2976"/>
      <c r="AB87" s="2976"/>
      <c r="AC87" s="2976"/>
      <c r="AD87" s="2976"/>
      <c r="AE87" s="2976"/>
      <c r="AF87" s="2976"/>
    </row>
    <row r="88" spans="1:32">
      <c r="A88" s="2972">
        <v>87</v>
      </c>
      <c r="B88" s="2974" t="s">
        <v>3238</v>
      </c>
      <c r="C88" s="2982" t="s">
        <v>3156</v>
      </c>
      <c r="D88" s="2974" t="s">
        <v>3215</v>
      </c>
      <c r="E88" s="2982" t="s">
        <v>3146</v>
      </c>
      <c r="F88" s="2983">
        <v>68.87</v>
      </c>
      <c r="G88" s="2979">
        <v>17.62</v>
      </c>
      <c r="H88" s="2979">
        <v>86.490000000000009</v>
      </c>
      <c r="I88" s="2974" t="s">
        <v>3055</v>
      </c>
      <c r="J88" s="2981" t="s">
        <v>3162</v>
      </c>
      <c r="L88" s="2976"/>
      <c r="M88" s="2976"/>
      <c r="N88" s="2976"/>
      <c r="O88" s="2976"/>
      <c r="P88" s="2976"/>
      <c r="Q88" s="2976"/>
      <c r="R88" s="2976"/>
      <c r="S88" s="2976"/>
      <c r="T88" s="2976"/>
      <c r="U88" s="2976"/>
      <c r="V88" s="2976"/>
      <c r="W88" s="2976"/>
      <c r="X88" s="2976"/>
      <c r="Y88" s="2976"/>
      <c r="Z88" s="2976"/>
      <c r="AA88" s="2976"/>
      <c r="AB88" s="2976"/>
      <c r="AC88" s="2976"/>
      <c r="AD88" s="2976"/>
      <c r="AE88" s="2976"/>
      <c r="AF88" s="2976"/>
    </row>
    <row r="89" spans="1:32">
      <c r="A89" s="2972">
        <v>88</v>
      </c>
      <c r="B89" s="2974" t="s">
        <v>3238</v>
      </c>
      <c r="C89" s="2982" t="s">
        <v>3156</v>
      </c>
      <c r="D89" s="2974" t="s">
        <v>3215</v>
      </c>
      <c r="E89" s="2982" t="s">
        <v>3147</v>
      </c>
      <c r="F89" s="2983">
        <v>68.87</v>
      </c>
      <c r="G89" s="2979">
        <v>17.62</v>
      </c>
      <c r="H89" s="2979">
        <v>86.490000000000009</v>
      </c>
      <c r="I89" s="2974" t="s">
        <v>3055</v>
      </c>
      <c r="J89" s="2981" t="s">
        <v>3162</v>
      </c>
      <c r="L89" s="2976"/>
      <c r="M89" s="2976"/>
      <c r="N89" s="2976"/>
      <c r="O89" s="2976"/>
      <c r="P89" s="2976"/>
      <c r="Q89" s="2976"/>
      <c r="R89" s="2976"/>
      <c r="S89" s="2976"/>
      <c r="T89" s="2976"/>
      <c r="U89" s="2976"/>
      <c r="V89" s="2976"/>
      <c r="W89" s="2976"/>
      <c r="X89" s="2976"/>
      <c r="Y89" s="2976"/>
      <c r="Z89" s="2976"/>
      <c r="AA89" s="2976"/>
      <c r="AB89" s="2976"/>
      <c r="AC89" s="2976"/>
      <c r="AD89" s="2976"/>
      <c r="AE89" s="2976"/>
      <c r="AF89" s="2976"/>
    </row>
    <row r="90" spans="1:32">
      <c r="A90" s="2972">
        <v>89</v>
      </c>
      <c r="B90" s="2974" t="s">
        <v>3238</v>
      </c>
      <c r="C90" s="2982" t="s">
        <v>3156</v>
      </c>
      <c r="D90" s="2974" t="s">
        <v>3215</v>
      </c>
      <c r="E90" s="2982" t="s">
        <v>3148</v>
      </c>
      <c r="F90" s="2983">
        <v>52.98</v>
      </c>
      <c r="G90" s="2979">
        <v>13.56</v>
      </c>
      <c r="H90" s="2979">
        <v>66.539999999999992</v>
      </c>
      <c r="I90" s="2974" t="s">
        <v>3055</v>
      </c>
      <c r="J90" s="2981" t="s">
        <v>3154</v>
      </c>
      <c r="L90" s="2976"/>
      <c r="M90" s="2976"/>
      <c r="N90" s="2976"/>
      <c r="O90" s="2976"/>
      <c r="P90" s="2976"/>
      <c r="Q90" s="2976"/>
      <c r="R90" s="2976"/>
      <c r="S90" s="2976"/>
      <c r="T90" s="2976"/>
      <c r="U90" s="2976"/>
      <c r="V90" s="2976"/>
      <c r="W90" s="2976"/>
      <c r="X90" s="2976"/>
      <c r="Y90" s="2976"/>
      <c r="Z90" s="2976"/>
      <c r="AA90" s="2976"/>
      <c r="AB90" s="2976"/>
      <c r="AC90" s="2976"/>
      <c r="AD90" s="2976"/>
      <c r="AE90" s="2976"/>
      <c r="AF90" s="2976"/>
    </row>
    <row r="91" spans="1:32">
      <c r="A91" s="2972">
        <v>90</v>
      </c>
      <c r="B91" s="2974" t="s">
        <v>3238</v>
      </c>
      <c r="C91" s="2982" t="s">
        <v>3156</v>
      </c>
      <c r="D91" s="2974" t="s">
        <v>3213</v>
      </c>
      <c r="E91" s="2982" t="s">
        <v>3149</v>
      </c>
      <c r="F91" s="2983">
        <v>52.98</v>
      </c>
      <c r="G91" s="2979">
        <v>14.49</v>
      </c>
      <c r="H91" s="2979">
        <v>67.47</v>
      </c>
      <c r="I91" s="2974" t="s">
        <v>3055</v>
      </c>
      <c r="J91" s="2981" t="s">
        <v>3154</v>
      </c>
      <c r="L91" s="2976"/>
      <c r="M91" s="2976"/>
      <c r="N91" s="2976"/>
      <c r="O91" s="2976"/>
      <c r="P91" s="2976"/>
      <c r="Q91" s="2976"/>
      <c r="R91" s="2976"/>
      <c r="S91" s="2976"/>
      <c r="T91" s="2976"/>
      <c r="U91" s="2976"/>
      <c r="V91" s="2976"/>
      <c r="W91" s="2976"/>
      <c r="X91" s="2976"/>
      <c r="Y91" s="2976"/>
      <c r="Z91" s="2976"/>
      <c r="AA91" s="2976"/>
      <c r="AB91" s="2976"/>
      <c r="AC91" s="2976"/>
      <c r="AD91" s="2976"/>
      <c r="AE91" s="2976"/>
      <c r="AF91" s="2976"/>
    </row>
    <row r="92" spans="1:32">
      <c r="A92" s="2972">
        <v>91</v>
      </c>
      <c r="B92" s="2974" t="s">
        <v>3238</v>
      </c>
      <c r="C92" s="2982" t="s">
        <v>3156</v>
      </c>
      <c r="D92" s="2974" t="s">
        <v>3213</v>
      </c>
      <c r="E92" s="2982" t="s">
        <v>3150</v>
      </c>
      <c r="F92" s="2983">
        <v>68.87</v>
      </c>
      <c r="G92" s="2979">
        <v>18.84</v>
      </c>
      <c r="H92" s="2979">
        <v>87.710000000000008</v>
      </c>
      <c r="I92" s="2974" t="s">
        <v>3055</v>
      </c>
      <c r="J92" s="2981" t="s">
        <v>3162</v>
      </c>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row>
    <row r="93" spans="1:32">
      <c r="A93" s="2972">
        <v>92</v>
      </c>
      <c r="B93" s="2974" t="s">
        <v>3238</v>
      </c>
      <c r="C93" s="2982" t="s">
        <v>3156</v>
      </c>
      <c r="D93" s="2974" t="s">
        <v>3213</v>
      </c>
      <c r="E93" s="2982" t="s">
        <v>3151</v>
      </c>
      <c r="F93" s="2983">
        <v>68.87</v>
      </c>
      <c r="G93" s="2979">
        <v>18.84</v>
      </c>
      <c r="H93" s="2979">
        <v>87.710000000000008</v>
      </c>
      <c r="I93" s="2974" t="s">
        <v>3055</v>
      </c>
      <c r="J93" s="2981" t="s">
        <v>3162</v>
      </c>
      <c r="L93" s="2976"/>
      <c r="M93" s="2976"/>
      <c r="N93" s="2976"/>
      <c r="O93" s="2976"/>
      <c r="P93" s="2976"/>
      <c r="Q93" s="2976"/>
      <c r="R93" s="2976"/>
      <c r="S93" s="2976"/>
      <c r="T93" s="2976"/>
      <c r="U93" s="2976"/>
      <c r="V93" s="2976"/>
      <c r="W93" s="2976"/>
      <c r="X93" s="2976"/>
      <c r="Y93" s="2976"/>
      <c r="Z93" s="2976"/>
      <c r="AA93" s="2976"/>
      <c r="AB93" s="2976"/>
      <c r="AC93" s="2976"/>
      <c r="AD93" s="2976"/>
      <c r="AE93" s="2976"/>
      <c r="AF93" s="2976"/>
    </row>
    <row r="94" spans="1:32">
      <c r="A94" s="2972">
        <v>93</v>
      </c>
      <c r="B94" s="2974" t="s">
        <v>3238</v>
      </c>
      <c r="C94" s="2982" t="s">
        <v>3156</v>
      </c>
      <c r="D94" s="2974" t="s">
        <v>3213</v>
      </c>
      <c r="E94" s="2982" t="s">
        <v>3163</v>
      </c>
      <c r="F94" s="2974">
        <v>56.75</v>
      </c>
      <c r="G94" s="2979">
        <v>15.52</v>
      </c>
      <c r="H94" s="2979">
        <v>72.27</v>
      </c>
      <c r="I94" s="2974" t="s">
        <v>3055</v>
      </c>
      <c r="J94" s="2981" t="s">
        <v>3155</v>
      </c>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row>
    <row r="95" spans="1:32">
      <c r="A95" s="2972">
        <v>94</v>
      </c>
      <c r="B95" s="2974" t="s">
        <v>3238</v>
      </c>
      <c r="C95" s="2982" t="s">
        <v>3157</v>
      </c>
      <c r="D95" s="2974" t="s">
        <v>3215</v>
      </c>
      <c r="E95" s="2982">
        <v>501</v>
      </c>
      <c r="F95" s="2983">
        <v>77.27</v>
      </c>
      <c r="G95" s="2979">
        <v>19.77</v>
      </c>
      <c r="H95" s="2979">
        <v>97.039999999999992</v>
      </c>
      <c r="I95" s="2974" t="s">
        <v>3055</v>
      </c>
      <c r="J95" s="2981" t="s">
        <v>3155</v>
      </c>
      <c r="L95" s="2976"/>
      <c r="M95" s="2976"/>
      <c r="N95" s="2976"/>
      <c r="O95" s="2976"/>
      <c r="P95" s="2976"/>
      <c r="Q95" s="2976"/>
      <c r="R95" s="2976"/>
      <c r="S95" s="2976"/>
      <c r="T95" s="2976"/>
      <c r="U95" s="2976"/>
      <c r="V95" s="2976"/>
      <c r="W95" s="2976"/>
      <c r="X95" s="2976"/>
      <c r="Y95" s="2976"/>
      <c r="Z95" s="2976"/>
      <c r="AA95" s="2976"/>
      <c r="AB95" s="2976"/>
      <c r="AC95" s="2976"/>
      <c r="AD95" s="2976"/>
      <c r="AE95" s="2976"/>
      <c r="AF95" s="2976"/>
    </row>
    <row r="96" spans="1:32">
      <c r="A96" s="2972">
        <v>95</v>
      </c>
      <c r="B96" s="2974" t="s">
        <v>3238</v>
      </c>
      <c r="C96" s="2982" t="s">
        <v>3157</v>
      </c>
      <c r="D96" s="2974" t="s">
        <v>3215</v>
      </c>
      <c r="E96" s="2982">
        <v>502</v>
      </c>
      <c r="F96" s="2983">
        <v>68.87</v>
      </c>
      <c r="G96" s="2979">
        <v>17.62</v>
      </c>
      <c r="H96" s="2979">
        <v>86.490000000000009</v>
      </c>
      <c r="I96" s="2974" t="s">
        <v>3055</v>
      </c>
      <c r="J96" s="2981" t="s">
        <v>3162</v>
      </c>
      <c r="L96" s="2976"/>
      <c r="M96" s="2976"/>
      <c r="N96" s="2976"/>
      <c r="O96" s="2976"/>
      <c r="P96" s="2976"/>
      <c r="Q96" s="2976"/>
      <c r="R96" s="2976"/>
      <c r="S96" s="2976"/>
      <c r="T96" s="2976"/>
      <c r="U96" s="2976"/>
      <c r="V96" s="2976"/>
      <c r="W96" s="2976"/>
      <c r="X96" s="2976"/>
      <c r="Y96" s="2976"/>
      <c r="Z96" s="2976"/>
      <c r="AA96" s="2976"/>
      <c r="AB96" s="2976"/>
      <c r="AC96" s="2976"/>
      <c r="AD96" s="2976"/>
      <c r="AE96" s="2976"/>
      <c r="AF96" s="2976"/>
    </row>
    <row r="97" spans="1:32">
      <c r="A97" s="2972">
        <v>96</v>
      </c>
      <c r="B97" s="2974" t="s">
        <v>3238</v>
      </c>
      <c r="C97" s="2982" t="s">
        <v>3157</v>
      </c>
      <c r="D97" s="2974" t="s">
        <v>3215</v>
      </c>
      <c r="E97" s="2982">
        <v>503</v>
      </c>
      <c r="F97" s="2983">
        <v>68.87</v>
      </c>
      <c r="G97" s="2979">
        <v>17.62</v>
      </c>
      <c r="H97" s="2979">
        <v>86.490000000000009</v>
      </c>
      <c r="I97" s="2974" t="s">
        <v>3055</v>
      </c>
      <c r="J97" s="2981" t="s">
        <v>3162</v>
      </c>
      <c r="L97" s="2976"/>
      <c r="M97" s="2976"/>
      <c r="N97" s="2976"/>
      <c r="O97" s="2976"/>
      <c r="P97" s="2976"/>
      <c r="Q97" s="2976"/>
      <c r="R97" s="2976"/>
      <c r="S97" s="2976"/>
      <c r="T97" s="2976"/>
      <c r="U97" s="2976"/>
      <c r="V97" s="2976"/>
      <c r="W97" s="2976"/>
      <c r="X97" s="2976"/>
      <c r="Y97" s="2976"/>
      <c r="Z97" s="2976"/>
      <c r="AA97" s="2976"/>
      <c r="AB97" s="2976"/>
      <c r="AC97" s="2976"/>
      <c r="AD97" s="2976"/>
      <c r="AE97" s="2976"/>
      <c r="AF97" s="2976"/>
    </row>
    <row r="98" spans="1:32">
      <c r="A98" s="2972">
        <v>97</v>
      </c>
      <c r="B98" s="2974" t="s">
        <v>3238</v>
      </c>
      <c r="C98" s="2982" t="s">
        <v>3157</v>
      </c>
      <c r="D98" s="2974" t="s">
        <v>3215</v>
      </c>
      <c r="E98" s="2982">
        <v>505</v>
      </c>
      <c r="F98" s="2983">
        <v>52.98</v>
      </c>
      <c r="G98" s="2979">
        <v>13.56</v>
      </c>
      <c r="H98" s="2979">
        <v>66.539999999999992</v>
      </c>
      <c r="I98" s="2974" t="s">
        <v>3055</v>
      </c>
      <c r="J98" s="2981" t="s">
        <v>3154</v>
      </c>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row>
    <row r="99" spans="1:32">
      <c r="A99" s="2972">
        <v>98</v>
      </c>
      <c r="B99" s="2974" t="s">
        <v>3238</v>
      </c>
      <c r="C99" s="2982" t="s">
        <v>3157</v>
      </c>
      <c r="D99" s="2974" t="s">
        <v>3213</v>
      </c>
      <c r="E99" s="2982">
        <v>506</v>
      </c>
      <c r="F99" s="2983">
        <v>52.98</v>
      </c>
      <c r="G99" s="2979">
        <v>14.49</v>
      </c>
      <c r="H99" s="2979">
        <v>67.47</v>
      </c>
      <c r="I99" s="2974" t="s">
        <v>3055</v>
      </c>
      <c r="J99" s="2981" t="s">
        <v>3154</v>
      </c>
      <c r="L99" s="2976"/>
      <c r="M99" s="2976"/>
      <c r="N99" s="2976"/>
      <c r="O99" s="2976"/>
      <c r="P99" s="2976"/>
      <c r="Q99" s="2976"/>
      <c r="R99" s="2976"/>
      <c r="S99" s="2976"/>
      <c r="T99" s="2976"/>
      <c r="U99" s="2976"/>
      <c r="V99" s="2976"/>
      <c r="W99" s="2976"/>
      <c r="X99" s="2976"/>
      <c r="Y99" s="2976"/>
      <c r="Z99" s="2976"/>
      <c r="AA99" s="2976"/>
      <c r="AB99" s="2976"/>
      <c r="AC99" s="2976"/>
      <c r="AD99" s="2976"/>
      <c r="AE99" s="2976"/>
      <c r="AF99" s="2976"/>
    </row>
    <row r="100" spans="1:32">
      <c r="A100" s="2972">
        <v>99</v>
      </c>
      <c r="B100" s="2974" t="s">
        <v>3238</v>
      </c>
      <c r="C100" s="2982" t="s">
        <v>3157</v>
      </c>
      <c r="D100" s="2974" t="s">
        <v>3213</v>
      </c>
      <c r="E100" s="2982">
        <v>507</v>
      </c>
      <c r="F100" s="2983">
        <v>68.87</v>
      </c>
      <c r="G100" s="2979">
        <v>18.84</v>
      </c>
      <c r="H100" s="2979">
        <v>87.710000000000008</v>
      </c>
      <c r="I100" s="2974" t="s">
        <v>3055</v>
      </c>
      <c r="J100" s="2981" t="s">
        <v>3162</v>
      </c>
      <c r="L100" s="2976"/>
      <c r="M100" s="2976"/>
      <c r="N100" s="2976"/>
      <c r="O100" s="2976"/>
      <c r="P100" s="2976"/>
      <c r="Q100" s="2976"/>
      <c r="R100" s="2976"/>
      <c r="S100" s="2976"/>
      <c r="T100" s="2976"/>
      <c r="U100" s="2976"/>
      <c r="V100" s="2976"/>
      <c r="W100" s="2976"/>
      <c r="X100" s="2976"/>
      <c r="Y100" s="2976"/>
      <c r="Z100" s="2976"/>
      <c r="AA100" s="2976"/>
      <c r="AB100" s="2976"/>
      <c r="AC100" s="2976"/>
      <c r="AD100" s="2976"/>
      <c r="AE100" s="2976"/>
      <c r="AF100" s="2976"/>
    </row>
    <row r="101" spans="1:32">
      <c r="A101" s="2972">
        <v>100</v>
      </c>
      <c r="B101" s="2974" t="s">
        <v>3238</v>
      </c>
      <c r="C101" s="2982" t="s">
        <v>3157</v>
      </c>
      <c r="D101" s="2974" t="s">
        <v>3213</v>
      </c>
      <c r="E101" s="2982">
        <v>508</v>
      </c>
      <c r="F101" s="2983">
        <v>68.87</v>
      </c>
      <c r="G101" s="2979">
        <v>18.84</v>
      </c>
      <c r="H101" s="2979">
        <v>87.710000000000008</v>
      </c>
      <c r="I101" s="2974" t="s">
        <v>3055</v>
      </c>
      <c r="J101" s="2981" t="s">
        <v>3162</v>
      </c>
      <c r="L101" s="2976"/>
      <c r="M101" s="2976"/>
      <c r="N101" s="2976"/>
      <c r="O101" s="2976"/>
      <c r="P101" s="2976"/>
      <c r="Q101" s="2976"/>
      <c r="R101" s="2976"/>
      <c r="S101" s="2976"/>
      <c r="T101" s="2976"/>
      <c r="U101" s="2976"/>
      <c r="V101" s="2976"/>
      <c r="W101" s="2976"/>
      <c r="X101" s="2976"/>
      <c r="Y101" s="2976"/>
      <c r="Z101" s="2976"/>
      <c r="AA101" s="2976"/>
      <c r="AB101" s="2976"/>
      <c r="AC101" s="2976"/>
      <c r="AD101" s="2976"/>
      <c r="AE101" s="2976"/>
      <c r="AF101" s="2976"/>
    </row>
    <row r="102" spans="1:32">
      <c r="A102" s="2972">
        <v>101</v>
      </c>
      <c r="B102" s="2974" t="s">
        <v>3238</v>
      </c>
      <c r="C102" s="2982" t="s">
        <v>3157</v>
      </c>
      <c r="D102" s="2974" t="s">
        <v>3213</v>
      </c>
      <c r="E102" s="2982">
        <v>509</v>
      </c>
      <c r="F102" s="2974">
        <v>56.75</v>
      </c>
      <c r="G102" s="2979">
        <v>15.52</v>
      </c>
      <c r="H102" s="2979">
        <v>72.27</v>
      </c>
      <c r="I102" s="2974" t="s">
        <v>3055</v>
      </c>
      <c r="J102" s="2981" t="s">
        <v>3155</v>
      </c>
      <c r="L102" s="2976"/>
      <c r="M102" s="2976"/>
      <c r="N102" s="2976"/>
      <c r="O102" s="2976"/>
      <c r="P102" s="2976"/>
      <c r="Q102" s="2976"/>
      <c r="R102" s="2976"/>
      <c r="S102" s="2976"/>
      <c r="T102" s="2976"/>
      <c r="U102" s="2976"/>
      <c r="V102" s="2976"/>
      <c r="W102" s="2976"/>
      <c r="X102" s="2976"/>
      <c r="Y102" s="2976"/>
      <c r="Z102" s="2976"/>
      <c r="AA102" s="2976"/>
      <c r="AB102" s="2976"/>
      <c r="AC102" s="2976"/>
      <c r="AD102" s="2976"/>
      <c r="AE102" s="2976"/>
      <c r="AF102" s="2976"/>
    </row>
    <row r="103" spans="1:32">
      <c r="A103" s="2972">
        <v>102</v>
      </c>
      <c r="B103" s="2974" t="s">
        <v>3238</v>
      </c>
      <c r="C103" s="2982" t="s">
        <v>3158</v>
      </c>
      <c r="D103" s="2974" t="s">
        <v>3215</v>
      </c>
      <c r="E103" s="2982">
        <v>601</v>
      </c>
      <c r="F103" s="2983">
        <v>77.27</v>
      </c>
      <c r="G103" s="2979">
        <v>19.77</v>
      </c>
      <c r="H103" s="2979">
        <v>97.039999999999992</v>
      </c>
      <c r="I103" s="2974" t="s">
        <v>3055</v>
      </c>
      <c r="J103" s="2981" t="s">
        <v>3155</v>
      </c>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row>
    <row r="104" spans="1:32">
      <c r="A104" s="2972">
        <v>103</v>
      </c>
      <c r="B104" s="2974" t="s">
        <v>3238</v>
      </c>
      <c r="C104" s="2982" t="s">
        <v>3158</v>
      </c>
      <c r="D104" s="2974" t="s">
        <v>3215</v>
      </c>
      <c r="E104" s="2982">
        <v>602</v>
      </c>
      <c r="F104" s="2983">
        <v>68.87</v>
      </c>
      <c r="G104" s="2979">
        <v>17.62</v>
      </c>
      <c r="H104" s="2979">
        <v>86.490000000000009</v>
      </c>
      <c r="I104" s="2974" t="s">
        <v>3055</v>
      </c>
      <c r="J104" s="2981" t="s">
        <v>3162</v>
      </c>
      <c r="L104" s="2976"/>
      <c r="M104" s="2976"/>
      <c r="N104" s="2976"/>
      <c r="O104" s="2976"/>
      <c r="P104" s="2976"/>
      <c r="Q104" s="2976"/>
      <c r="R104" s="2976"/>
      <c r="S104" s="2976"/>
      <c r="T104" s="2976"/>
      <c r="U104" s="2976"/>
      <c r="V104" s="2976"/>
      <c r="W104" s="2976"/>
      <c r="X104" s="2976"/>
      <c r="Y104" s="2976"/>
      <c r="Z104" s="2976"/>
      <c r="AA104" s="2976"/>
      <c r="AB104" s="2976"/>
      <c r="AC104" s="2976"/>
      <c r="AD104" s="2976"/>
      <c r="AE104" s="2976"/>
      <c r="AF104" s="2976"/>
    </row>
    <row r="105" spans="1:32">
      <c r="A105" s="2972">
        <v>104</v>
      </c>
      <c r="B105" s="2974" t="s">
        <v>3238</v>
      </c>
      <c r="C105" s="2982" t="s">
        <v>3158</v>
      </c>
      <c r="D105" s="2974" t="s">
        <v>3215</v>
      </c>
      <c r="E105" s="2982">
        <v>603</v>
      </c>
      <c r="F105" s="2983">
        <v>68.87</v>
      </c>
      <c r="G105" s="2979">
        <v>17.62</v>
      </c>
      <c r="H105" s="2979">
        <v>86.490000000000009</v>
      </c>
      <c r="I105" s="2974" t="s">
        <v>3055</v>
      </c>
      <c r="J105" s="2981" t="s">
        <v>3162</v>
      </c>
      <c r="L105" s="2976"/>
      <c r="M105" s="2976"/>
      <c r="N105" s="2976"/>
      <c r="O105" s="2976"/>
      <c r="P105" s="2976"/>
      <c r="Q105" s="2976"/>
      <c r="R105" s="2976"/>
      <c r="S105" s="2976"/>
      <c r="T105" s="2976"/>
      <c r="U105" s="2976"/>
      <c r="V105" s="2976"/>
      <c r="W105" s="2976"/>
      <c r="X105" s="2976"/>
      <c r="Y105" s="2976"/>
      <c r="Z105" s="2976"/>
      <c r="AA105" s="2976"/>
      <c r="AB105" s="2976"/>
      <c r="AC105" s="2976"/>
      <c r="AD105" s="2976"/>
      <c r="AE105" s="2976"/>
      <c r="AF105" s="2976"/>
    </row>
    <row r="106" spans="1:32">
      <c r="A106" s="2972">
        <v>105</v>
      </c>
      <c r="B106" s="2974" t="s">
        <v>3238</v>
      </c>
      <c r="C106" s="2982" t="s">
        <v>3158</v>
      </c>
      <c r="D106" s="2974" t="s">
        <v>3215</v>
      </c>
      <c r="E106" s="2982">
        <v>605</v>
      </c>
      <c r="F106" s="2983">
        <v>52.98</v>
      </c>
      <c r="G106" s="2979">
        <v>13.56</v>
      </c>
      <c r="H106" s="2979">
        <v>66.539999999999992</v>
      </c>
      <c r="I106" s="2974" t="s">
        <v>3055</v>
      </c>
      <c r="J106" s="2981" t="s">
        <v>3154</v>
      </c>
      <c r="L106" s="2976"/>
      <c r="M106" s="2976"/>
      <c r="N106" s="2976"/>
      <c r="O106" s="2976"/>
      <c r="P106" s="2976"/>
      <c r="Q106" s="2976"/>
      <c r="R106" s="2976"/>
      <c r="S106" s="2976"/>
      <c r="T106" s="2976"/>
      <c r="U106" s="2976"/>
      <c r="V106" s="2976"/>
      <c r="W106" s="2976"/>
      <c r="X106" s="2976"/>
      <c r="Y106" s="2976"/>
      <c r="Z106" s="2976"/>
      <c r="AA106" s="2976"/>
      <c r="AB106" s="2976"/>
      <c r="AC106" s="2976"/>
      <c r="AD106" s="2976"/>
      <c r="AE106" s="2976"/>
      <c r="AF106" s="2976"/>
    </row>
    <row r="107" spans="1:32">
      <c r="A107" s="2972">
        <v>106</v>
      </c>
      <c r="B107" s="2974" t="s">
        <v>3238</v>
      </c>
      <c r="C107" s="2982" t="s">
        <v>3158</v>
      </c>
      <c r="D107" s="2974" t="s">
        <v>3213</v>
      </c>
      <c r="E107" s="2982">
        <v>606</v>
      </c>
      <c r="F107" s="2983">
        <v>52.98</v>
      </c>
      <c r="G107" s="2979">
        <v>14.49</v>
      </c>
      <c r="H107" s="2979">
        <v>67.47</v>
      </c>
      <c r="I107" s="2974" t="s">
        <v>3055</v>
      </c>
      <c r="J107" s="2981" t="s">
        <v>3154</v>
      </c>
      <c r="L107" s="2976"/>
      <c r="M107" s="2976"/>
      <c r="N107" s="2976"/>
      <c r="O107" s="2976"/>
      <c r="P107" s="2976"/>
      <c r="Q107" s="2976"/>
      <c r="R107" s="2976"/>
      <c r="S107" s="2976"/>
      <c r="T107" s="2976"/>
      <c r="U107" s="2976"/>
      <c r="V107" s="2976"/>
      <c r="W107" s="2976"/>
      <c r="X107" s="2976"/>
      <c r="Y107" s="2976"/>
      <c r="Z107" s="2976"/>
      <c r="AA107" s="2976"/>
      <c r="AB107" s="2976"/>
      <c r="AC107" s="2976"/>
      <c r="AD107" s="2976"/>
      <c r="AE107" s="2976"/>
      <c r="AF107" s="2976"/>
    </row>
    <row r="108" spans="1:32">
      <c r="A108" s="2972">
        <v>107</v>
      </c>
      <c r="B108" s="2974" t="s">
        <v>3238</v>
      </c>
      <c r="C108" s="2982" t="s">
        <v>3158</v>
      </c>
      <c r="D108" s="2974" t="s">
        <v>3213</v>
      </c>
      <c r="E108" s="2982">
        <v>607</v>
      </c>
      <c r="F108" s="2983">
        <v>68.87</v>
      </c>
      <c r="G108" s="2979">
        <v>18.84</v>
      </c>
      <c r="H108" s="2979">
        <v>87.710000000000008</v>
      </c>
      <c r="I108" s="2974" t="s">
        <v>3055</v>
      </c>
      <c r="J108" s="2981" t="s">
        <v>3162</v>
      </c>
      <c r="L108" s="2976"/>
      <c r="M108" s="2976"/>
      <c r="N108" s="2976"/>
      <c r="O108" s="2976"/>
      <c r="P108" s="2976"/>
      <c r="Q108" s="2976"/>
      <c r="R108" s="2976"/>
      <c r="S108" s="2976"/>
      <c r="T108" s="2976"/>
      <c r="U108" s="2976"/>
      <c r="V108" s="2976"/>
      <c r="W108" s="2976"/>
      <c r="X108" s="2976"/>
      <c r="Y108" s="2976"/>
      <c r="Z108" s="2976"/>
      <c r="AA108" s="2976"/>
      <c r="AB108" s="2976"/>
      <c r="AC108" s="2976"/>
      <c r="AD108" s="2976"/>
      <c r="AE108" s="2976"/>
      <c r="AF108" s="2976"/>
    </row>
    <row r="109" spans="1:32">
      <c r="A109" s="2972">
        <v>108</v>
      </c>
      <c r="B109" s="2974" t="s">
        <v>3238</v>
      </c>
      <c r="C109" s="2982" t="s">
        <v>3158</v>
      </c>
      <c r="D109" s="2974" t="s">
        <v>3213</v>
      </c>
      <c r="E109" s="2982">
        <v>608</v>
      </c>
      <c r="F109" s="2983">
        <v>68.87</v>
      </c>
      <c r="G109" s="2979">
        <v>18.84</v>
      </c>
      <c r="H109" s="2979">
        <v>87.710000000000008</v>
      </c>
      <c r="I109" s="2974" t="s">
        <v>3055</v>
      </c>
      <c r="J109" s="2981" t="s">
        <v>3162</v>
      </c>
      <c r="L109" s="2976"/>
      <c r="M109" s="2976"/>
      <c r="N109" s="2976"/>
      <c r="O109" s="2976"/>
      <c r="P109" s="2976"/>
      <c r="Q109" s="2976"/>
      <c r="R109" s="2976"/>
      <c r="S109" s="2976"/>
      <c r="T109" s="2976"/>
      <c r="U109" s="2976"/>
      <c r="V109" s="2976"/>
      <c r="W109" s="2976"/>
      <c r="X109" s="2976"/>
      <c r="Y109" s="2976"/>
      <c r="Z109" s="2976"/>
      <c r="AA109" s="2976"/>
      <c r="AB109" s="2976"/>
      <c r="AC109" s="2976"/>
      <c r="AD109" s="2976"/>
      <c r="AE109" s="2976"/>
      <c r="AF109" s="2976"/>
    </row>
    <row r="110" spans="1:32">
      <c r="A110" s="2972">
        <v>109</v>
      </c>
      <c r="B110" s="2974" t="s">
        <v>3238</v>
      </c>
      <c r="C110" s="2982" t="s">
        <v>3158</v>
      </c>
      <c r="D110" s="2974" t="s">
        <v>3213</v>
      </c>
      <c r="E110" s="2982">
        <v>609</v>
      </c>
      <c r="F110" s="2974">
        <v>56.75</v>
      </c>
      <c r="G110" s="2979">
        <v>15.52</v>
      </c>
      <c r="H110" s="2979">
        <v>72.27</v>
      </c>
      <c r="I110" s="2974" t="s">
        <v>3055</v>
      </c>
      <c r="J110" s="2981" t="s">
        <v>3155</v>
      </c>
      <c r="L110" s="2976"/>
      <c r="M110" s="2976"/>
      <c r="N110" s="2976"/>
      <c r="O110" s="2976"/>
      <c r="P110" s="2976"/>
      <c r="Q110" s="2976"/>
      <c r="R110" s="2976"/>
      <c r="S110" s="2976"/>
      <c r="T110" s="2976"/>
      <c r="U110" s="2976"/>
      <c r="V110" s="2976"/>
      <c r="W110" s="2976"/>
      <c r="X110" s="2976"/>
      <c r="Y110" s="2976"/>
      <c r="Z110" s="2976"/>
      <c r="AA110" s="2976"/>
      <c r="AB110" s="2976"/>
      <c r="AC110" s="2976"/>
      <c r="AD110" s="2976"/>
      <c r="AE110" s="2976"/>
      <c r="AF110" s="2976"/>
    </row>
    <row r="111" spans="1:32">
      <c r="A111" s="2972">
        <v>110</v>
      </c>
      <c r="B111" s="2974" t="s">
        <v>3239</v>
      </c>
      <c r="C111" s="2982" t="s">
        <v>3153</v>
      </c>
      <c r="D111" s="2974" t="s">
        <v>3215</v>
      </c>
      <c r="E111" s="2982">
        <v>301</v>
      </c>
      <c r="F111" s="2983">
        <v>77.27</v>
      </c>
      <c r="G111" s="2979">
        <v>20.25</v>
      </c>
      <c r="H111" s="2979">
        <v>97.52</v>
      </c>
      <c r="I111" s="2974" t="s">
        <v>3055</v>
      </c>
      <c r="J111" s="2981" t="s">
        <v>3155</v>
      </c>
      <c r="L111" s="2976"/>
      <c r="M111" s="2976"/>
      <c r="N111" s="2976"/>
      <c r="O111" s="2976"/>
      <c r="P111" s="2976"/>
      <c r="Q111" s="2976"/>
      <c r="R111" s="2976"/>
      <c r="S111" s="2976"/>
      <c r="T111" s="2976"/>
      <c r="U111" s="2976"/>
      <c r="V111" s="2976"/>
      <c r="W111" s="2976"/>
      <c r="X111" s="2976"/>
      <c r="Y111" s="2976"/>
      <c r="Z111" s="2976"/>
      <c r="AA111" s="2976"/>
      <c r="AB111" s="2976"/>
      <c r="AC111" s="2976"/>
      <c r="AD111" s="2976"/>
      <c r="AE111" s="2976"/>
      <c r="AF111" s="2976"/>
    </row>
    <row r="112" spans="1:32">
      <c r="A112" s="2972">
        <v>111</v>
      </c>
      <c r="B112" s="2974" t="s">
        <v>3239</v>
      </c>
      <c r="C112" s="2982" t="s">
        <v>3153</v>
      </c>
      <c r="D112" s="2974" t="s">
        <v>3215</v>
      </c>
      <c r="E112" s="2982">
        <v>302</v>
      </c>
      <c r="F112" s="2983">
        <v>56.75</v>
      </c>
      <c r="G112" s="2979">
        <v>14.87</v>
      </c>
      <c r="H112" s="2979">
        <v>71.62</v>
      </c>
      <c r="I112" s="2974" t="s">
        <v>3055</v>
      </c>
      <c r="J112" s="2981" t="s">
        <v>3155</v>
      </c>
      <c r="L112" s="2976"/>
      <c r="M112" s="2976"/>
      <c r="N112" s="2976"/>
      <c r="O112" s="2976"/>
      <c r="P112" s="2976"/>
      <c r="Q112" s="2976"/>
      <c r="R112" s="2976"/>
      <c r="S112" s="2976"/>
      <c r="T112" s="2976"/>
      <c r="U112" s="2976"/>
      <c r="V112" s="2976"/>
      <c r="W112" s="2976"/>
      <c r="X112" s="2976"/>
      <c r="Y112" s="2976"/>
      <c r="Z112" s="2976"/>
      <c r="AA112" s="2976"/>
      <c r="AB112" s="2976"/>
      <c r="AC112" s="2976"/>
      <c r="AD112" s="2976"/>
      <c r="AE112" s="2976"/>
      <c r="AF112" s="2976"/>
    </row>
    <row r="113" spans="1:32">
      <c r="A113" s="2972">
        <v>112</v>
      </c>
      <c r="B113" s="2974" t="s">
        <v>3239</v>
      </c>
      <c r="C113" s="2982" t="s">
        <v>3153</v>
      </c>
      <c r="D113" s="2974" t="s">
        <v>3215</v>
      </c>
      <c r="E113" s="2982">
        <v>303</v>
      </c>
      <c r="F113" s="2983">
        <v>56.78</v>
      </c>
      <c r="G113" s="2979">
        <v>14.88</v>
      </c>
      <c r="H113" s="2979">
        <v>71.66</v>
      </c>
      <c r="I113" s="2974" t="s">
        <v>3055</v>
      </c>
      <c r="J113" s="2981" t="s">
        <v>3155</v>
      </c>
      <c r="L113" s="2976"/>
      <c r="M113" s="2976"/>
      <c r="N113" s="2976"/>
      <c r="O113" s="2976"/>
      <c r="P113" s="2976"/>
      <c r="Q113" s="2976"/>
      <c r="R113" s="2976"/>
      <c r="S113" s="2976"/>
      <c r="T113" s="2976"/>
      <c r="U113" s="2976"/>
      <c r="V113" s="2976"/>
      <c r="W113" s="2976"/>
      <c r="X113" s="2976"/>
      <c r="Y113" s="2976"/>
      <c r="Z113" s="2976"/>
      <c r="AA113" s="2976"/>
      <c r="AB113" s="2976"/>
      <c r="AC113" s="2976"/>
      <c r="AD113" s="2976"/>
      <c r="AE113" s="2976"/>
      <c r="AF113" s="2976"/>
    </row>
    <row r="114" spans="1:32">
      <c r="A114" s="2972">
        <v>113</v>
      </c>
      <c r="B114" s="2974" t="s">
        <v>3239</v>
      </c>
      <c r="C114" s="2982" t="s">
        <v>3153</v>
      </c>
      <c r="D114" s="2974" t="s">
        <v>3215</v>
      </c>
      <c r="E114" s="2982">
        <v>305</v>
      </c>
      <c r="F114" s="2983">
        <v>56.78</v>
      </c>
      <c r="G114" s="2979">
        <v>14.88</v>
      </c>
      <c r="H114" s="2979">
        <v>71.66</v>
      </c>
      <c r="I114" s="2974" t="s">
        <v>3055</v>
      </c>
      <c r="J114" s="2981" t="s">
        <v>3155</v>
      </c>
      <c r="L114" s="2976"/>
      <c r="M114" s="2976"/>
      <c r="N114" s="2976"/>
      <c r="O114" s="2976"/>
      <c r="P114" s="2976"/>
      <c r="Q114" s="2976"/>
      <c r="R114" s="2976"/>
      <c r="S114" s="2976"/>
      <c r="T114" s="2976"/>
      <c r="U114" s="2976"/>
      <c r="V114" s="2976"/>
      <c r="W114" s="2976"/>
      <c r="X114" s="2976"/>
      <c r="Y114" s="2976"/>
      <c r="Z114" s="2976"/>
      <c r="AA114" s="2976"/>
      <c r="AB114" s="2976"/>
      <c r="AC114" s="2976"/>
      <c r="AD114" s="2976"/>
      <c r="AE114" s="2976"/>
      <c r="AF114" s="2976"/>
    </row>
    <row r="115" spans="1:32">
      <c r="A115" s="2972">
        <v>114</v>
      </c>
      <c r="B115" s="2974" t="s">
        <v>3239</v>
      </c>
      <c r="C115" s="2982" t="s">
        <v>3153</v>
      </c>
      <c r="D115" s="2974" t="s">
        <v>3215</v>
      </c>
      <c r="E115" s="2982">
        <v>306</v>
      </c>
      <c r="F115" s="2983">
        <v>56.75</v>
      </c>
      <c r="G115" s="2979">
        <v>14.87</v>
      </c>
      <c r="H115" s="2979">
        <v>71.62</v>
      </c>
      <c r="I115" s="2974" t="s">
        <v>3055</v>
      </c>
      <c r="J115" s="2981" t="s">
        <v>3155</v>
      </c>
      <c r="L115" s="2976"/>
      <c r="M115" s="2976"/>
      <c r="N115" s="2976"/>
      <c r="O115" s="2976"/>
      <c r="P115" s="2976"/>
      <c r="Q115" s="2976"/>
      <c r="R115" s="2976"/>
      <c r="S115" s="2976"/>
      <c r="T115" s="2976"/>
      <c r="U115" s="2976"/>
      <c r="V115" s="2976"/>
      <c r="W115" s="2976"/>
      <c r="X115" s="2976"/>
      <c r="Y115" s="2976"/>
      <c r="Z115" s="2976"/>
      <c r="AA115" s="2976"/>
      <c r="AB115" s="2976"/>
      <c r="AC115" s="2976"/>
      <c r="AD115" s="2976"/>
      <c r="AE115" s="2976"/>
      <c r="AF115" s="2976"/>
    </row>
    <row r="116" spans="1:32">
      <c r="A116" s="2972">
        <v>115</v>
      </c>
      <c r="B116" s="2974" t="s">
        <v>3239</v>
      </c>
      <c r="C116" s="2982" t="s">
        <v>3153</v>
      </c>
      <c r="D116" s="2974" t="s">
        <v>3215</v>
      </c>
      <c r="E116" s="2982">
        <v>307</v>
      </c>
      <c r="F116" s="2983">
        <v>53.84</v>
      </c>
      <c r="G116" s="2979">
        <v>14.11</v>
      </c>
      <c r="H116" s="2979">
        <v>67.95</v>
      </c>
      <c r="I116" s="2974" t="s">
        <v>3055</v>
      </c>
      <c r="J116" s="2981" t="s">
        <v>3154</v>
      </c>
      <c r="L116" s="2976"/>
      <c r="M116" s="2976"/>
      <c r="N116" s="2976"/>
      <c r="O116" s="2976"/>
      <c r="P116" s="2976"/>
      <c r="Q116" s="2976"/>
      <c r="R116" s="2976"/>
      <c r="S116" s="2976"/>
      <c r="T116" s="2976"/>
      <c r="U116" s="2976"/>
      <c r="V116" s="2976"/>
      <c r="W116" s="2976"/>
      <c r="X116" s="2976"/>
      <c r="Y116" s="2976"/>
      <c r="Z116" s="2976"/>
      <c r="AA116" s="2976"/>
      <c r="AB116" s="2976"/>
      <c r="AC116" s="2976"/>
      <c r="AD116" s="2976"/>
      <c r="AE116" s="2976"/>
      <c r="AF116" s="2976"/>
    </row>
    <row r="117" spans="1:32">
      <c r="A117" s="2972">
        <v>116</v>
      </c>
      <c r="B117" s="2974" t="s">
        <v>3239</v>
      </c>
      <c r="C117" s="2982" t="s">
        <v>3153</v>
      </c>
      <c r="D117" s="2974" t="s">
        <v>3213</v>
      </c>
      <c r="E117" s="2982">
        <v>308</v>
      </c>
      <c r="F117" s="2983">
        <v>53.84</v>
      </c>
      <c r="G117" s="2979">
        <v>14.95</v>
      </c>
      <c r="H117" s="2979">
        <v>68.790000000000006</v>
      </c>
      <c r="I117" s="2974" t="s">
        <v>3055</v>
      </c>
      <c r="J117" s="2981" t="s">
        <v>3154</v>
      </c>
      <c r="L117" s="2976"/>
      <c r="M117" s="2976"/>
      <c r="N117" s="2976"/>
      <c r="O117" s="2976"/>
      <c r="P117" s="2976"/>
      <c r="Q117" s="2976"/>
      <c r="R117" s="2976"/>
      <c r="S117" s="2976"/>
      <c r="T117" s="2976"/>
      <c r="U117" s="2976"/>
      <c r="V117" s="2976"/>
      <c r="W117" s="2976"/>
      <c r="X117" s="2976"/>
      <c r="Y117" s="2976"/>
      <c r="Z117" s="2976"/>
      <c r="AA117" s="2976"/>
      <c r="AB117" s="2976"/>
      <c r="AC117" s="2976"/>
      <c r="AD117" s="2976"/>
      <c r="AE117" s="2976"/>
      <c r="AF117" s="2976"/>
    </row>
    <row r="118" spans="1:32">
      <c r="A118" s="2972">
        <v>117</v>
      </c>
      <c r="B118" s="2974" t="s">
        <v>3239</v>
      </c>
      <c r="C118" s="2982" t="s">
        <v>3153</v>
      </c>
      <c r="D118" s="2974" t="s">
        <v>3213</v>
      </c>
      <c r="E118" s="2982">
        <v>309</v>
      </c>
      <c r="F118" s="2983">
        <v>56.75</v>
      </c>
      <c r="G118" s="2979">
        <v>15.76</v>
      </c>
      <c r="H118" s="2979">
        <v>72.510000000000005</v>
      </c>
      <c r="I118" s="2974" t="s">
        <v>3055</v>
      </c>
      <c r="J118" s="2981" t="s">
        <v>3155</v>
      </c>
      <c r="L118" s="2976"/>
      <c r="M118" s="2976"/>
      <c r="N118" s="2976"/>
      <c r="O118" s="2976"/>
      <c r="P118" s="2976"/>
      <c r="Q118" s="2976"/>
      <c r="R118" s="2976"/>
      <c r="S118" s="2976"/>
      <c r="T118" s="2976"/>
      <c r="U118" s="2976"/>
      <c r="V118" s="2976"/>
      <c r="W118" s="2976"/>
      <c r="X118" s="2976"/>
      <c r="Y118" s="2976"/>
      <c r="Z118" s="2976"/>
      <c r="AA118" s="2976"/>
      <c r="AB118" s="2976"/>
      <c r="AC118" s="2976"/>
      <c r="AD118" s="2976"/>
      <c r="AE118" s="2976"/>
      <c r="AF118" s="2976"/>
    </row>
    <row r="119" spans="1:32">
      <c r="A119" s="2972">
        <v>118</v>
      </c>
      <c r="B119" s="2974" t="s">
        <v>3239</v>
      </c>
      <c r="C119" s="2982" t="s">
        <v>3153</v>
      </c>
      <c r="D119" s="2974" t="s">
        <v>3213</v>
      </c>
      <c r="E119" s="2982">
        <v>310</v>
      </c>
      <c r="F119" s="2983">
        <v>56.78</v>
      </c>
      <c r="G119" s="2979">
        <v>15.77</v>
      </c>
      <c r="H119" s="2979">
        <v>72.55</v>
      </c>
      <c r="I119" s="2974" t="s">
        <v>3055</v>
      </c>
      <c r="J119" s="2981" t="s">
        <v>3155</v>
      </c>
      <c r="L119" s="2976"/>
      <c r="M119" s="2976"/>
      <c r="N119" s="2976"/>
      <c r="O119" s="2976"/>
      <c r="P119" s="2976"/>
      <c r="Q119" s="2976"/>
      <c r="R119" s="2976"/>
      <c r="S119" s="2976"/>
      <c r="T119" s="2976"/>
      <c r="U119" s="2976"/>
      <c r="V119" s="2976"/>
      <c r="W119" s="2976"/>
      <c r="X119" s="2976"/>
      <c r="Y119" s="2976"/>
      <c r="Z119" s="2976"/>
      <c r="AA119" s="2976"/>
      <c r="AB119" s="2976"/>
      <c r="AC119" s="2976"/>
      <c r="AD119" s="2976"/>
      <c r="AE119" s="2976"/>
      <c r="AF119" s="2976"/>
    </row>
    <row r="120" spans="1:32">
      <c r="A120" s="2972">
        <v>119</v>
      </c>
      <c r="B120" s="2974" t="s">
        <v>3239</v>
      </c>
      <c r="C120" s="2982" t="s">
        <v>3153</v>
      </c>
      <c r="D120" s="2974" t="s">
        <v>3213</v>
      </c>
      <c r="E120" s="2982">
        <v>311</v>
      </c>
      <c r="F120" s="2983">
        <v>56.78</v>
      </c>
      <c r="G120" s="2979">
        <v>15.77</v>
      </c>
      <c r="H120" s="2979">
        <v>72.55</v>
      </c>
      <c r="I120" s="2974" t="s">
        <v>3055</v>
      </c>
      <c r="J120" s="2981" t="s">
        <v>3155</v>
      </c>
      <c r="L120" s="2976"/>
      <c r="M120" s="2976"/>
      <c r="N120" s="2976"/>
      <c r="O120" s="2976"/>
      <c r="P120" s="2976"/>
      <c r="Q120" s="2976"/>
      <c r="R120" s="2976"/>
      <c r="S120" s="2976"/>
      <c r="T120" s="2976"/>
      <c r="U120" s="2976"/>
      <c r="V120" s="2976"/>
      <c r="W120" s="2976"/>
      <c r="X120" s="2976"/>
      <c r="Y120" s="2976"/>
      <c r="Z120" s="2976"/>
      <c r="AA120" s="2976"/>
      <c r="AB120" s="2976"/>
      <c r="AC120" s="2976"/>
      <c r="AD120" s="2976"/>
      <c r="AE120" s="2976"/>
      <c r="AF120" s="2976"/>
    </row>
    <row r="121" spans="1:32">
      <c r="A121" s="2972">
        <v>120</v>
      </c>
      <c r="B121" s="2974" t="s">
        <v>3239</v>
      </c>
      <c r="C121" s="2982" t="s">
        <v>3153</v>
      </c>
      <c r="D121" s="2974" t="s">
        <v>3213</v>
      </c>
      <c r="E121" s="2982">
        <v>312</v>
      </c>
      <c r="F121" s="2983">
        <v>56.75</v>
      </c>
      <c r="G121" s="2979">
        <v>15.76</v>
      </c>
      <c r="H121" s="2979">
        <v>72.510000000000005</v>
      </c>
      <c r="I121" s="2974" t="s">
        <v>3055</v>
      </c>
      <c r="J121" s="2981" t="s">
        <v>3155</v>
      </c>
      <c r="L121" s="2976"/>
      <c r="M121" s="2976"/>
      <c r="N121" s="2976"/>
      <c r="O121" s="2976"/>
      <c r="P121" s="2976"/>
      <c r="Q121" s="2976"/>
      <c r="R121" s="2976"/>
      <c r="S121" s="2976"/>
      <c r="T121" s="2976"/>
      <c r="U121" s="2976"/>
      <c r="V121" s="2976"/>
      <c r="W121" s="2976"/>
      <c r="X121" s="2976"/>
      <c r="Y121" s="2976"/>
      <c r="Z121" s="2976"/>
      <c r="AA121" s="2976"/>
      <c r="AB121" s="2976"/>
      <c r="AC121" s="2976"/>
      <c r="AD121" s="2976"/>
      <c r="AE121" s="2976"/>
      <c r="AF121" s="2976"/>
    </row>
    <row r="122" spans="1:32">
      <c r="A122" s="2972">
        <v>121</v>
      </c>
      <c r="B122" s="2974" t="s">
        <v>3239</v>
      </c>
      <c r="C122" s="2982" t="s">
        <v>3153</v>
      </c>
      <c r="D122" s="2974" t="s">
        <v>3213</v>
      </c>
      <c r="E122" s="2982">
        <v>313</v>
      </c>
      <c r="F122" s="2983">
        <v>54.01</v>
      </c>
      <c r="G122" s="2979">
        <v>15</v>
      </c>
      <c r="H122" s="2979">
        <v>69.009999999999991</v>
      </c>
      <c r="I122" s="2974" t="s">
        <v>3055</v>
      </c>
      <c r="J122" s="2981" t="s">
        <v>3154</v>
      </c>
      <c r="L122" s="2976"/>
      <c r="M122" s="2976"/>
      <c r="N122" s="2976"/>
      <c r="O122" s="2976"/>
      <c r="P122" s="2976"/>
      <c r="Q122" s="2976"/>
      <c r="R122" s="2976"/>
      <c r="S122" s="2976"/>
      <c r="T122" s="2976"/>
      <c r="U122" s="2976"/>
      <c r="V122" s="2976"/>
      <c r="W122" s="2976"/>
      <c r="X122" s="2976"/>
      <c r="Y122" s="2976"/>
      <c r="Z122" s="2976"/>
      <c r="AA122" s="2976"/>
      <c r="AB122" s="2976"/>
      <c r="AC122" s="2976"/>
      <c r="AD122" s="2976"/>
      <c r="AE122" s="2976"/>
      <c r="AF122" s="2976"/>
    </row>
    <row r="123" spans="1:32">
      <c r="A123" s="2972">
        <v>122</v>
      </c>
      <c r="B123" s="2974" t="s">
        <v>3239</v>
      </c>
      <c r="C123" s="2982" t="s">
        <v>3156</v>
      </c>
      <c r="D123" s="2974" t="s">
        <v>3215</v>
      </c>
      <c r="E123" s="2982" t="s">
        <v>3145</v>
      </c>
      <c r="F123" s="2983">
        <v>77.27</v>
      </c>
      <c r="G123" s="2979">
        <v>20.25</v>
      </c>
      <c r="H123" s="2979">
        <v>97.52</v>
      </c>
      <c r="I123" s="2974" t="s">
        <v>3055</v>
      </c>
      <c r="J123" s="2981" t="s">
        <v>3155</v>
      </c>
      <c r="L123" s="2976"/>
      <c r="M123" s="2976"/>
      <c r="N123" s="2976"/>
      <c r="O123" s="2976"/>
      <c r="P123" s="2976"/>
      <c r="Q123" s="2976"/>
      <c r="R123" s="2976"/>
      <c r="S123" s="2976"/>
      <c r="T123" s="2976"/>
      <c r="U123" s="2976"/>
      <c r="V123" s="2976"/>
      <c r="W123" s="2976"/>
      <c r="X123" s="2976"/>
      <c r="Y123" s="2976"/>
      <c r="Z123" s="2976"/>
      <c r="AA123" s="2976"/>
      <c r="AB123" s="2976"/>
      <c r="AC123" s="2976"/>
      <c r="AD123" s="2976"/>
      <c r="AE123" s="2976"/>
      <c r="AF123" s="2976"/>
    </row>
    <row r="124" spans="1:32">
      <c r="A124" s="2972">
        <v>123</v>
      </c>
      <c r="B124" s="2974" t="s">
        <v>3239</v>
      </c>
      <c r="C124" s="2982" t="s">
        <v>3156</v>
      </c>
      <c r="D124" s="2974" t="s">
        <v>3215</v>
      </c>
      <c r="E124" s="2982" t="s">
        <v>3146</v>
      </c>
      <c r="F124" s="2983">
        <v>56.75</v>
      </c>
      <c r="G124" s="2979">
        <v>14.87</v>
      </c>
      <c r="H124" s="2979">
        <v>71.62</v>
      </c>
      <c r="I124" s="2974" t="s">
        <v>3055</v>
      </c>
      <c r="J124" s="2981" t="s">
        <v>3155</v>
      </c>
      <c r="L124" s="2976"/>
      <c r="M124" s="2976"/>
      <c r="N124" s="2976"/>
      <c r="O124" s="2976"/>
      <c r="P124" s="2976"/>
      <c r="Q124" s="2976"/>
      <c r="R124" s="2976"/>
      <c r="S124" s="2976"/>
      <c r="T124" s="2976"/>
      <c r="U124" s="2976"/>
      <c r="V124" s="2976"/>
      <c r="W124" s="2976"/>
      <c r="X124" s="2976"/>
      <c r="Y124" s="2976"/>
      <c r="Z124" s="2976"/>
      <c r="AA124" s="2976"/>
      <c r="AB124" s="2976"/>
      <c r="AC124" s="2976"/>
      <c r="AD124" s="2976"/>
      <c r="AE124" s="2976"/>
      <c r="AF124" s="2976"/>
    </row>
    <row r="125" spans="1:32">
      <c r="A125" s="2972">
        <v>124</v>
      </c>
      <c r="B125" s="2974" t="s">
        <v>3239</v>
      </c>
      <c r="C125" s="2982" t="s">
        <v>3156</v>
      </c>
      <c r="D125" s="2974" t="s">
        <v>3215</v>
      </c>
      <c r="E125" s="2982" t="s">
        <v>3147</v>
      </c>
      <c r="F125" s="2983">
        <v>56.78</v>
      </c>
      <c r="G125" s="2979">
        <v>14.88</v>
      </c>
      <c r="H125" s="2979">
        <v>71.66</v>
      </c>
      <c r="I125" s="2974" t="s">
        <v>3055</v>
      </c>
      <c r="J125" s="2981" t="s">
        <v>3155</v>
      </c>
      <c r="L125" s="2976"/>
      <c r="M125" s="2976"/>
      <c r="N125" s="2976"/>
      <c r="O125" s="2976"/>
      <c r="P125" s="2976"/>
      <c r="Q125" s="2976"/>
      <c r="R125" s="2976"/>
      <c r="S125" s="2976"/>
      <c r="T125" s="2976"/>
      <c r="U125" s="2976"/>
      <c r="V125" s="2976"/>
      <c r="W125" s="2976"/>
      <c r="X125" s="2976"/>
      <c r="Y125" s="2976"/>
      <c r="Z125" s="2976"/>
      <c r="AA125" s="2976"/>
      <c r="AB125" s="2976"/>
      <c r="AC125" s="2976"/>
      <c r="AD125" s="2976"/>
      <c r="AE125" s="2976"/>
      <c r="AF125" s="2976"/>
    </row>
    <row r="126" spans="1:32">
      <c r="A126" s="2972">
        <v>125</v>
      </c>
      <c r="B126" s="2974" t="s">
        <v>3239</v>
      </c>
      <c r="C126" s="2982" t="s">
        <v>3156</v>
      </c>
      <c r="D126" s="2974" t="s">
        <v>3215</v>
      </c>
      <c r="E126" s="2982" t="s">
        <v>3148</v>
      </c>
      <c r="F126" s="2983">
        <v>56.78</v>
      </c>
      <c r="G126" s="2979">
        <v>14.88</v>
      </c>
      <c r="H126" s="2979">
        <v>71.66</v>
      </c>
      <c r="I126" s="2974" t="s">
        <v>3055</v>
      </c>
      <c r="J126" s="2981" t="s">
        <v>3155</v>
      </c>
      <c r="L126" s="2976"/>
      <c r="M126" s="2976"/>
      <c r="N126" s="2976"/>
      <c r="O126" s="2976"/>
      <c r="P126" s="2976"/>
      <c r="Q126" s="2976"/>
      <c r="R126" s="2976"/>
      <c r="S126" s="2976"/>
      <c r="T126" s="2976"/>
      <c r="U126" s="2976"/>
      <c r="V126" s="2976"/>
      <c r="W126" s="2976"/>
      <c r="X126" s="2976"/>
      <c r="Y126" s="2976"/>
      <c r="Z126" s="2976"/>
      <c r="AA126" s="2976"/>
      <c r="AB126" s="2976"/>
      <c r="AC126" s="2976"/>
      <c r="AD126" s="2976"/>
      <c r="AE126" s="2976"/>
      <c r="AF126" s="2976"/>
    </row>
    <row r="127" spans="1:32">
      <c r="A127" s="2972">
        <v>126</v>
      </c>
      <c r="B127" s="2974" t="s">
        <v>3239</v>
      </c>
      <c r="C127" s="2982" t="s">
        <v>3156</v>
      </c>
      <c r="D127" s="2974" t="s">
        <v>3215</v>
      </c>
      <c r="E127" s="2982" t="s">
        <v>3149</v>
      </c>
      <c r="F127" s="2983">
        <v>56.75</v>
      </c>
      <c r="G127" s="2979">
        <v>14.87</v>
      </c>
      <c r="H127" s="2979">
        <v>71.62</v>
      </c>
      <c r="I127" s="2974" t="s">
        <v>3055</v>
      </c>
      <c r="J127" s="2981" t="s">
        <v>3155</v>
      </c>
      <c r="L127" s="2976"/>
      <c r="M127" s="2976"/>
      <c r="N127" s="2976"/>
      <c r="O127" s="2976"/>
      <c r="P127" s="2976"/>
      <c r="Q127" s="2976"/>
      <c r="R127" s="2976"/>
      <c r="S127" s="2976"/>
      <c r="T127" s="2976"/>
      <c r="U127" s="2976"/>
      <c r="V127" s="2976"/>
      <c r="W127" s="2976"/>
      <c r="X127" s="2976"/>
      <c r="Y127" s="2976"/>
      <c r="Z127" s="2976"/>
      <c r="AA127" s="2976"/>
      <c r="AB127" s="2976"/>
      <c r="AC127" s="2976"/>
      <c r="AD127" s="2976"/>
      <c r="AE127" s="2976"/>
      <c r="AF127" s="2976"/>
    </row>
    <row r="128" spans="1:32">
      <c r="A128" s="2972">
        <v>127</v>
      </c>
      <c r="B128" s="2974" t="s">
        <v>3239</v>
      </c>
      <c r="C128" s="2982" t="s">
        <v>3156</v>
      </c>
      <c r="D128" s="2974" t="s">
        <v>3215</v>
      </c>
      <c r="E128" s="2982" t="s">
        <v>3150</v>
      </c>
      <c r="F128" s="2983">
        <v>53.84</v>
      </c>
      <c r="G128" s="2979">
        <v>14.11</v>
      </c>
      <c r="H128" s="2979">
        <v>67.95</v>
      </c>
      <c r="I128" s="2974" t="s">
        <v>3055</v>
      </c>
      <c r="J128" s="2981" t="s">
        <v>3154</v>
      </c>
      <c r="L128" s="2976"/>
      <c r="M128" s="2976"/>
      <c r="N128" s="2976"/>
      <c r="O128" s="2976"/>
      <c r="P128" s="2976"/>
      <c r="Q128" s="2976"/>
      <c r="R128" s="2976"/>
      <c r="S128" s="2976"/>
      <c r="T128" s="2976"/>
      <c r="U128" s="2976"/>
      <c r="V128" s="2976"/>
      <c r="W128" s="2976"/>
      <c r="X128" s="2976"/>
      <c r="Y128" s="2976"/>
      <c r="Z128" s="2976"/>
      <c r="AA128" s="2976"/>
      <c r="AB128" s="2976"/>
      <c r="AC128" s="2976"/>
      <c r="AD128" s="2976"/>
      <c r="AE128" s="2976"/>
      <c r="AF128" s="2976"/>
    </row>
    <row r="129" spans="1:32">
      <c r="A129" s="2972">
        <v>128</v>
      </c>
      <c r="B129" s="2974" t="s">
        <v>3239</v>
      </c>
      <c r="C129" s="2982" t="s">
        <v>3156</v>
      </c>
      <c r="D129" s="2974" t="s">
        <v>3213</v>
      </c>
      <c r="E129" s="2982" t="s">
        <v>3151</v>
      </c>
      <c r="F129" s="2983">
        <v>53.84</v>
      </c>
      <c r="G129" s="2979">
        <v>14.95</v>
      </c>
      <c r="H129" s="2979">
        <v>68.790000000000006</v>
      </c>
      <c r="I129" s="2974" t="s">
        <v>3055</v>
      </c>
      <c r="J129" s="2981" t="s">
        <v>3154</v>
      </c>
      <c r="L129" s="2976"/>
      <c r="M129" s="2976"/>
      <c r="N129" s="2976"/>
      <c r="O129" s="2976"/>
      <c r="P129" s="2976"/>
      <c r="Q129" s="2976"/>
      <c r="R129" s="2976"/>
      <c r="S129" s="2976"/>
      <c r="T129" s="2976"/>
      <c r="U129" s="2976"/>
      <c r="V129" s="2976"/>
      <c r="W129" s="2976"/>
      <c r="X129" s="2976"/>
      <c r="Y129" s="2976"/>
      <c r="Z129" s="2976"/>
      <c r="AA129" s="2976"/>
      <c r="AB129" s="2976"/>
      <c r="AC129" s="2976"/>
      <c r="AD129" s="2976"/>
      <c r="AE129" s="2976"/>
      <c r="AF129" s="2976"/>
    </row>
    <row r="130" spans="1:32">
      <c r="A130" s="2972">
        <v>129</v>
      </c>
      <c r="B130" s="2974" t="s">
        <v>3239</v>
      </c>
      <c r="C130" s="2982" t="s">
        <v>3156</v>
      </c>
      <c r="D130" s="2974" t="s">
        <v>3213</v>
      </c>
      <c r="E130" s="2982" t="s">
        <v>3163</v>
      </c>
      <c r="F130" s="2983">
        <v>56.75</v>
      </c>
      <c r="G130" s="2979">
        <v>15.76</v>
      </c>
      <c r="H130" s="2979">
        <v>72.510000000000005</v>
      </c>
      <c r="I130" s="2974" t="s">
        <v>3055</v>
      </c>
      <c r="J130" s="2981" t="s">
        <v>3155</v>
      </c>
      <c r="L130" s="2976"/>
      <c r="M130" s="2976"/>
      <c r="N130" s="2976"/>
      <c r="O130" s="2976"/>
      <c r="P130" s="2976"/>
      <c r="Q130" s="2976"/>
      <c r="R130" s="2976"/>
      <c r="S130" s="2976"/>
      <c r="T130" s="2976"/>
      <c r="U130" s="2976"/>
      <c r="V130" s="2976"/>
      <c r="W130" s="2976"/>
      <c r="X130" s="2976"/>
      <c r="Y130" s="2976"/>
      <c r="Z130" s="2976"/>
      <c r="AA130" s="2976"/>
      <c r="AB130" s="2976"/>
      <c r="AC130" s="2976"/>
      <c r="AD130" s="2976"/>
      <c r="AE130" s="2976"/>
      <c r="AF130" s="2976"/>
    </row>
    <row r="131" spans="1:32">
      <c r="A131" s="2972">
        <v>130</v>
      </c>
      <c r="B131" s="2974" t="s">
        <v>3239</v>
      </c>
      <c r="C131" s="2982" t="s">
        <v>3156</v>
      </c>
      <c r="D131" s="2974" t="s">
        <v>3213</v>
      </c>
      <c r="E131" s="2982" t="s">
        <v>3166</v>
      </c>
      <c r="F131" s="2983">
        <v>56.78</v>
      </c>
      <c r="G131" s="2979">
        <v>15.77</v>
      </c>
      <c r="H131" s="2979">
        <v>72.55</v>
      </c>
      <c r="I131" s="2974" t="s">
        <v>3055</v>
      </c>
      <c r="J131" s="2981" t="s">
        <v>3155</v>
      </c>
      <c r="L131" s="2976"/>
      <c r="M131" s="2976"/>
      <c r="N131" s="2976"/>
      <c r="O131" s="2976"/>
      <c r="P131" s="2976"/>
      <c r="Q131" s="2976"/>
      <c r="R131" s="2976"/>
      <c r="S131" s="2976"/>
      <c r="T131" s="2976"/>
      <c r="U131" s="2976"/>
      <c r="V131" s="2976"/>
      <c r="W131" s="2976"/>
      <c r="X131" s="2976"/>
      <c r="Y131" s="2976"/>
      <c r="Z131" s="2976"/>
      <c r="AA131" s="2976"/>
      <c r="AB131" s="2976"/>
      <c r="AC131" s="2976"/>
      <c r="AD131" s="2976"/>
      <c r="AE131" s="2976"/>
      <c r="AF131" s="2976"/>
    </row>
    <row r="132" spans="1:32">
      <c r="A132" s="2972">
        <v>131</v>
      </c>
      <c r="B132" s="2974" t="s">
        <v>3239</v>
      </c>
      <c r="C132" s="2982" t="s">
        <v>3156</v>
      </c>
      <c r="D132" s="2974" t="s">
        <v>3213</v>
      </c>
      <c r="E132" s="2982" t="s">
        <v>3167</v>
      </c>
      <c r="F132" s="2983">
        <v>56.78</v>
      </c>
      <c r="G132" s="2979">
        <v>15.77</v>
      </c>
      <c r="H132" s="2979">
        <v>72.55</v>
      </c>
      <c r="I132" s="2974" t="s">
        <v>3055</v>
      </c>
      <c r="J132" s="2981" t="s">
        <v>3155</v>
      </c>
      <c r="L132" s="2976"/>
      <c r="M132" s="2976"/>
      <c r="N132" s="2976"/>
      <c r="O132" s="2976"/>
      <c r="P132" s="2976"/>
      <c r="Q132" s="2976"/>
      <c r="R132" s="2976"/>
      <c r="S132" s="2976"/>
      <c r="T132" s="2976"/>
      <c r="U132" s="2976"/>
      <c r="V132" s="2976"/>
      <c r="W132" s="2976"/>
      <c r="X132" s="2976"/>
      <c r="Y132" s="2976"/>
      <c r="Z132" s="2976"/>
      <c r="AA132" s="2976"/>
      <c r="AB132" s="2976"/>
      <c r="AC132" s="2976"/>
      <c r="AD132" s="2976"/>
      <c r="AE132" s="2976"/>
      <c r="AF132" s="2976"/>
    </row>
    <row r="133" spans="1:32">
      <c r="A133" s="2972">
        <v>132</v>
      </c>
      <c r="B133" s="2974" t="s">
        <v>3239</v>
      </c>
      <c r="C133" s="2982" t="s">
        <v>3156</v>
      </c>
      <c r="D133" s="2974" t="s">
        <v>3213</v>
      </c>
      <c r="E133" s="2982" t="s">
        <v>3168</v>
      </c>
      <c r="F133" s="2983">
        <v>56.75</v>
      </c>
      <c r="G133" s="2979">
        <v>15.76</v>
      </c>
      <c r="H133" s="2979">
        <v>72.510000000000005</v>
      </c>
      <c r="I133" s="2974" t="s">
        <v>3055</v>
      </c>
      <c r="J133" s="2981" t="s">
        <v>3155</v>
      </c>
      <c r="L133" s="2976"/>
      <c r="M133" s="2976"/>
      <c r="N133" s="2976"/>
      <c r="O133" s="2976"/>
      <c r="P133" s="2976"/>
      <c r="Q133" s="2976"/>
      <c r="R133" s="2976"/>
      <c r="S133" s="2976"/>
      <c r="T133" s="2976"/>
      <c r="U133" s="2976"/>
      <c r="V133" s="2976"/>
      <c r="W133" s="2976"/>
      <c r="X133" s="2976"/>
      <c r="Y133" s="2976"/>
      <c r="Z133" s="2976"/>
      <c r="AA133" s="2976"/>
      <c r="AB133" s="2976"/>
      <c r="AC133" s="2976"/>
      <c r="AD133" s="2976"/>
      <c r="AE133" s="2976"/>
      <c r="AF133" s="2976"/>
    </row>
    <row r="134" spans="1:32">
      <c r="A134" s="2972">
        <v>133</v>
      </c>
      <c r="B134" s="2974" t="s">
        <v>3239</v>
      </c>
      <c r="C134" s="2982" t="s">
        <v>3156</v>
      </c>
      <c r="D134" s="2974" t="s">
        <v>3213</v>
      </c>
      <c r="E134" s="2982" t="s">
        <v>3169</v>
      </c>
      <c r="F134" s="2983">
        <v>54.01</v>
      </c>
      <c r="G134" s="2979">
        <v>15</v>
      </c>
      <c r="H134" s="2979">
        <v>69.009999999999991</v>
      </c>
      <c r="I134" s="2974" t="s">
        <v>3055</v>
      </c>
      <c r="J134" s="2981" t="s">
        <v>3154</v>
      </c>
      <c r="L134" s="2976"/>
      <c r="M134" s="2976"/>
      <c r="N134" s="2976"/>
      <c r="O134" s="2976"/>
      <c r="P134" s="2976"/>
      <c r="Q134" s="2976"/>
      <c r="R134" s="2976"/>
      <c r="S134" s="2976"/>
      <c r="T134" s="2976"/>
      <c r="U134" s="2976"/>
      <c r="V134" s="2976"/>
      <c r="W134" s="2976"/>
      <c r="X134" s="2976"/>
      <c r="Y134" s="2976"/>
      <c r="Z134" s="2976"/>
      <c r="AA134" s="2976"/>
      <c r="AB134" s="2976"/>
      <c r="AC134" s="2976"/>
      <c r="AD134" s="2976"/>
      <c r="AE134" s="2976"/>
      <c r="AF134" s="2976"/>
    </row>
    <row r="135" spans="1:32">
      <c r="A135" s="2972">
        <v>134</v>
      </c>
      <c r="B135" s="2974" t="s">
        <v>3239</v>
      </c>
      <c r="C135" s="2982" t="s">
        <v>3157</v>
      </c>
      <c r="D135" s="2974" t="s">
        <v>3215</v>
      </c>
      <c r="E135" s="2982">
        <v>501</v>
      </c>
      <c r="F135" s="2983">
        <v>77.27</v>
      </c>
      <c r="G135" s="2979">
        <v>20.25</v>
      </c>
      <c r="H135" s="2979">
        <v>97.52</v>
      </c>
      <c r="I135" s="2974" t="s">
        <v>3055</v>
      </c>
      <c r="J135" s="2981" t="s">
        <v>3155</v>
      </c>
      <c r="L135" s="2976"/>
      <c r="M135" s="2976"/>
      <c r="N135" s="2976"/>
      <c r="O135" s="2976"/>
      <c r="P135" s="2976"/>
      <c r="Q135" s="2976"/>
      <c r="R135" s="2976"/>
      <c r="S135" s="2976"/>
      <c r="T135" s="2976"/>
      <c r="U135" s="2976"/>
      <c r="V135" s="2976"/>
      <c r="W135" s="2976"/>
      <c r="X135" s="2976"/>
      <c r="Y135" s="2976"/>
      <c r="Z135" s="2976"/>
      <c r="AA135" s="2976"/>
      <c r="AB135" s="2976"/>
      <c r="AC135" s="2976"/>
      <c r="AD135" s="2976"/>
      <c r="AE135" s="2976"/>
      <c r="AF135" s="2976"/>
    </row>
    <row r="136" spans="1:32">
      <c r="A136" s="2972">
        <v>135</v>
      </c>
      <c r="B136" s="2974" t="s">
        <v>3239</v>
      </c>
      <c r="C136" s="2982" t="s">
        <v>3157</v>
      </c>
      <c r="D136" s="2974" t="s">
        <v>3215</v>
      </c>
      <c r="E136" s="2982">
        <v>502</v>
      </c>
      <c r="F136" s="2983">
        <v>56.75</v>
      </c>
      <c r="G136" s="2979">
        <v>14.87</v>
      </c>
      <c r="H136" s="2979">
        <v>71.62</v>
      </c>
      <c r="I136" s="2974" t="s">
        <v>3055</v>
      </c>
      <c r="J136" s="2981" t="s">
        <v>3155</v>
      </c>
      <c r="L136" s="2976"/>
      <c r="M136" s="2976"/>
      <c r="N136" s="2976"/>
      <c r="O136" s="2976"/>
      <c r="P136" s="2976"/>
      <c r="Q136" s="2976"/>
      <c r="R136" s="2976"/>
      <c r="S136" s="2976"/>
      <c r="T136" s="2976"/>
      <c r="U136" s="2976"/>
      <c r="V136" s="2976"/>
      <c r="W136" s="2976"/>
      <c r="X136" s="2976"/>
      <c r="Y136" s="2976"/>
      <c r="Z136" s="2976"/>
      <c r="AA136" s="2976"/>
      <c r="AB136" s="2976"/>
      <c r="AC136" s="2976"/>
      <c r="AD136" s="2976"/>
      <c r="AE136" s="2976"/>
      <c r="AF136" s="2976"/>
    </row>
    <row r="137" spans="1:32">
      <c r="A137" s="2972">
        <v>136</v>
      </c>
      <c r="B137" s="2974" t="s">
        <v>3239</v>
      </c>
      <c r="C137" s="2982" t="s">
        <v>3157</v>
      </c>
      <c r="D137" s="2974" t="s">
        <v>3215</v>
      </c>
      <c r="E137" s="2982">
        <v>503</v>
      </c>
      <c r="F137" s="2983">
        <v>56.78</v>
      </c>
      <c r="G137" s="2979">
        <v>14.88</v>
      </c>
      <c r="H137" s="2979">
        <v>71.66</v>
      </c>
      <c r="I137" s="2974" t="s">
        <v>3055</v>
      </c>
      <c r="J137" s="2981" t="s">
        <v>3155</v>
      </c>
      <c r="L137" s="2976"/>
      <c r="M137" s="2976"/>
      <c r="N137" s="2976"/>
      <c r="O137" s="2976"/>
      <c r="P137" s="2976"/>
      <c r="Q137" s="2976"/>
      <c r="R137" s="2976"/>
      <c r="S137" s="2976"/>
      <c r="T137" s="2976"/>
      <c r="U137" s="2976"/>
      <c r="V137" s="2976"/>
      <c r="W137" s="2976"/>
      <c r="X137" s="2976"/>
      <c r="Y137" s="2976"/>
      <c r="Z137" s="2976"/>
      <c r="AA137" s="2976"/>
      <c r="AB137" s="2976"/>
      <c r="AC137" s="2976"/>
      <c r="AD137" s="2976"/>
      <c r="AE137" s="2976"/>
      <c r="AF137" s="2976"/>
    </row>
    <row r="138" spans="1:32">
      <c r="A138" s="2972">
        <v>137</v>
      </c>
      <c r="B138" s="2974" t="s">
        <v>3239</v>
      </c>
      <c r="C138" s="2982" t="s">
        <v>3157</v>
      </c>
      <c r="D138" s="2974" t="s">
        <v>3215</v>
      </c>
      <c r="E138" s="2982">
        <v>505</v>
      </c>
      <c r="F138" s="2983">
        <v>56.78</v>
      </c>
      <c r="G138" s="2979">
        <v>14.88</v>
      </c>
      <c r="H138" s="2979">
        <v>71.66</v>
      </c>
      <c r="I138" s="2974" t="s">
        <v>3055</v>
      </c>
      <c r="J138" s="2981" t="s">
        <v>3155</v>
      </c>
      <c r="L138" s="2976"/>
      <c r="M138" s="2976"/>
      <c r="N138" s="2976"/>
      <c r="O138" s="2976"/>
      <c r="P138" s="2976"/>
      <c r="Q138" s="2976"/>
      <c r="R138" s="2976"/>
      <c r="S138" s="2976"/>
      <c r="T138" s="2976"/>
      <c r="U138" s="2976"/>
      <c r="V138" s="2976"/>
      <c r="W138" s="2976"/>
      <c r="X138" s="2976"/>
      <c r="Y138" s="2976"/>
      <c r="Z138" s="2976"/>
      <c r="AA138" s="2976"/>
      <c r="AB138" s="2976"/>
      <c r="AC138" s="2976"/>
      <c r="AD138" s="2976"/>
      <c r="AE138" s="2976"/>
      <c r="AF138" s="2976"/>
    </row>
    <row r="139" spans="1:32">
      <c r="A139" s="2972">
        <v>138</v>
      </c>
      <c r="B139" s="2974" t="s">
        <v>3239</v>
      </c>
      <c r="C139" s="2982" t="s">
        <v>3157</v>
      </c>
      <c r="D139" s="2974" t="s">
        <v>3215</v>
      </c>
      <c r="E139" s="2982">
        <v>506</v>
      </c>
      <c r="F139" s="2983">
        <v>56.75</v>
      </c>
      <c r="G139" s="2979">
        <v>14.87</v>
      </c>
      <c r="H139" s="2979">
        <v>71.62</v>
      </c>
      <c r="I139" s="2974" t="s">
        <v>3055</v>
      </c>
      <c r="J139" s="2981" t="s">
        <v>3155</v>
      </c>
      <c r="L139" s="2976"/>
      <c r="M139" s="2976"/>
      <c r="N139" s="2976"/>
      <c r="O139" s="2976"/>
      <c r="P139" s="2976"/>
      <c r="Q139" s="2976"/>
      <c r="R139" s="2976"/>
      <c r="S139" s="2976"/>
      <c r="T139" s="2976"/>
      <c r="U139" s="2976"/>
      <c r="V139" s="2976"/>
      <c r="W139" s="2976"/>
      <c r="X139" s="2976"/>
      <c r="Y139" s="2976"/>
      <c r="Z139" s="2976"/>
      <c r="AA139" s="2976"/>
      <c r="AB139" s="2976"/>
      <c r="AC139" s="2976"/>
      <c r="AD139" s="2976"/>
      <c r="AE139" s="2976"/>
      <c r="AF139" s="2976"/>
    </row>
    <row r="140" spans="1:32">
      <c r="A140" s="2972">
        <v>139</v>
      </c>
      <c r="B140" s="2974" t="s">
        <v>3239</v>
      </c>
      <c r="C140" s="2982" t="s">
        <v>3157</v>
      </c>
      <c r="D140" s="2974" t="s">
        <v>3215</v>
      </c>
      <c r="E140" s="2982">
        <v>507</v>
      </c>
      <c r="F140" s="2983">
        <v>53.84</v>
      </c>
      <c r="G140" s="2979">
        <v>14.11</v>
      </c>
      <c r="H140" s="2979">
        <v>67.95</v>
      </c>
      <c r="I140" s="2974" t="s">
        <v>3055</v>
      </c>
      <c r="J140" s="2981" t="s">
        <v>3154</v>
      </c>
      <c r="L140" s="2976"/>
      <c r="M140" s="2976"/>
      <c r="N140" s="2976"/>
      <c r="O140" s="2976"/>
      <c r="P140" s="2976"/>
      <c r="Q140" s="2976"/>
      <c r="R140" s="2976"/>
      <c r="S140" s="2976"/>
      <c r="T140" s="2976"/>
      <c r="U140" s="2976"/>
      <c r="V140" s="2976"/>
      <c r="W140" s="2976"/>
      <c r="X140" s="2976"/>
      <c r="Y140" s="2976"/>
      <c r="Z140" s="2976"/>
      <c r="AA140" s="2976"/>
      <c r="AB140" s="2976"/>
      <c r="AC140" s="2976"/>
      <c r="AD140" s="2976"/>
      <c r="AE140" s="2976"/>
      <c r="AF140" s="2976"/>
    </row>
    <row r="141" spans="1:32">
      <c r="A141" s="2972">
        <v>140</v>
      </c>
      <c r="B141" s="2974" t="s">
        <v>3239</v>
      </c>
      <c r="C141" s="2982" t="s">
        <v>3157</v>
      </c>
      <c r="D141" s="2974" t="s">
        <v>3213</v>
      </c>
      <c r="E141" s="2982">
        <v>508</v>
      </c>
      <c r="F141" s="2983">
        <v>53.84</v>
      </c>
      <c r="G141" s="2979">
        <v>14.95</v>
      </c>
      <c r="H141" s="2979">
        <v>68.790000000000006</v>
      </c>
      <c r="I141" s="2974" t="s">
        <v>3055</v>
      </c>
      <c r="J141" s="2981" t="s">
        <v>3154</v>
      </c>
      <c r="L141" s="2976"/>
      <c r="M141" s="2976"/>
      <c r="N141" s="2976"/>
      <c r="O141" s="2976"/>
      <c r="P141" s="2976"/>
      <c r="Q141" s="2976"/>
      <c r="R141" s="2976"/>
      <c r="S141" s="2976"/>
      <c r="T141" s="2976"/>
      <c r="U141" s="2976"/>
      <c r="V141" s="2976"/>
      <c r="W141" s="2976"/>
      <c r="X141" s="2976"/>
      <c r="Y141" s="2976"/>
      <c r="Z141" s="2976"/>
      <c r="AA141" s="2976"/>
      <c r="AB141" s="2976"/>
      <c r="AC141" s="2976"/>
      <c r="AD141" s="2976"/>
      <c r="AE141" s="2976"/>
      <c r="AF141" s="2976"/>
    </row>
    <row r="142" spans="1:32">
      <c r="A142" s="2972">
        <v>141</v>
      </c>
      <c r="B142" s="2974" t="s">
        <v>3239</v>
      </c>
      <c r="C142" s="2982" t="s">
        <v>3157</v>
      </c>
      <c r="D142" s="2974" t="s">
        <v>3213</v>
      </c>
      <c r="E142" s="2982">
        <v>509</v>
      </c>
      <c r="F142" s="2983">
        <v>56.75</v>
      </c>
      <c r="G142" s="2979">
        <v>15.76</v>
      </c>
      <c r="H142" s="2979">
        <v>72.510000000000005</v>
      </c>
      <c r="I142" s="2974" t="s">
        <v>3055</v>
      </c>
      <c r="J142" s="2981" t="s">
        <v>3155</v>
      </c>
      <c r="L142" s="2976"/>
      <c r="M142" s="2976"/>
      <c r="N142" s="2976"/>
      <c r="O142" s="2976"/>
      <c r="P142" s="2976"/>
      <c r="Q142" s="2976"/>
      <c r="R142" s="2976"/>
      <c r="S142" s="2976"/>
      <c r="T142" s="2976"/>
      <c r="U142" s="2976"/>
      <c r="V142" s="2976"/>
      <c r="W142" s="2976"/>
      <c r="X142" s="2976"/>
      <c r="Y142" s="2976"/>
      <c r="Z142" s="2976"/>
      <c r="AA142" s="2976"/>
      <c r="AB142" s="2976"/>
      <c r="AC142" s="2976"/>
      <c r="AD142" s="2976"/>
      <c r="AE142" s="2976"/>
      <c r="AF142" s="2976"/>
    </row>
    <row r="143" spans="1:32">
      <c r="A143" s="2972">
        <v>142</v>
      </c>
      <c r="B143" s="2974" t="s">
        <v>3239</v>
      </c>
      <c r="C143" s="2982" t="s">
        <v>3157</v>
      </c>
      <c r="D143" s="2974" t="s">
        <v>3213</v>
      </c>
      <c r="E143" s="2982">
        <v>510</v>
      </c>
      <c r="F143" s="2983">
        <v>56.78</v>
      </c>
      <c r="G143" s="2979">
        <v>15.77</v>
      </c>
      <c r="H143" s="2979">
        <v>72.55</v>
      </c>
      <c r="I143" s="2974" t="s">
        <v>3055</v>
      </c>
      <c r="J143" s="2981" t="s">
        <v>3155</v>
      </c>
      <c r="L143" s="2976"/>
      <c r="M143" s="2976"/>
      <c r="N143" s="2976"/>
      <c r="O143" s="2976"/>
      <c r="P143" s="2976"/>
      <c r="Q143" s="2976"/>
      <c r="R143" s="2976"/>
      <c r="S143" s="2976"/>
      <c r="T143" s="2976"/>
      <c r="U143" s="2976"/>
      <c r="V143" s="2976"/>
      <c r="W143" s="2976"/>
      <c r="X143" s="2976"/>
      <c r="Y143" s="2976"/>
      <c r="Z143" s="2976"/>
      <c r="AA143" s="2976"/>
      <c r="AB143" s="2976"/>
      <c r="AC143" s="2976"/>
      <c r="AD143" s="2976"/>
      <c r="AE143" s="2976"/>
      <c r="AF143" s="2976"/>
    </row>
    <row r="144" spans="1:32">
      <c r="A144" s="2972">
        <v>143</v>
      </c>
      <c r="B144" s="2974" t="s">
        <v>3239</v>
      </c>
      <c r="C144" s="2982" t="s">
        <v>3157</v>
      </c>
      <c r="D144" s="2974" t="s">
        <v>3213</v>
      </c>
      <c r="E144" s="2982">
        <v>511</v>
      </c>
      <c r="F144" s="2983">
        <v>56.78</v>
      </c>
      <c r="G144" s="2979">
        <v>15.77</v>
      </c>
      <c r="H144" s="2979">
        <v>72.55</v>
      </c>
      <c r="I144" s="2974" t="s">
        <v>3055</v>
      </c>
      <c r="J144" s="2981" t="s">
        <v>3155</v>
      </c>
      <c r="L144" s="2976"/>
      <c r="M144" s="2976"/>
      <c r="N144" s="2976"/>
      <c r="O144" s="2976"/>
      <c r="P144" s="2976"/>
      <c r="Q144" s="2976"/>
      <c r="R144" s="2976"/>
      <c r="S144" s="2976"/>
      <c r="T144" s="2976"/>
      <c r="U144" s="2976"/>
      <c r="V144" s="2976"/>
      <c r="W144" s="2976"/>
      <c r="X144" s="2976"/>
      <c r="Y144" s="2976"/>
      <c r="Z144" s="2976"/>
      <c r="AA144" s="2976"/>
      <c r="AB144" s="2976"/>
      <c r="AC144" s="2976"/>
      <c r="AD144" s="2976"/>
      <c r="AE144" s="2976"/>
      <c r="AF144" s="2976"/>
    </row>
    <row r="145" spans="1:32">
      <c r="A145" s="2972">
        <v>144</v>
      </c>
      <c r="B145" s="2974" t="s">
        <v>3239</v>
      </c>
      <c r="C145" s="2982" t="s">
        <v>3157</v>
      </c>
      <c r="D145" s="2974" t="s">
        <v>3213</v>
      </c>
      <c r="E145" s="2982">
        <v>512</v>
      </c>
      <c r="F145" s="2983">
        <v>56.75</v>
      </c>
      <c r="G145" s="2979">
        <v>15.76</v>
      </c>
      <c r="H145" s="2979">
        <v>72.510000000000005</v>
      </c>
      <c r="I145" s="2974" t="s">
        <v>3055</v>
      </c>
      <c r="J145" s="2981" t="s">
        <v>3155</v>
      </c>
      <c r="L145" s="2976"/>
      <c r="M145" s="2976"/>
      <c r="N145" s="2976"/>
      <c r="O145" s="2976"/>
      <c r="P145" s="2976"/>
      <c r="Q145" s="2976"/>
      <c r="R145" s="2976"/>
      <c r="S145" s="2976"/>
      <c r="T145" s="2976"/>
      <c r="U145" s="2976"/>
      <c r="V145" s="2976"/>
      <c r="W145" s="2976"/>
      <c r="X145" s="2976"/>
      <c r="Y145" s="2976"/>
      <c r="Z145" s="2976"/>
      <c r="AA145" s="2976"/>
      <c r="AB145" s="2976"/>
      <c r="AC145" s="2976"/>
      <c r="AD145" s="2976"/>
      <c r="AE145" s="2976"/>
      <c r="AF145" s="2976"/>
    </row>
    <row r="146" spans="1:32">
      <c r="A146" s="2972">
        <v>145</v>
      </c>
      <c r="B146" s="2974" t="s">
        <v>3239</v>
      </c>
      <c r="C146" s="2982" t="s">
        <v>3157</v>
      </c>
      <c r="D146" s="2974" t="s">
        <v>3213</v>
      </c>
      <c r="E146" s="2982">
        <v>513</v>
      </c>
      <c r="F146" s="2983">
        <v>54.01</v>
      </c>
      <c r="G146" s="2979">
        <v>15</v>
      </c>
      <c r="H146" s="2979">
        <v>69.009999999999991</v>
      </c>
      <c r="I146" s="2974" t="s">
        <v>3055</v>
      </c>
      <c r="J146" s="2981" t="s">
        <v>3154</v>
      </c>
      <c r="L146" s="2976"/>
      <c r="M146" s="2976"/>
      <c r="N146" s="2976"/>
      <c r="O146" s="2976"/>
      <c r="P146" s="2976"/>
      <c r="Q146" s="2976"/>
      <c r="R146" s="2976"/>
      <c r="S146" s="2976"/>
      <c r="T146" s="2976"/>
      <c r="U146" s="2976"/>
      <c r="V146" s="2976"/>
      <c r="W146" s="2976"/>
      <c r="X146" s="2976"/>
      <c r="Y146" s="2976"/>
      <c r="Z146" s="2976"/>
      <c r="AA146" s="2976"/>
      <c r="AB146" s="2976"/>
      <c r="AC146" s="2976"/>
      <c r="AD146" s="2976"/>
      <c r="AE146" s="2976"/>
      <c r="AF146" s="2976"/>
    </row>
    <row r="147" spans="1:32">
      <c r="A147" s="2972">
        <v>146</v>
      </c>
      <c r="B147" s="2974" t="s">
        <v>3239</v>
      </c>
      <c r="C147" s="2982" t="s">
        <v>3158</v>
      </c>
      <c r="D147" s="2974" t="s">
        <v>3215</v>
      </c>
      <c r="E147" s="2982">
        <v>601</v>
      </c>
      <c r="F147" s="2983">
        <v>77.27</v>
      </c>
      <c r="G147" s="2979">
        <v>20.25</v>
      </c>
      <c r="H147" s="2979">
        <v>97.52</v>
      </c>
      <c r="I147" s="2974" t="s">
        <v>3055</v>
      </c>
      <c r="J147" s="2981" t="s">
        <v>3155</v>
      </c>
      <c r="L147" s="2976"/>
      <c r="M147" s="2976"/>
      <c r="N147" s="2976"/>
      <c r="O147" s="2976"/>
      <c r="P147" s="2976"/>
      <c r="Q147" s="2976"/>
      <c r="R147" s="2976"/>
      <c r="S147" s="2976"/>
      <c r="T147" s="2976"/>
      <c r="U147" s="2976"/>
      <c r="V147" s="2976"/>
      <c r="W147" s="2976"/>
      <c r="X147" s="2976"/>
      <c r="Y147" s="2976"/>
      <c r="Z147" s="2976"/>
      <c r="AA147" s="2976"/>
      <c r="AB147" s="2976"/>
      <c r="AC147" s="2976"/>
      <c r="AD147" s="2976"/>
      <c r="AE147" s="2976"/>
      <c r="AF147" s="2976"/>
    </row>
    <row r="148" spans="1:32">
      <c r="A148" s="2972">
        <v>147</v>
      </c>
      <c r="B148" s="2974" t="s">
        <v>3239</v>
      </c>
      <c r="C148" s="2982" t="s">
        <v>3158</v>
      </c>
      <c r="D148" s="2974" t="s">
        <v>3215</v>
      </c>
      <c r="E148" s="2982">
        <v>602</v>
      </c>
      <c r="F148" s="2983">
        <v>56.75</v>
      </c>
      <c r="G148" s="2979">
        <v>14.87</v>
      </c>
      <c r="H148" s="2979">
        <v>71.62</v>
      </c>
      <c r="I148" s="2974" t="s">
        <v>3055</v>
      </c>
      <c r="J148" s="2981" t="s">
        <v>3155</v>
      </c>
      <c r="L148" s="2976"/>
      <c r="M148" s="2976"/>
      <c r="N148" s="2976"/>
      <c r="O148" s="2976"/>
      <c r="P148" s="2976"/>
      <c r="Q148" s="2976"/>
      <c r="R148" s="2976"/>
      <c r="S148" s="2976"/>
      <c r="T148" s="2976"/>
      <c r="U148" s="2976"/>
      <c r="V148" s="2976"/>
      <c r="W148" s="2976"/>
      <c r="X148" s="2976"/>
      <c r="Y148" s="2976"/>
      <c r="Z148" s="2976"/>
      <c r="AA148" s="2976"/>
      <c r="AB148" s="2976"/>
      <c r="AC148" s="2976"/>
      <c r="AD148" s="2976"/>
      <c r="AE148" s="2976"/>
      <c r="AF148" s="2976"/>
    </row>
    <row r="149" spans="1:32">
      <c r="A149" s="2972">
        <v>148</v>
      </c>
      <c r="B149" s="2974" t="s">
        <v>3239</v>
      </c>
      <c r="C149" s="2982" t="s">
        <v>3158</v>
      </c>
      <c r="D149" s="2974" t="s">
        <v>3215</v>
      </c>
      <c r="E149" s="2982">
        <v>603</v>
      </c>
      <c r="F149" s="2983">
        <v>56.78</v>
      </c>
      <c r="G149" s="2979">
        <v>14.88</v>
      </c>
      <c r="H149" s="2979">
        <v>71.66</v>
      </c>
      <c r="I149" s="2974" t="s">
        <v>3055</v>
      </c>
      <c r="J149" s="2981" t="s">
        <v>3155</v>
      </c>
      <c r="L149" s="2976"/>
      <c r="M149" s="2976"/>
      <c r="N149" s="2976"/>
      <c r="O149" s="2976"/>
      <c r="P149" s="2976"/>
      <c r="Q149" s="2976"/>
      <c r="R149" s="2976"/>
      <c r="S149" s="2976"/>
      <c r="T149" s="2976"/>
      <c r="U149" s="2976"/>
      <c r="V149" s="2976"/>
      <c r="W149" s="2976"/>
      <c r="X149" s="2976"/>
      <c r="Y149" s="2976"/>
      <c r="Z149" s="2976"/>
      <c r="AA149" s="2976"/>
      <c r="AB149" s="2976"/>
      <c r="AC149" s="2976"/>
      <c r="AD149" s="2976"/>
      <c r="AE149" s="2976"/>
      <c r="AF149" s="2976"/>
    </row>
    <row r="150" spans="1:32">
      <c r="A150" s="2972">
        <v>149</v>
      </c>
      <c r="B150" s="2974" t="s">
        <v>3239</v>
      </c>
      <c r="C150" s="2982" t="s">
        <v>3158</v>
      </c>
      <c r="D150" s="2974" t="s">
        <v>3215</v>
      </c>
      <c r="E150" s="2982">
        <v>605</v>
      </c>
      <c r="F150" s="2983">
        <v>56.78</v>
      </c>
      <c r="G150" s="2979">
        <v>14.88</v>
      </c>
      <c r="H150" s="2979">
        <v>71.66</v>
      </c>
      <c r="I150" s="2974" t="s">
        <v>3055</v>
      </c>
      <c r="J150" s="2981" t="s">
        <v>3155</v>
      </c>
      <c r="L150" s="2976"/>
      <c r="M150" s="2976"/>
      <c r="N150" s="2976"/>
      <c r="O150" s="2976"/>
      <c r="P150" s="2976"/>
      <c r="Q150" s="2976"/>
      <c r="R150" s="2976"/>
      <c r="S150" s="2976"/>
      <c r="T150" s="2976"/>
      <c r="U150" s="2976"/>
      <c r="V150" s="2976"/>
      <c r="W150" s="2976"/>
      <c r="X150" s="2976"/>
      <c r="Y150" s="2976"/>
      <c r="Z150" s="2976"/>
      <c r="AA150" s="2976"/>
      <c r="AB150" s="2976"/>
      <c r="AC150" s="2976"/>
      <c r="AD150" s="2976"/>
      <c r="AE150" s="2976"/>
      <c r="AF150" s="2976"/>
    </row>
    <row r="151" spans="1:32">
      <c r="A151" s="2972">
        <v>150</v>
      </c>
      <c r="B151" s="2974" t="s">
        <v>3239</v>
      </c>
      <c r="C151" s="2982" t="s">
        <v>3158</v>
      </c>
      <c r="D151" s="2974" t="s">
        <v>3215</v>
      </c>
      <c r="E151" s="2982">
        <v>606</v>
      </c>
      <c r="F151" s="2983">
        <v>56.75</v>
      </c>
      <c r="G151" s="2979">
        <v>14.87</v>
      </c>
      <c r="H151" s="2979">
        <v>71.62</v>
      </c>
      <c r="I151" s="2974" t="s">
        <v>3055</v>
      </c>
      <c r="J151" s="2981" t="s">
        <v>3155</v>
      </c>
      <c r="L151" s="2976"/>
      <c r="M151" s="2976"/>
      <c r="N151" s="2976"/>
      <c r="O151" s="2976"/>
      <c r="P151" s="2976"/>
      <c r="Q151" s="2976"/>
      <c r="R151" s="2976"/>
      <c r="S151" s="2976"/>
      <c r="T151" s="2976"/>
      <c r="U151" s="2976"/>
      <c r="V151" s="2976"/>
      <c r="W151" s="2976"/>
      <c r="X151" s="2976"/>
      <c r="Y151" s="2976"/>
      <c r="Z151" s="2976"/>
      <c r="AA151" s="2976"/>
      <c r="AB151" s="2976"/>
      <c r="AC151" s="2976"/>
      <c r="AD151" s="2976"/>
      <c r="AE151" s="2976"/>
      <c r="AF151" s="2976"/>
    </row>
    <row r="152" spans="1:32">
      <c r="A152" s="2972">
        <v>151</v>
      </c>
      <c r="B152" s="2974" t="s">
        <v>3239</v>
      </c>
      <c r="C152" s="2982" t="s">
        <v>3158</v>
      </c>
      <c r="D152" s="2974" t="s">
        <v>3215</v>
      </c>
      <c r="E152" s="2982">
        <v>607</v>
      </c>
      <c r="F152" s="2983">
        <v>53.84</v>
      </c>
      <c r="G152" s="2979">
        <v>14.11</v>
      </c>
      <c r="H152" s="2979">
        <v>67.95</v>
      </c>
      <c r="I152" s="2974" t="s">
        <v>3055</v>
      </c>
      <c r="J152" s="2981" t="s">
        <v>3154</v>
      </c>
      <c r="L152" s="2976"/>
      <c r="M152" s="2976"/>
      <c r="N152" s="2976"/>
      <c r="O152" s="2976"/>
      <c r="P152" s="2976"/>
      <c r="Q152" s="2976"/>
      <c r="R152" s="2976"/>
      <c r="S152" s="2976"/>
      <c r="T152" s="2976"/>
      <c r="U152" s="2976"/>
      <c r="V152" s="2976"/>
      <c r="W152" s="2976"/>
      <c r="X152" s="2976"/>
      <c r="Y152" s="2976"/>
      <c r="Z152" s="2976"/>
      <c r="AA152" s="2976"/>
      <c r="AB152" s="2976"/>
      <c r="AC152" s="2976"/>
      <c r="AD152" s="2976"/>
      <c r="AE152" s="2976"/>
      <c r="AF152" s="2976"/>
    </row>
    <row r="153" spans="1:32">
      <c r="A153" s="2972">
        <v>152</v>
      </c>
      <c r="B153" s="2974" t="s">
        <v>3239</v>
      </c>
      <c r="C153" s="2982" t="s">
        <v>3158</v>
      </c>
      <c r="D153" s="2974" t="s">
        <v>3213</v>
      </c>
      <c r="E153" s="2982">
        <v>608</v>
      </c>
      <c r="F153" s="2983">
        <v>53.84</v>
      </c>
      <c r="G153" s="2979">
        <v>14.95</v>
      </c>
      <c r="H153" s="2979">
        <v>68.790000000000006</v>
      </c>
      <c r="I153" s="2974" t="s">
        <v>3055</v>
      </c>
      <c r="J153" s="2981" t="s">
        <v>3154</v>
      </c>
      <c r="L153" s="2976"/>
      <c r="M153" s="2976"/>
      <c r="N153" s="2976"/>
      <c r="O153" s="2976"/>
      <c r="P153" s="2976"/>
      <c r="Q153" s="2976"/>
      <c r="R153" s="2976"/>
      <c r="S153" s="2976"/>
      <c r="T153" s="2976"/>
      <c r="U153" s="2976"/>
      <c r="V153" s="2976"/>
      <c r="W153" s="2976"/>
      <c r="X153" s="2976"/>
      <c r="Y153" s="2976"/>
      <c r="Z153" s="2976"/>
      <c r="AA153" s="2976"/>
      <c r="AB153" s="2976"/>
      <c r="AC153" s="2976"/>
      <c r="AD153" s="2976"/>
      <c r="AE153" s="2976"/>
      <c r="AF153" s="2976"/>
    </row>
    <row r="154" spans="1:32">
      <c r="A154" s="2972">
        <v>153</v>
      </c>
      <c r="B154" s="2974" t="s">
        <v>3239</v>
      </c>
      <c r="C154" s="2982" t="s">
        <v>3158</v>
      </c>
      <c r="D154" s="2974" t="s">
        <v>3213</v>
      </c>
      <c r="E154" s="2982">
        <v>609</v>
      </c>
      <c r="F154" s="2983">
        <v>56.75</v>
      </c>
      <c r="G154" s="2979">
        <v>15.76</v>
      </c>
      <c r="H154" s="2979">
        <v>72.510000000000005</v>
      </c>
      <c r="I154" s="2974" t="s">
        <v>3055</v>
      </c>
      <c r="J154" s="2981" t="s">
        <v>3155</v>
      </c>
      <c r="L154" s="2976"/>
      <c r="M154" s="2976"/>
      <c r="N154" s="2976"/>
      <c r="O154" s="2976"/>
      <c r="P154" s="2976"/>
      <c r="Q154" s="2976"/>
      <c r="R154" s="2976"/>
      <c r="S154" s="2976"/>
      <c r="T154" s="2976"/>
      <c r="U154" s="2976"/>
      <c r="V154" s="2976"/>
      <c r="W154" s="2976"/>
      <c r="X154" s="2976"/>
      <c r="Y154" s="2976"/>
      <c r="Z154" s="2976"/>
      <c r="AA154" s="2976"/>
      <c r="AB154" s="2976"/>
      <c r="AC154" s="2976"/>
      <c r="AD154" s="2976"/>
      <c r="AE154" s="2976"/>
      <c r="AF154" s="2976"/>
    </row>
    <row r="155" spans="1:32">
      <c r="A155" s="2972">
        <v>154</v>
      </c>
      <c r="B155" s="2974" t="s">
        <v>3239</v>
      </c>
      <c r="C155" s="2982" t="s">
        <v>3158</v>
      </c>
      <c r="D155" s="2974" t="s">
        <v>3213</v>
      </c>
      <c r="E155" s="2982">
        <v>610</v>
      </c>
      <c r="F155" s="2983">
        <v>56.78</v>
      </c>
      <c r="G155" s="2979">
        <v>15.77</v>
      </c>
      <c r="H155" s="2979">
        <v>72.55</v>
      </c>
      <c r="I155" s="2974" t="s">
        <v>3055</v>
      </c>
      <c r="J155" s="2981" t="s">
        <v>3155</v>
      </c>
      <c r="L155" s="2976"/>
      <c r="M155" s="2976"/>
      <c r="N155" s="2976"/>
      <c r="O155" s="2976"/>
      <c r="P155" s="2976"/>
      <c r="Q155" s="2976"/>
      <c r="R155" s="2976"/>
      <c r="S155" s="2976"/>
      <c r="T155" s="2976"/>
      <c r="U155" s="2976"/>
      <c r="V155" s="2976"/>
      <c r="W155" s="2976"/>
      <c r="X155" s="2976"/>
      <c r="Y155" s="2976"/>
      <c r="Z155" s="2976"/>
      <c r="AA155" s="2976"/>
      <c r="AB155" s="2976"/>
      <c r="AC155" s="2976"/>
      <c r="AD155" s="2976"/>
      <c r="AE155" s="2976"/>
      <c r="AF155" s="2976"/>
    </row>
    <row r="156" spans="1:32">
      <c r="A156" s="2972">
        <v>155</v>
      </c>
      <c r="B156" s="2974" t="s">
        <v>3239</v>
      </c>
      <c r="C156" s="2982" t="s">
        <v>3158</v>
      </c>
      <c r="D156" s="2974" t="s">
        <v>3213</v>
      </c>
      <c r="E156" s="2982">
        <v>611</v>
      </c>
      <c r="F156" s="2983">
        <v>56.78</v>
      </c>
      <c r="G156" s="2979">
        <v>15.77</v>
      </c>
      <c r="H156" s="2979">
        <v>72.55</v>
      </c>
      <c r="I156" s="2974" t="s">
        <v>3055</v>
      </c>
      <c r="J156" s="2981" t="s">
        <v>3155</v>
      </c>
      <c r="L156" s="2976"/>
      <c r="M156" s="2976"/>
      <c r="N156" s="2976"/>
      <c r="O156" s="2976"/>
      <c r="P156" s="2976"/>
      <c r="Q156" s="2976"/>
      <c r="R156" s="2976"/>
      <c r="S156" s="2976"/>
      <c r="T156" s="2976"/>
      <c r="U156" s="2976"/>
      <c r="V156" s="2976"/>
      <c r="W156" s="2976"/>
      <c r="X156" s="2976"/>
      <c r="Y156" s="2976"/>
      <c r="Z156" s="2976"/>
      <c r="AA156" s="2976"/>
      <c r="AB156" s="2976"/>
      <c r="AC156" s="2976"/>
      <c r="AD156" s="2976"/>
      <c r="AE156" s="2976"/>
      <c r="AF156" s="2976"/>
    </row>
    <row r="157" spans="1:32">
      <c r="A157" s="2972">
        <v>156</v>
      </c>
      <c r="B157" s="2974" t="s">
        <v>3239</v>
      </c>
      <c r="C157" s="2982" t="s">
        <v>3158</v>
      </c>
      <c r="D157" s="2974" t="s">
        <v>3213</v>
      </c>
      <c r="E157" s="2982">
        <v>612</v>
      </c>
      <c r="F157" s="2983">
        <v>56.75</v>
      </c>
      <c r="G157" s="2979">
        <v>15.76</v>
      </c>
      <c r="H157" s="2979">
        <v>72.510000000000005</v>
      </c>
      <c r="I157" s="2974" t="s">
        <v>3055</v>
      </c>
      <c r="J157" s="2981" t="s">
        <v>3155</v>
      </c>
      <c r="L157" s="2976"/>
      <c r="M157" s="2976"/>
      <c r="N157" s="2976"/>
      <c r="O157" s="2976"/>
      <c r="P157" s="2976"/>
      <c r="Q157" s="2976"/>
      <c r="R157" s="2976"/>
      <c r="S157" s="2976"/>
      <c r="T157" s="2976"/>
      <c r="U157" s="2976"/>
      <c r="V157" s="2976"/>
      <c r="W157" s="2976"/>
      <c r="X157" s="2976"/>
      <c r="Y157" s="2976"/>
      <c r="Z157" s="2976"/>
      <c r="AA157" s="2976"/>
      <c r="AB157" s="2976"/>
      <c r="AC157" s="2976"/>
      <c r="AD157" s="2976"/>
      <c r="AE157" s="2976"/>
      <c r="AF157" s="2976"/>
    </row>
    <row r="158" spans="1:32">
      <c r="A158" s="2972">
        <v>157</v>
      </c>
      <c r="B158" s="2974" t="s">
        <v>3239</v>
      </c>
      <c r="C158" s="2982" t="s">
        <v>3158</v>
      </c>
      <c r="D158" s="2974" t="s">
        <v>3213</v>
      </c>
      <c r="E158" s="2982">
        <v>613</v>
      </c>
      <c r="F158" s="2983">
        <v>54.01</v>
      </c>
      <c r="G158" s="2979">
        <v>15</v>
      </c>
      <c r="H158" s="2979">
        <v>69.009999999999991</v>
      </c>
      <c r="I158" s="2974" t="s">
        <v>3055</v>
      </c>
      <c r="J158" s="2981" t="s">
        <v>3154</v>
      </c>
      <c r="L158" s="2976"/>
      <c r="M158" s="2976"/>
      <c r="N158" s="2976"/>
      <c r="O158" s="2976"/>
      <c r="P158" s="2976"/>
      <c r="Q158" s="2976"/>
      <c r="R158" s="2976"/>
      <c r="S158" s="2976"/>
      <c r="T158" s="2976"/>
      <c r="U158" s="2976"/>
      <c r="V158" s="2976"/>
      <c r="W158" s="2976"/>
      <c r="X158" s="2976"/>
      <c r="Y158" s="2976"/>
      <c r="Z158" s="2976"/>
      <c r="AA158" s="2976"/>
      <c r="AB158" s="2976"/>
      <c r="AC158" s="2976"/>
      <c r="AD158" s="2976"/>
      <c r="AE158" s="2976"/>
      <c r="AF158" s="2976"/>
    </row>
    <row r="159" spans="1:32">
      <c r="A159" s="2972">
        <v>158</v>
      </c>
      <c r="B159" s="2974" t="s">
        <v>3240</v>
      </c>
      <c r="C159" s="2982" t="s">
        <v>3153</v>
      </c>
      <c r="D159" s="2974" t="s">
        <v>3215</v>
      </c>
      <c r="E159" s="2982">
        <v>301</v>
      </c>
      <c r="F159" s="2983">
        <v>77.27</v>
      </c>
      <c r="G159" s="2979">
        <v>24.51</v>
      </c>
      <c r="H159" s="2979">
        <v>101.78</v>
      </c>
      <c r="I159" s="2974" t="s">
        <v>3055</v>
      </c>
      <c r="J159" s="2981" t="s">
        <v>3155</v>
      </c>
      <c r="L159" s="2976"/>
      <c r="M159" s="2976"/>
      <c r="N159" s="2976"/>
      <c r="O159" s="2976"/>
      <c r="P159" s="2976"/>
      <c r="Q159" s="2976"/>
      <c r="R159" s="2976"/>
      <c r="S159" s="2976"/>
      <c r="T159" s="2976"/>
      <c r="U159" s="2976"/>
      <c r="V159" s="2976"/>
      <c r="W159" s="2976"/>
      <c r="X159" s="2976"/>
      <c r="Y159" s="2976"/>
      <c r="Z159" s="2976"/>
      <c r="AA159" s="2976"/>
      <c r="AB159" s="2976"/>
      <c r="AC159" s="2976"/>
      <c r="AD159" s="2976"/>
      <c r="AE159" s="2976"/>
      <c r="AF159" s="2976"/>
    </row>
    <row r="160" spans="1:32">
      <c r="A160" s="2972">
        <v>159</v>
      </c>
      <c r="B160" s="2974" t="s">
        <v>3240</v>
      </c>
      <c r="C160" s="2982" t="s">
        <v>3153</v>
      </c>
      <c r="D160" s="2974" t="s">
        <v>3215</v>
      </c>
      <c r="E160" s="2982">
        <v>302</v>
      </c>
      <c r="F160" s="2983">
        <v>68.87</v>
      </c>
      <c r="G160" s="2979">
        <v>21.84</v>
      </c>
      <c r="H160" s="2979">
        <v>90.710000000000008</v>
      </c>
      <c r="I160" s="2974" t="s">
        <v>3055</v>
      </c>
      <c r="J160" s="2981" t="s">
        <v>3162</v>
      </c>
      <c r="L160" s="2976"/>
      <c r="M160" s="2976"/>
      <c r="N160" s="2976"/>
      <c r="O160" s="2976"/>
      <c r="P160" s="2976"/>
      <c r="Q160" s="2976"/>
      <c r="R160" s="2976"/>
      <c r="S160" s="2976"/>
      <c r="T160" s="2976"/>
      <c r="U160" s="2976"/>
      <c r="V160" s="2976"/>
      <c r="W160" s="2976"/>
      <c r="X160" s="2976"/>
      <c r="Y160" s="2976"/>
      <c r="Z160" s="2976"/>
      <c r="AA160" s="2976"/>
      <c r="AB160" s="2976"/>
      <c r="AC160" s="2976"/>
      <c r="AD160" s="2976"/>
      <c r="AE160" s="2976"/>
      <c r="AF160" s="2976"/>
    </row>
    <row r="161" spans="1:32">
      <c r="A161" s="2972">
        <v>160</v>
      </c>
      <c r="B161" s="2974" t="s">
        <v>3240</v>
      </c>
      <c r="C161" s="2982" t="s">
        <v>3153</v>
      </c>
      <c r="D161" s="2974" t="s">
        <v>3215</v>
      </c>
      <c r="E161" s="2982">
        <v>303</v>
      </c>
      <c r="F161" s="2983">
        <v>68.87</v>
      </c>
      <c r="G161" s="2979">
        <v>21.84</v>
      </c>
      <c r="H161" s="2979">
        <v>90.710000000000008</v>
      </c>
      <c r="I161" s="2974" t="s">
        <v>3055</v>
      </c>
      <c r="J161" s="2981" t="s">
        <v>3162</v>
      </c>
      <c r="L161" s="2976"/>
      <c r="M161" s="2976"/>
      <c r="N161" s="2976"/>
      <c r="O161" s="2976"/>
      <c r="P161" s="2976"/>
      <c r="Q161" s="2976"/>
      <c r="R161" s="2976"/>
      <c r="S161" s="2976"/>
      <c r="T161" s="2976"/>
      <c r="U161" s="2976"/>
      <c r="V161" s="2976"/>
      <c r="W161" s="2976"/>
      <c r="X161" s="2976"/>
      <c r="Y161" s="2976"/>
      <c r="Z161" s="2976"/>
      <c r="AA161" s="2976"/>
      <c r="AB161" s="2976"/>
      <c r="AC161" s="2976"/>
      <c r="AD161" s="2976"/>
      <c r="AE161" s="2976"/>
      <c r="AF161" s="2976"/>
    </row>
    <row r="162" spans="1:32">
      <c r="A162" s="2972">
        <v>161</v>
      </c>
      <c r="B162" s="2974" t="s">
        <v>3240</v>
      </c>
      <c r="C162" s="2982" t="s">
        <v>3153</v>
      </c>
      <c r="D162" s="2974" t="s">
        <v>3215</v>
      </c>
      <c r="E162" s="2982">
        <v>305</v>
      </c>
      <c r="F162" s="2983">
        <v>52.98</v>
      </c>
      <c r="G162" s="2979">
        <v>16.8</v>
      </c>
      <c r="H162" s="2979">
        <v>69.78</v>
      </c>
      <c r="I162" s="2974" t="s">
        <v>3055</v>
      </c>
      <c r="J162" s="2981" t="s">
        <v>3154</v>
      </c>
      <c r="L162" s="2976"/>
      <c r="M162" s="2976"/>
      <c r="N162" s="2976"/>
      <c r="O162" s="2976"/>
      <c r="P162" s="2976"/>
      <c r="Q162" s="2976"/>
      <c r="R162" s="2976"/>
      <c r="S162" s="2976"/>
      <c r="T162" s="2976"/>
      <c r="U162" s="2976"/>
      <c r="V162" s="2976"/>
      <c r="W162" s="2976"/>
      <c r="X162" s="2976"/>
      <c r="Y162" s="2976"/>
      <c r="Z162" s="2976"/>
      <c r="AA162" s="2976"/>
      <c r="AB162" s="2976"/>
      <c r="AC162" s="2976"/>
      <c r="AD162" s="2976"/>
      <c r="AE162" s="2976"/>
      <c r="AF162" s="2976"/>
    </row>
    <row r="163" spans="1:32">
      <c r="A163" s="2972">
        <v>162</v>
      </c>
      <c r="B163" s="2974" t="s">
        <v>3240</v>
      </c>
      <c r="C163" s="2982" t="s">
        <v>3153</v>
      </c>
      <c r="D163" s="2974" t="s">
        <v>3213</v>
      </c>
      <c r="E163" s="2982">
        <v>306</v>
      </c>
      <c r="F163" s="2983">
        <v>52.98</v>
      </c>
      <c r="G163" s="2979">
        <v>16.8</v>
      </c>
      <c r="H163" s="2979">
        <v>69.78</v>
      </c>
      <c r="I163" s="2974" t="s">
        <v>3055</v>
      </c>
      <c r="J163" s="2981" t="s">
        <v>3154</v>
      </c>
      <c r="L163" s="2976"/>
      <c r="M163" s="2976"/>
      <c r="N163" s="2976"/>
      <c r="O163" s="2976"/>
      <c r="P163" s="2976"/>
      <c r="Q163" s="2976"/>
      <c r="R163" s="2976"/>
      <c r="S163" s="2976"/>
      <c r="T163" s="2976"/>
      <c r="U163" s="2976"/>
      <c r="V163" s="2976"/>
      <c r="W163" s="2976"/>
      <c r="X163" s="2976"/>
      <c r="Y163" s="2976"/>
      <c r="Z163" s="2976"/>
      <c r="AA163" s="2976"/>
      <c r="AB163" s="2976"/>
      <c r="AC163" s="2976"/>
      <c r="AD163" s="2976"/>
      <c r="AE163" s="2976"/>
      <c r="AF163" s="2976"/>
    </row>
    <row r="164" spans="1:32">
      <c r="A164" s="2972">
        <v>163</v>
      </c>
      <c r="B164" s="2974" t="s">
        <v>3240</v>
      </c>
      <c r="C164" s="2982" t="s">
        <v>3153</v>
      </c>
      <c r="D164" s="2974" t="s">
        <v>3213</v>
      </c>
      <c r="E164" s="2982">
        <v>307</v>
      </c>
      <c r="F164" s="2983">
        <v>68.87</v>
      </c>
      <c r="G164" s="2979">
        <v>21.84</v>
      </c>
      <c r="H164" s="2979">
        <v>90.710000000000008</v>
      </c>
      <c r="I164" s="2974" t="s">
        <v>3055</v>
      </c>
      <c r="J164" s="2981" t="s">
        <v>3162</v>
      </c>
      <c r="L164" s="2976"/>
      <c r="M164" s="2976"/>
      <c r="N164" s="2976"/>
      <c r="O164" s="2976"/>
      <c r="P164" s="2976"/>
      <c r="Q164" s="2976"/>
      <c r="R164" s="2976"/>
      <c r="S164" s="2976"/>
      <c r="T164" s="2976"/>
      <c r="U164" s="2976"/>
      <c r="V164" s="2976"/>
      <c r="W164" s="2976"/>
      <c r="X164" s="2976"/>
      <c r="Y164" s="2976"/>
      <c r="Z164" s="2976"/>
      <c r="AA164" s="2976"/>
      <c r="AB164" s="2976"/>
      <c r="AC164" s="2976"/>
      <c r="AD164" s="2976"/>
      <c r="AE164" s="2976"/>
      <c r="AF164" s="2976"/>
    </row>
    <row r="165" spans="1:32">
      <c r="A165" s="2972">
        <v>164</v>
      </c>
      <c r="B165" s="2974" t="s">
        <v>3240</v>
      </c>
      <c r="C165" s="2982" t="s">
        <v>3153</v>
      </c>
      <c r="D165" s="2974" t="s">
        <v>3213</v>
      </c>
      <c r="E165" s="2982">
        <v>308</v>
      </c>
      <c r="F165" s="2983">
        <v>68.87</v>
      </c>
      <c r="G165" s="2979">
        <v>21.84</v>
      </c>
      <c r="H165" s="2979">
        <v>90.710000000000008</v>
      </c>
      <c r="I165" s="2974" t="s">
        <v>3055</v>
      </c>
      <c r="J165" s="2981" t="s">
        <v>3162</v>
      </c>
      <c r="L165" s="2976"/>
      <c r="M165" s="2976"/>
      <c r="N165" s="2976"/>
      <c r="O165" s="2976"/>
      <c r="P165" s="2976"/>
      <c r="Q165" s="2976"/>
      <c r="R165" s="2976"/>
      <c r="S165" s="2976"/>
      <c r="T165" s="2976"/>
      <c r="U165" s="2976"/>
      <c r="V165" s="2976"/>
      <c r="W165" s="2976"/>
      <c r="X165" s="2976"/>
      <c r="Y165" s="2976"/>
      <c r="Z165" s="2976"/>
      <c r="AA165" s="2976"/>
      <c r="AB165" s="2976"/>
      <c r="AC165" s="2976"/>
      <c r="AD165" s="2976"/>
      <c r="AE165" s="2976"/>
      <c r="AF165" s="2976"/>
    </row>
    <row r="166" spans="1:32">
      <c r="A166" s="2972">
        <v>165</v>
      </c>
      <c r="B166" s="2974" t="s">
        <v>3240</v>
      </c>
      <c r="C166" s="2982" t="s">
        <v>3153</v>
      </c>
      <c r="D166" s="2974" t="s">
        <v>3213</v>
      </c>
      <c r="E166" s="2982">
        <v>309</v>
      </c>
      <c r="F166" s="2983">
        <v>77.27</v>
      </c>
      <c r="G166" s="2979">
        <v>24.51</v>
      </c>
      <c r="H166" s="2979">
        <v>101.78</v>
      </c>
      <c r="I166" s="2974" t="s">
        <v>3055</v>
      </c>
      <c r="J166" s="2981" t="s">
        <v>3155</v>
      </c>
      <c r="L166" s="2976"/>
      <c r="M166" s="2976"/>
      <c r="N166" s="2976"/>
      <c r="O166" s="2976"/>
      <c r="P166" s="2976"/>
      <c r="Q166" s="2976"/>
      <c r="R166" s="2976"/>
      <c r="S166" s="2976"/>
      <c r="T166" s="2976"/>
      <c r="U166" s="2976"/>
      <c r="V166" s="2976"/>
      <c r="W166" s="2976"/>
      <c r="X166" s="2976"/>
      <c r="Y166" s="2976"/>
      <c r="Z166" s="2976"/>
      <c r="AA166" s="2976"/>
      <c r="AB166" s="2976"/>
      <c r="AC166" s="2976"/>
      <c r="AD166" s="2976"/>
      <c r="AE166" s="2976"/>
      <c r="AF166" s="2976"/>
    </row>
    <row r="167" spans="1:32">
      <c r="A167" s="2972">
        <v>166</v>
      </c>
      <c r="B167" s="2974" t="s">
        <v>3240</v>
      </c>
      <c r="C167" s="2982" t="s">
        <v>3156</v>
      </c>
      <c r="D167" s="2974" t="s">
        <v>3215</v>
      </c>
      <c r="E167" s="2982" t="s">
        <v>3145</v>
      </c>
      <c r="F167" s="2983">
        <v>77.27</v>
      </c>
      <c r="G167" s="2979">
        <v>24.51</v>
      </c>
      <c r="H167" s="2979">
        <v>101.78</v>
      </c>
      <c r="I167" s="2974" t="s">
        <v>3055</v>
      </c>
      <c r="J167" s="2981" t="s">
        <v>3155</v>
      </c>
      <c r="L167" s="2976"/>
      <c r="M167" s="2976"/>
      <c r="N167" s="2976"/>
      <c r="O167" s="2976"/>
      <c r="P167" s="2976"/>
      <c r="Q167" s="2976"/>
      <c r="R167" s="2976"/>
      <c r="S167" s="2976"/>
      <c r="T167" s="2976"/>
      <c r="U167" s="2976"/>
      <c r="V167" s="2976"/>
      <c r="W167" s="2976"/>
      <c r="X167" s="2976"/>
      <c r="Y167" s="2976"/>
      <c r="Z167" s="2976"/>
      <c r="AA167" s="2976"/>
      <c r="AB167" s="2976"/>
      <c r="AC167" s="2976"/>
      <c r="AD167" s="2976"/>
      <c r="AE167" s="2976"/>
      <c r="AF167" s="2976"/>
    </row>
    <row r="168" spans="1:32">
      <c r="A168" s="2972">
        <v>167</v>
      </c>
      <c r="B168" s="2974" t="s">
        <v>3240</v>
      </c>
      <c r="C168" s="2982" t="s">
        <v>3156</v>
      </c>
      <c r="D168" s="2974" t="s">
        <v>3215</v>
      </c>
      <c r="E168" s="2982" t="s">
        <v>3146</v>
      </c>
      <c r="F168" s="2983">
        <v>68.87</v>
      </c>
      <c r="G168" s="2979">
        <v>21.84</v>
      </c>
      <c r="H168" s="2979">
        <v>90.710000000000008</v>
      </c>
      <c r="I168" s="2974" t="s">
        <v>3055</v>
      </c>
      <c r="J168" s="2981" t="s">
        <v>3162</v>
      </c>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row>
    <row r="169" spans="1:32">
      <c r="A169" s="2972">
        <v>168</v>
      </c>
      <c r="B169" s="2974" t="s">
        <v>3240</v>
      </c>
      <c r="C169" s="2982" t="s">
        <v>3156</v>
      </c>
      <c r="D169" s="2974" t="s">
        <v>3215</v>
      </c>
      <c r="E169" s="2982" t="s">
        <v>3147</v>
      </c>
      <c r="F169" s="2983">
        <v>68.87</v>
      </c>
      <c r="G169" s="2979">
        <v>21.84</v>
      </c>
      <c r="H169" s="2979">
        <v>90.710000000000008</v>
      </c>
      <c r="I169" s="2974" t="s">
        <v>3055</v>
      </c>
      <c r="J169" s="2981" t="s">
        <v>3162</v>
      </c>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row>
    <row r="170" spans="1:32">
      <c r="A170" s="2972">
        <v>169</v>
      </c>
      <c r="B170" s="2974" t="s">
        <v>3240</v>
      </c>
      <c r="C170" s="2982" t="s">
        <v>3156</v>
      </c>
      <c r="D170" s="2974" t="s">
        <v>3215</v>
      </c>
      <c r="E170" s="2982" t="s">
        <v>3148</v>
      </c>
      <c r="F170" s="2983">
        <v>52.98</v>
      </c>
      <c r="G170" s="2979">
        <v>16.8</v>
      </c>
      <c r="H170" s="2979">
        <v>69.78</v>
      </c>
      <c r="I170" s="2974" t="s">
        <v>3055</v>
      </c>
      <c r="J170" s="2981" t="s">
        <v>3154</v>
      </c>
      <c r="L170" s="2976"/>
      <c r="M170" s="2976"/>
      <c r="N170" s="2976"/>
      <c r="O170" s="2976"/>
      <c r="P170" s="2976"/>
      <c r="Q170" s="2976"/>
      <c r="R170" s="2976"/>
      <c r="S170" s="2976"/>
      <c r="T170" s="2976"/>
      <c r="U170" s="2976"/>
      <c r="V170" s="2976"/>
      <c r="W170" s="2976"/>
      <c r="X170" s="2976"/>
      <c r="Y170" s="2976"/>
      <c r="Z170" s="2976"/>
      <c r="AA170" s="2976"/>
      <c r="AB170" s="2976"/>
      <c r="AC170" s="2976"/>
      <c r="AD170" s="2976"/>
      <c r="AE170" s="2976"/>
      <c r="AF170" s="2976"/>
    </row>
    <row r="171" spans="1:32">
      <c r="A171" s="2972">
        <v>170</v>
      </c>
      <c r="B171" s="2974" t="s">
        <v>3240</v>
      </c>
      <c r="C171" s="2982" t="s">
        <v>3156</v>
      </c>
      <c r="D171" s="2974" t="s">
        <v>3213</v>
      </c>
      <c r="E171" s="2982" t="s">
        <v>3149</v>
      </c>
      <c r="F171" s="2983">
        <v>52.98</v>
      </c>
      <c r="G171" s="2979">
        <v>16.8</v>
      </c>
      <c r="H171" s="2979">
        <v>69.78</v>
      </c>
      <c r="I171" s="2974" t="s">
        <v>3055</v>
      </c>
      <c r="J171" s="2981" t="s">
        <v>3154</v>
      </c>
      <c r="L171" s="2976"/>
      <c r="M171" s="2976"/>
      <c r="N171" s="2976"/>
      <c r="O171" s="2976"/>
      <c r="P171" s="2976"/>
      <c r="Q171" s="2976"/>
      <c r="R171" s="2976"/>
      <c r="S171" s="2976"/>
      <c r="T171" s="2976"/>
      <c r="U171" s="2976"/>
      <c r="V171" s="2976"/>
      <c r="W171" s="2976"/>
      <c r="X171" s="2976"/>
      <c r="Y171" s="2976"/>
      <c r="Z171" s="2976"/>
      <c r="AA171" s="2976"/>
      <c r="AB171" s="2976"/>
      <c r="AC171" s="2976"/>
      <c r="AD171" s="2976"/>
      <c r="AE171" s="2976"/>
      <c r="AF171" s="2976"/>
    </row>
    <row r="172" spans="1:32">
      <c r="A172" s="2972">
        <v>171</v>
      </c>
      <c r="B172" s="2974" t="s">
        <v>3240</v>
      </c>
      <c r="C172" s="2982" t="s">
        <v>3156</v>
      </c>
      <c r="D172" s="2974" t="s">
        <v>3213</v>
      </c>
      <c r="E172" s="2982" t="s">
        <v>3150</v>
      </c>
      <c r="F172" s="2983">
        <v>68.87</v>
      </c>
      <c r="G172" s="2979">
        <v>21.84</v>
      </c>
      <c r="H172" s="2979">
        <v>90.710000000000008</v>
      </c>
      <c r="I172" s="2974" t="s">
        <v>3055</v>
      </c>
      <c r="J172" s="2981" t="s">
        <v>3162</v>
      </c>
      <c r="L172" s="2976"/>
      <c r="M172" s="2976"/>
      <c r="N172" s="2976"/>
      <c r="O172" s="2976"/>
      <c r="P172" s="2976"/>
      <c r="Q172" s="2976"/>
      <c r="R172" s="2976"/>
      <c r="S172" s="2976"/>
      <c r="T172" s="2976"/>
      <c r="U172" s="2976"/>
      <c r="V172" s="2976"/>
      <c r="W172" s="2976"/>
      <c r="X172" s="2976"/>
      <c r="Y172" s="2976"/>
      <c r="Z172" s="2976"/>
      <c r="AA172" s="2976"/>
      <c r="AB172" s="2976"/>
      <c r="AC172" s="2976"/>
      <c r="AD172" s="2976"/>
      <c r="AE172" s="2976"/>
      <c r="AF172" s="2976"/>
    </row>
    <row r="173" spans="1:32">
      <c r="A173" s="2972">
        <v>172</v>
      </c>
      <c r="B173" s="2974" t="s">
        <v>3240</v>
      </c>
      <c r="C173" s="2982" t="s">
        <v>3156</v>
      </c>
      <c r="D173" s="2974" t="s">
        <v>3213</v>
      </c>
      <c r="E173" s="2982" t="s">
        <v>3151</v>
      </c>
      <c r="F173" s="2983">
        <v>68.87</v>
      </c>
      <c r="G173" s="2979">
        <v>21.84</v>
      </c>
      <c r="H173" s="2979">
        <v>90.710000000000008</v>
      </c>
      <c r="I173" s="2974" t="s">
        <v>3055</v>
      </c>
      <c r="J173" s="2981" t="s">
        <v>3162</v>
      </c>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row>
    <row r="174" spans="1:32">
      <c r="A174" s="2972">
        <v>173</v>
      </c>
      <c r="B174" s="2974" t="s">
        <v>3240</v>
      </c>
      <c r="C174" s="2982" t="s">
        <v>3156</v>
      </c>
      <c r="D174" s="2974" t="s">
        <v>3213</v>
      </c>
      <c r="E174" s="2982" t="s">
        <v>3163</v>
      </c>
      <c r="F174" s="2983">
        <v>77.27</v>
      </c>
      <c r="G174" s="2979">
        <v>24.51</v>
      </c>
      <c r="H174" s="2979">
        <v>101.78</v>
      </c>
      <c r="I174" s="2974" t="s">
        <v>3055</v>
      </c>
      <c r="J174" s="2981" t="s">
        <v>3155</v>
      </c>
      <c r="L174" s="2976"/>
      <c r="M174" s="2976"/>
      <c r="N174" s="2976"/>
      <c r="O174" s="2976"/>
      <c r="P174" s="2976"/>
      <c r="Q174" s="2976"/>
      <c r="R174" s="2976"/>
      <c r="S174" s="2976"/>
      <c r="T174" s="2976"/>
      <c r="U174" s="2976"/>
      <c r="V174" s="2976"/>
      <c r="W174" s="2976"/>
      <c r="X174" s="2976"/>
      <c r="Y174" s="2976"/>
      <c r="Z174" s="2976"/>
      <c r="AA174" s="2976"/>
      <c r="AB174" s="2976"/>
      <c r="AC174" s="2976"/>
      <c r="AD174" s="2976"/>
      <c r="AE174" s="2976"/>
      <c r="AF174" s="2976"/>
    </row>
    <row r="175" spans="1:32">
      <c r="A175" s="2972">
        <v>174</v>
      </c>
      <c r="B175" s="2974" t="s">
        <v>3240</v>
      </c>
      <c r="C175" s="2982" t="s">
        <v>3157</v>
      </c>
      <c r="D175" s="2974" t="s">
        <v>3215</v>
      </c>
      <c r="E175" s="2982">
        <v>501</v>
      </c>
      <c r="F175" s="2983">
        <v>77.27</v>
      </c>
      <c r="G175" s="2979">
        <v>24.51</v>
      </c>
      <c r="H175" s="2979">
        <v>101.78</v>
      </c>
      <c r="I175" s="2974" t="s">
        <v>3055</v>
      </c>
      <c r="J175" s="2981" t="s">
        <v>3155</v>
      </c>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row>
    <row r="176" spans="1:32">
      <c r="A176" s="2972">
        <v>175</v>
      </c>
      <c r="B176" s="2974" t="s">
        <v>3240</v>
      </c>
      <c r="C176" s="2982" t="s">
        <v>3157</v>
      </c>
      <c r="D176" s="2974" t="s">
        <v>3215</v>
      </c>
      <c r="E176" s="2982">
        <v>502</v>
      </c>
      <c r="F176" s="2983">
        <v>68.87</v>
      </c>
      <c r="G176" s="2979">
        <v>21.84</v>
      </c>
      <c r="H176" s="2979">
        <v>90.710000000000008</v>
      </c>
      <c r="I176" s="2974" t="s">
        <v>3055</v>
      </c>
      <c r="J176" s="2981" t="s">
        <v>3162</v>
      </c>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row>
    <row r="177" spans="1:32">
      <c r="A177" s="2972">
        <v>176</v>
      </c>
      <c r="B177" s="2974" t="s">
        <v>3240</v>
      </c>
      <c r="C177" s="2982" t="s">
        <v>3157</v>
      </c>
      <c r="D177" s="2974" t="s">
        <v>3215</v>
      </c>
      <c r="E177" s="2982">
        <v>503</v>
      </c>
      <c r="F177" s="2983">
        <v>68.87</v>
      </c>
      <c r="G177" s="2979">
        <v>21.84</v>
      </c>
      <c r="H177" s="2979">
        <v>90.710000000000008</v>
      </c>
      <c r="I177" s="2974" t="s">
        <v>3055</v>
      </c>
      <c r="J177" s="2981" t="s">
        <v>3162</v>
      </c>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row>
    <row r="178" spans="1:32">
      <c r="A178" s="2972">
        <v>177</v>
      </c>
      <c r="B178" s="2974" t="s">
        <v>3240</v>
      </c>
      <c r="C178" s="2982" t="s">
        <v>3157</v>
      </c>
      <c r="D178" s="2974" t="s">
        <v>3215</v>
      </c>
      <c r="E178" s="2982">
        <v>505</v>
      </c>
      <c r="F178" s="2983">
        <v>52.98</v>
      </c>
      <c r="G178" s="2979">
        <v>16.8</v>
      </c>
      <c r="H178" s="2979">
        <v>69.78</v>
      </c>
      <c r="I178" s="2974" t="s">
        <v>3055</v>
      </c>
      <c r="J178" s="2981" t="s">
        <v>3154</v>
      </c>
      <c r="L178" s="2976"/>
      <c r="M178" s="2976"/>
      <c r="N178" s="2976"/>
      <c r="O178" s="2976"/>
      <c r="P178" s="2976"/>
      <c r="Q178" s="2976"/>
      <c r="R178" s="2976"/>
      <c r="S178" s="2976"/>
      <c r="T178" s="2976"/>
      <c r="U178" s="2976"/>
      <c r="V178" s="2976"/>
      <c r="W178" s="2976"/>
      <c r="X178" s="2976"/>
      <c r="Y178" s="2976"/>
      <c r="Z178" s="2976"/>
      <c r="AA178" s="2976"/>
      <c r="AB178" s="2976"/>
      <c r="AC178" s="2976"/>
      <c r="AD178" s="2976"/>
      <c r="AE178" s="2976"/>
      <c r="AF178" s="2976"/>
    </row>
    <row r="179" spans="1:32">
      <c r="A179" s="2972">
        <v>178</v>
      </c>
      <c r="B179" s="2974" t="s">
        <v>3240</v>
      </c>
      <c r="C179" s="2982" t="s">
        <v>3157</v>
      </c>
      <c r="D179" s="2974" t="s">
        <v>3213</v>
      </c>
      <c r="E179" s="2982">
        <v>506</v>
      </c>
      <c r="F179" s="2983">
        <v>52.98</v>
      </c>
      <c r="G179" s="2979">
        <v>16.8</v>
      </c>
      <c r="H179" s="2979">
        <v>69.78</v>
      </c>
      <c r="I179" s="2974" t="s">
        <v>3055</v>
      </c>
      <c r="J179" s="2981" t="s">
        <v>3154</v>
      </c>
      <c r="L179" s="2976"/>
      <c r="M179" s="2976"/>
      <c r="N179" s="2976"/>
      <c r="O179" s="2976"/>
      <c r="P179" s="2976"/>
      <c r="Q179" s="2976"/>
      <c r="R179" s="2976"/>
      <c r="S179" s="2976"/>
      <c r="T179" s="2976"/>
      <c r="U179" s="2976"/>
      <c r="V179" s="2976"/>
      <c r="W179" s="2976"/>
      <c r="X179" s="2976"/>
      <c r="Y179" s="2976"/>
      <c r="Z179" s="2976"/>
      <c r="AA179" s="2976"/>
      <c r="AB179" s="2976"/>
      <c r="AC179" s="2976"/>
      <c r="AD179" s="2976"/>
      <c r="AE179" s="2976"/>
      <c r="AF179" s="2976"/>
    </row>
    <row r="180" spans="1:32">
      <c r="A180" s="2972">
        <v>179</v>
      </c>
      <c r="B180" s="2974" t="s">
        <v>3240</v>
      </c>
      <c r="C180" s="2982" t="s">
        <v>3157</v>
      </c>
      <c r="D180" s="2974" t="s">
        <v>3213</v>
      </c>
      <c r="E180" s="2982">
        <v>507</v>
      </c>
      <c r="F180" s="2983">
        <v>68.87</v>
      </c>
      <c r="G180" s="2979">
        <v>21.84</v>
      </c>
      <c r="H180" s="2979">
        <v>90.710000000000008</v>
      </c>
      <c r="I180" s="2974" t="s">
        <v>3055</v>
      </c>
      <c r="J180" s="2981" t="s">
        <v>3162</v>
      </c>
      <c r="L180" s="2976"/>
      <c r="M180" s="2976"/>
      <c r="N180" s="2976"/>
      <c r="O180" s="2976"/>
      <c r="P180" s="2976"/>
      <c r="Q180" s="2976"/>
      <c r="R180" s="2976"/>
      <c r="S180" s="2976"/>
      <c r="T180" s="2976"/>
      <c r="U180" s="2976"/>
      <c r="V180" s="2976"/>
      <c r="W180" s="2976"/>
      <c r="X180" s="2976"/>
      <c r="Y180" s="2976"/>
      <c r="Z180" s="2976"/>
      <c r="AA180" s="2976"/>
      <c r="AB180" s="2976"/>
      <c r="AC180" s="2976"/>
      <c r="AD180" s="2976"/>
      <c r="AE180" s="2976"/>
      <c r="AF180" s="2976"/>
    </row>
    <row r="181" spans="1:32">
      <c r="A181" s="2972">
        <v>180</v>
      </c>
      <c r="B181" s="2974" t="s">
        <v>3240</v>
      </c>
      <c r="C181" s="2982" t="s">
        <v>3157</v>
      </c>
      <c r="D181" s="2974" t="s">
        <v>3213</v>
      </c>
      <c r="E181" s="2982">
        <v>508</v>
      </c>
      <c r="F181" s="2983">
        <v>68.87</v>
      </c>
      <c r="G181" s="2979">
        <v>21.84</v>
      </c>
      <c r="H181" s="2979">
        <v>90.710000000000008</v>
      </c>
      <c r="I181" s="2974" t="s">
        <v>3055</v>
      </c>
      <c r="J181" s="2981" t="s">
        <v>3162</v>
      </c>
      <c r="L181" s="2976"/>
      <c r="M181" s="2976"/>
      <c r="N181" s="2976"/>
      <c r="O181" s="2976"/>
      <c r="P181" s="2976"/>
      <c r="Q181" s="2976"/>
      <c r="R181" s="2976"/>
      <c r="S181" s="2976"/>
      <c r="T181" s="2976"/>
      <c r="U181" s="2976"/>
      <c r="V181" s="2976"/>
      <c r="W181" s="2976"/>
      <c r="X181" s="2976"/>
      <c r="Y181" s="2976"/>
      <c r="Z181" s="2976"/>
      <c r="AA181" s="2976"/>
      <c r="AB181" s="2976"/>
      <c r="AC181" s="2976"/>
      <c r="AD181" s="2976"/>
      <c r="AE181" s="2976"/>
      <c r="AF181" s="2976"/>
    </row>
    <row r="182" spans="1:32">
      <c r="A182" s="2972">
        <v>181</v>
      </c>
      <c r="B182" s="2974" t="s">
        <v>3240</v>
      </c>
      <c r="C182" s="2982" t="s">
        <v>3157</v>
      </c>
      <c r="D182" s="2974" t="s">
        <v>3213</v>
      </c>
      <c r="E182" s="2982">
        <v>509</v>
      </c>
      <c r="F182" s="2983">
        <v>77.27</v>
      </c>
      <c r="G182" s="2979">
        <v>24.51</v>
      </c>
      <c r="H182" s="2979">
        <v>101.78</v>
      </c>
      <c r="I182" s="2974" t="s">
        <v>3055</v>
      </c>
      <c r="J182" s="2981" t="s">
        <v>3155</v>
      </c>
      <c r="L182" s="2976"/>
      <c r="M182" s="2976"/>
      <c r="N182" s="2976"/>
      <c r="O182" s="2976"/>
      <c r="P182" s="2976"/>
      <c r="Q182" s="2976"/>
      <c r="R182" s="2976"/>
      <c r="S182" s="2976"/>
      <c r="T182" s="2976"/>
      <c r="U182" s="2976"/>
      <c r="V182" s="2976"/>
      <c r="W182" s="2976"/>
      <c r="X182" s="2976"/>
      <c r="Y182" s="2976"/>
      <c r="Z182" s="2976"/>
      <c r="AA182" s="2976"/>
      <c r="AB182" s="2976"/>
      <c r="AC182" s="2976"/>
      <c r="AD182" s="2976"/>
      <c r="AE182" s="2976"/>
      <c r="AF182" s="2976"/>
    </row>
    <row r="183" spans="1:32">
      <c r="A183" s="2972">
        <v>182</v>
      </c>
      <c r="B183" s="2974" t="s">
        <v>3240</v>
      </c>
      <c r="C183" s="2982" t="s">
        <v>3158</v>
      </c>
      <c r="D183" s="2974" t="s">
        <v>3215</v>
      </c>
      <c r="E183" s="2982">
        <v>601</v>
      </c>
      <c r="F183" s="2983">
        <v>77.27</v>
      </c>
      <c r="G183" s="2979">
        <v>24.51</v>
      </c>
      <c r="H183" s="2979">
        <v>101.78</v>
      </c>
      <c r="I183" s="2974" t="s">
        <v>3055</v>
      </c>
      <c r="J183" s="2981" t="s">
        <v>3155</v>
      </c>
      <c r="L183" s="2976"/>
      <c r="M183" s="2976"/>
      <c r="N183" s="2976"/>
      <c r="O183" s="2976"/>
      <c r="P183" s="2976"/>
      <c r="Q183" s="2976"/>
      <c r="R183" s="2976"/>
      <c r="S183" s="2976"/>
      <c r="T183" s="2976"/>
      <c r="U183" s="2976"/>
      <c r="V183" s="2976"/>
      <c r="W183" s="2976"/>
      <c r="X183" s="2976"/>
      <c r="Y183" s="2976"/>
      <c r="Z183" s="2976"/>
      <c r="AA183" s="2976"/>
      <c r="AB183" s="2976"/>
      <c r="AC183" s="2976"/>
      <c r="AD183" s="2976"/>
      <c r="AE183" s="2976"/>
      <c r="AF183" s="2976"/>
    </row>
    <row r="184" spans="1:32">
      <c r="A184" s="2972">
        <v>183</v>
      </c>
      <c r="B184" s="2974" t="s">
        <v>3240</v>
      </c>
      <c r="C184" s="2982" t="s">
        <v>3158</v>
      </c>
      <c r="D184" s="2974" t="s">
        <v>3215</v>
      </c>
      <c r="E184" s="2982">
        <v>602</v>
      </c>
      <c r="F184" s="2983">
        <v>68.87</v>
      </c>
      <c r="G184" s="2979">
        <v>21.84</v>
      </c>
      <c r="H184" s="2979">
        <v>90.710000000000008</v>
      </c>
      <c r="I184" s="2974" t="s">
        <v>3055</v>
      </c>
      <c r="J184" s="2981" t="s">
        <v>3162</v>
      </c>
      <c r="L184" s="2976"/>
      <c r="M184" s="2976"/>
      <c r="N184" s="2976"/>
      <c r="O184" s="2976"/>
      <c r="P184" s="2976"/>
      <c r="Q184" s="2976"/>
      <c r="R184" s="2976"/>
      <c r="S184" s="2976"/>
      <c r="T184" s="2976"/>
      <c r="U184" s="2976"/>
      <c r="V184" s="2976"/>
      <c r="W184" s="2976"/>
      <c r="X184" s="2976"/>
      <c r="Y184" s="2976"/>
      <c r="Z184" s="2976"/>
      <c r="AA184" s="2976"/>
      <c r="AB184" s="2976"/>
      <c r="AC184" s="2976"/>
      <c r="AD184" s="2976"/>
      <c r="AE184" s="2976"/>
      <c r="AF184" s="2976"/>
    </row>
    <row r="185" spans="1:32">
      <c r="A185" s="2972">
        <v>184</v>
      </c>
      <c r="B185" s="2974" t="s">
        <v>3240</v>
      </c>
      <c r="C185" s="2982" t="s">
        <v>3158</v>
      </c>
      <c r="D185" s="2974" t="s">
        <v>3215</v>
      </c>
      <c r="E185" s="2982">
        <v>603</v>
      </c>
      <c r="F185" s="2983">
        <v>68.87</v>
      </c>
      <c r="G185" s="2979">
        <v>21.84</v>
      </c>
      <c r="H185" s="2979">
        <v>90.710000000000008</v>
      </c>
      <c r="I185" s="2974" t="s">
        <v>3055</v>
      </c>
      <c r="J185" s="2981" t="s">
        <v>3162</v>
      </c>
      <c r="L185" s="2976"/>
      <c r="M185" s="2976"/>
      <c r="N185" s="2976"/>
      <c r="O185" s="2976"/>
      <c r="P185" s="2976"/>
      <c r="Q185" s="2976"/>
      <c r="R185" s="2976"/>
      <c r="S185" s="2976"/>
      <c r="T185" s="2976"/>
      <c r="U185" s="2976"/>
      <c r="V185" s="2976"/>
      <c r="W185" s="2976"/>
      <c r="X185" s="2976"/>
      <c r="Y185" s="2976"/>
      <c r="Z185" s="2976"/>
      <c r="AA185" s="2976"/>
      <c r="AB185" s="2976"/>
      <c r="AC185" s="2976"/>
      <c r="AD185" s="2976"/>
      <c r="AE185" s="2976"/>
      <c r="AF185" s="2976"/>
    </row>
    <row r="186" spans="1:32">
      <c r="A186" s="2972">
        <v>185</v>
      </c>
      <c r="B186" s="2974" t="s">
        <v>3240</v>
      </c>
      <c r="C186" s="2982" t="s">
        <v>3158</v>
      </c>
      <c r="D186" s="2974" t="s">
        <v>3215</v>
      </c>
      <c r="E186" s="2982">
        <v>605</v>
      </c>
      <c r="F186" s="2983">
        <v>52.98</v>
      </c>
      <c r="G186" s="2979">
        <v>16.8</v>
      </c>
      <c r="H186" s="2979">
        <v>69.78</v>
      </c>
      <c r="I186" s="2974" t="s">
        <v>3055</v>
      </c>
      <c r="J186" s="2981" t="s">
        <v>3154</v>
      </c>
      <c r="L186" s="2976"/>
      <c r="M186" s="2976"/>
      <c r="N186" s="2976"/>
      <c r="O186" s="2976"/>
      <c r="P186" s="2976"/>
      <c r="Q186" s="2976"/>
      <c r="R186" s="2976"/>
      <c r="S186" s="2976"/>
      <c r="T186" s="2976"/>
      <c r="U186" s="2976"/>
      <c r="V186" s="2976"/>
      <c r="W186" s="2976"/>
      <c r="X186" s="2976"/>
      <c r="Y186" s="2976"/>
      <c r="Z186" s="2976"/>
      <c r="AA186" s="2976"/>
      <c r="AB186" s="2976"/>
      <c r="AC186" s="2976"/>
      <c r="AD186" s="2976"/>
      <c r="AE186" s="2976"/>
      <c r="AF186" s="2976"/>
    </row>
    <row r="187" spans="1:32">
      <c r="A187" s="2972">
        <v>186</v>
      </c>
      <c r="B187" s="2974" t="s">
        <v>3240</v>
      </c>
      <c r="C187" s="2982" t="s">
        <v>3158</v>
      </c>
      <c r="D187" s="2974" t="s">
        <v>3213</v>
      </c>
      <c r="E187" s="2982">
        <v>606</v>
      </c>
      <c r="F187" s="2983">
        <v>52.98</v>
      </c>
      <c r="G187" s="2979">
        <v>16.8</v>
      </c>
      <c r="H187" s="2979">
        <v>69.78</v>
      </c>
      <c r="I187" s="2974" t="s">
        <v>3055</v>
      </c>
      <c r="J187" s="2981" t="s">
        <v>3154</v>
      </c>
      <c r="L187" s="2976"/>
      <c r="M187" s="2976"/>
      <c r="N187" s="2976"/>
      <c r="O187" s="2976"/>
      <c r="P187" s="2976"/>
      <c r="Q187" s="2976"/>
      <c r="R187" s="2976"/>
      <c r="S187" s="2976"/>
      <c r="T187" s="2976"/>
      <c r="U187" s="2976"/>
      <c r="V187" s="2976"/>
      <c r="W187" s="2976"/>
      <c r="X187" s="2976"/>
      <c r="Y187" s="2976"/>
      <c r="Z187" s="2976"/>
      <c r="AA187" s="2976"/>
      <c r="AB187" s="2976"/>
      <c r="AC187" s="2976"/>
      <c r="AD187" s="2976"/>
      <c r="AE187" s="2976"/>
      <c r="AF187" s="2976"/>
    </row>
    <row r="188" spans="1:32">
      <c r="A188" s="2972">
        <v>187</v>
      </c>
      <c r="B188" s="2974" t="s">
        <v>3240</v>
      </c>
      <c r="C188" s="2982" t="s">
        <v>3158</v>
      </c>
      <c r="D188" s="2974" t="s">
        <v>3213</v>
      </c>
      <c r="E188" s="2982">
        <v>607</v>
      </c>
      <c r="F188" s="2983">
        <v>68.87</v>
      </c>
      <c r="G188" s="2979">
        <v>21.84</v>
      </c>
      <c r="H188" s="2979">
        <v>90.710000000000008</v>
      </c>
      <c r="I188" s="2974" t="s">
        <v>3055</v>
      </c>
      <c r="J188" s="2981" t="s">
        <v>3162</v>
      </c>
      <c r="L188" s="2976"/>
      <c r="M188" s="2976"/>
      <c r="N188" s="2976"/>
      <c r="O188" s="2976"/>
      <c r="P188" s="2976"/>
      <c r="Q188" s="2976"/>
      <c r="R188" s="2976"/>
      <c r="S188" s="2976"/>
      <c r="T188" s="2976"/>
      <c r="U188" s="2976"/>
      <c r="V188" s="2976"/>
      <c r="W188" s="2976"/>
      <c r="X188" s="2976"/>
      <c r="Y188" s="2976"/>
      <c r="Z188" s="2976"/>
      <c r="AA188" s="2976"/>
      <c r="AB188" s="2976"/>
      <c r="AC188" s="2976"/>
      <c r="AD188" s="2976"/>
      <c r="AE188" s="2976"/>
      <c r="AF188" s="2976"/>
    </row>
    <row r="189" spans="1:32">
      <c r="A189" s="2972">
        <v>188</v>
      </c>
      <c r="B189" s="2974" t="s">
        <v>3240</v>
      </c>
      <c r="C189" s="2982" t="s">
        <v>3158</v>
      </c>
      <c r="D189" s="2974" t="s">
        <v>3213</v>
      </c>
      <c r="E189" s="2982">
        <v>608</v>
      </c>
      <c r="F189" s="2983">
        <v>68.87</v>
      </c>
      <c r="G189" s="2979">
        <v>21.84</v>
      </c>
      <c r="H189" s="2979">
        <v>90.710000000000008</v>
      </c>
      <c r="I189" s="2974" t="s">
        <v>3055</v>
      </c>
      <c r="J189" s="2981" t="s">
        <v>3162</v>
      </c>
      <c r="L189" s="2976"/>
      <c r="M189" s="2976"/>
      <c r="N189" s="2976"/>
      <c r="O189" s="2976"/>
      <c r="P189" s="2976"/>
      <c r="Q189" s="2976"/>
      <c r="R189" s="2976"/>
      <c r="S189" s="2976"/>
      <c r="T189" s="2976"/>
      <c r="U189" s="2976"/>
      <c r="V189" s="2976"/>
      <c r="W189" s="2976"/>
      <c r="X189" s="2976"/>
      <c r="Y189" s="2976"/>
      <c r="Z189" s="2976"/>
      <c r="AA189" s="2976"/>
      <c r="AB189" s="2976"/>
      <c r="AC189" s="2976"/>
      <c r="AD189" s="2976"/>
      <c r="AE189" s="2976"/>
      <c r="AF189" s="2976"/>
    </row>
    <row r="190" spans="1:32">
      <c r="A190" s="2972">
        <v>189</v>
      </c>
      <c r="B190" s="2974" t="s">
        <v>3240</v>
      </c>
      <c r="C190" s="2982" t="s">
        <v>3158</v>
      </c>
      <c r="D190" s="2974" t="s">
        <v>3213</v>
      </c>
      <c r="E190" s="2982">
        <v>609</v>
      </c>
      <c r="F190" s="2983">
        <v>77.27</v>
      </c>
      <c r="G190" s="2979">
        <v>24.51</v>
      </c>
      <c r="H190" s="2979">
        <v>101.78</v>
      </c>
      <c r="I190" s="2974" t="s">
        <v>3055</v>
      </c>
      <c r="J190" s="2981" t="s">
        <v>3155</v>
      </c>
      <c r="L190" s="2976"/>
      <c r="M190" s="2976"/>
      <c r="N190" s="2976"/>
      <c r="O190" s="2976"/>
      <c r="P190" s="2976"/>
      <c r="Q190" s="2976"/>
      <c r="R190" s="2976"/>
      <c r="S190" s="2976"/>
      <c r="T190" s="2976"/>
      <c r="U190" s="2976"/>
      <c r="V190" s="2976"/>
      <c r="W190" s="2976"/>
      <c r="X190" s="2976"/>
      <c r="Y190" s="2976"/>
      <c r="Z190" s="2976"/>
      <c r="AA190" s="2976"/>
      <c r="AB190" s="2976"/>
      <c r="AC190" s="2976"/>
      <c r="AD190" s="2976"/>
      <c r="AE190" s="2976"/>
      <c r="AF190" s="2976"/>
    </row>
    <row r="191" spans="1:32">
      <c r="A191" s="2972">
        <v>190</v>
      </c>
      <c r="B191" s="2974" t="s">
        <v>3241</v>
      </c>
      <c r="C191" s="2982" t="s">
        <v>3152</v>
      </c>
      <c r="D191" s="2972" t="s">
        <v>3183</v>
      </c>
      <c r="E191" s="2982">
        <v>101</v>
      </c>
      <c r="F191" s="2983">
        <v>77.27</v>
      </c>
      <c r="G191" s="2979">
        <v>17.27</v>
      </c>
      <c r="H191" s="2979">
        <v>94.539999999999992</v>
      </c>
      <c r="I191" s="2974" t="s">
        <v>3055</v>
      </c>
      <c r="J191" s="2981" t="s">
        <v>3155</v>
      </c>
      <c r="L191" s="2976"/>
      <c r="M191" s="2976"/>
      <c r="N191" s="2976"/>
      <c r="O191" s="2976"/>
      <c r="P191" s="2976"/>
      <c r="Q191" s="2976"/>
      <c r="R191" s="2976"/>
      <c r="S191" s="2976"/>
      <c r="T191" s="2976"/>
      <c r="U191" s="2976"/>
      <c r="V191" s="2976"/>
      <c r="W191" s="2976"/>
      <c r="X191" s="2976"/>
      <c r="Y191" s="2976"/>
      <c r="Z191" s="2976"/>
      <c r="AA191" s="2976"/>
      <c r="AB191" s="2976"/>
      <c r="AC191" s="2976"/>
      <c r="AD191" s="2976"/>
      <c r="AE191" s="2976"/>
      <c r="AF191" s="2976"/>
    </row>
    <row r="192" spans="1:32">
      <c r="A192" s="2972">
        <v>191</v>
      </c>
      <c r="B192" s="2974" t="s">
        <v>3241</v>
      </c>
      <c r="C192" s="2982" t="s">
        <v>3152</v>
      </c>
      <c r="D192" s="2972" t="s">
        <v>3183</v>
      </c>
      <c r="E192" s="2982">
        <v>102</v>
      </c>
      <c r="F192" s="2983">
        <v>56.83</v>
      </c>
      <c r="G192" s="2979">
        <v>12.7</v>
      </c>
      <c r="H192" s="2979">
        <v>69.53</v>
      </c>
      <c r="I192" s="2974" t="s">
        <v>3055</v>
      </c>
      <c r="J192" s="2981" t="s">
        <v>3155</v>
      </c>
      <c r="L192" s="2976"/>
      <c r="M192" s="2976"/>
      <c r="N192" s="2976"/>
      <c r="O192" s="2976"/>
      <c r="P192" s="2976"/>
      <c r="Q192" s="2976"/>
      <c r="R192" s="2976"/>
      <c r="S192" s="2976"/>
      <c r="T192" s="2976"/>
      <c r="U192" s="2976"/>
      <c r="V192" s="2976"/>
      <c r="W192" s="2976"/>
      <c r="X192" s="2976"/>
      <c r="Y192" s="2976"/>
      <c r="Z192" s="2976"/>
      <c r="AA192" s="2976"/>
      <c r="AB192" s="2976"/>
      <c r="AC192" s="2976"/>
      <c r="AD192" s="2976"/>
      <c r="AE192" s="2976"/>
      <c r="AF192" s="2976"/>
    </row>
    <row r="193" spans="1:32">
      <c r="A193" s="2972">
        <v>192</v>
      </c>
      <c r="B193" s="2974" t="s">
        <v>3241</v>
      </c>
      <c r="C193" s="2982" t="s">
        <v>3152</v>
      </c>
      <c r="D193" s="2972" t="s">
        <v>3183</v>
      </c>
      <c r="E193" s="2982">
        <v>103</v>
      </c>
      <c r="F193" s="2983">
        <v>56.78</v>
      </c>
      <c r="G193" s="2979">
        <v>12.69</v>
      </c>
      <c r="H193" s="2979">
        <v>69.47</v>
      </c>
      <c r="I193" s="2974" t="s">
        <v>3055</v>
      </c>
      <c r="J193" s="2981" t="s">
        <v>3155</v>
      </c>
      <c r="L193" s="2976"/>
      <c r="M193" s="2976"/>
      <c r="N193" s="2976"/>
      <c r="O193" s="2976"/>
      <c r="P193" s="2976"/>
      <c r="Q193" s="2976"/>
      <c r="R193" s="2976"/>
      <c r="S193" s="2976"/>
      <c r="T193" s="2976"/>
      <c r="U193" s="2976"/>
      <c r="V193" s="2976"/>
      <c r="W193" s="2976"/>
      <c r="X193" s="2976"/>
      <c r="Y193" s="2976"/>
      <c r="Z193" s="2976"/>
      <c r="AA193" s="2976"/>
      <c r="AB193" s="2976"/>
      <c r="AC193" s="2976"/>
      <c r="AD193" s="2976"/>
      <c r="AE193" s="2976"/>
      <c r="AF193" s="2976"/>
    </row>
    <row r="194" spans="1:32">
      <c r="A194" s="2972">
        <v>193</v>
      </c>
      <c r="B194" s="2974" t="s">
        <v>3241</v>
      </c>
      <c r="C194" s="2982" t="s">
        <v>3152</v>
      </c>
      <c r="D194" s="2972" t="s">
        <v>3183</v>
      </c>
      <c r="E194" s="2982">
        <v>106</v>
      </c>
      <c r="F194" s="2983">
        <v>56.83</v>
      </c>
      <c r="G194" s="2979">
        <v>12.7</v>
      </c>
      <c r="H194" s="2979">
        <v>69.53</v>
      </c>
      <c r="I194" s="2974" t="s">
        <v>3055</v>
      </c>
      <c r="J194" s="2981" t="s">
        <v>3155</v>
      </c>
      <c r="L194" s="2976"/>
      <c r="M194" s="2976"/>
      <c r="N194" s="2976"/>
      <c r="O194" s="2976"/>
      <c r="P194" s="2976"/>
      <c r="Q194" s="2976"/>
      <c r="R194" s="2976"/>
      <c r="S194" s="2976"/>
      <c r="T194" s="2976"/>
      <c r="U194" s="2976"/>
      <c r="V194" s="2976"/>
      <c r="W194" s="2976"/>
      <c r="X194" s="2976"/>
      <c r="Y194" s="2976"/>
      <c r="Z194" s="2976"/>
      <c r="AA194" s="2976"/>
      <c r="AB194" s="2976"/>
      <c r="AC194" s="2976"/>
      <c r="AD194" s="2976"/>
      <c r="AE194" s="2976"/>
      <c r="AF194" s="2976"/>
    </row>
    <row r="195" spans="1:32">
      <c r="A195" s="2972">
        <v>194</v>
      </c>
      <c r="B195" s="2974" t="s">
        <v>3241</v>
      </c>
      <c r="C195" s="2982" t="s">
        <v>3152</v>
      </c>
      <c r="D195" s="2972" t="s">
        <v>3183</v>
      </c>
      <c r="E195" s="2982">
        <v>107</v>
      </c>
      <c r="F195" s="2983">
        <v>54.01</v>
      </c>
      <c r="G195" s="2979">
        <v>12.07</v>
      </c>
      <c r="H195" s="2979">
        <v>66.08</v>
      </c>
      <c r="I195" s="2974" t="s">
        <v>3055</v>
      </c>
      <c r="J195" s="2981" t="s">
        <v>3154</v>
      </c>
      <c r="L195" s="2976"/>
      <c r="M195" s="2976"/>
      <c r="N195" s="2976"/>
      <c r="O195" s="2976"/>
      <c r="P195" s="2976"/>
      <c r="Q195" s="2976"/>
      <c r="R195" s="2976"/>
      <c r="S195" s="2976"/>
      <c r="T195" s="2976"/>
      <c r="U195" s="2976"/>
      <c r="V195" s="2976"/>
      <c r="W195" s="2976"/>
      <c r="X195" s="2976"/>
      <c r="Y195" s="2976"/>
      <c r="Z195" s="2976"/>
      <c r="AA195" s="2976"/>
      <c r="AB195" s="2976"/>
      <c r="AC195" s="2976"/>
      <c r="AD195" s="2976"/>
      <c r="AE195" s="2976"/>
      <c r="AF195" s="2976"/>
    </row>
    <row r="196" spans="1:32">
      <c r="A196" s="2972">
        <v>195</v>
      </c>
      <c r="B196" s="2974" t="s">
        <v>3241</v>
      </c>
      <c r="C196" s="2982" t="s">
        <v>3159</v>
      </c>
      <c r="D196" s="2972" t="s">
        <v>3183</v>
      </c>
      <c r="E196" s="2982">
        <v>201</v>
      </c>
      <c r="F196" s="2983">
        <v>77.27</v>
      </c>
      <c r="G196" s="2979">
        <v>17.27</v>
      </c>
      <c r="H196" s="2979">
        <v>94.539999999999992</v>
      </c>
      <c r="I196" s="2974" t="s">
        <v>3055</v>
      </c>
      <c r="J196" s="2981" t="s">
        <v>3155</v>
      </c>
      <c r="L196" s="2976"/>
      <c r="M196" s="2976"/>
      <c r="N196" s="2976"/>
      <c r="O196" s="2976"/>
      <c r="P196" s="2976"/>
      <c r="Q196" s="2976"/>
      <c r="R196" s="2976"/>
      <c r="S196" s="2976"/>
      <c r="T196" s="2976"/>
      <c r="U196" s="2976"/>
      <c r="V196" s="2976"/>
      <c r="W196" s="2976"/>
      <c r="X196" s="2976"/>
      <c r="Y196" s="2976"/>
      <c r="Z196" s="2976"/>
      <c r="AA196" s="2976"/>
      <c r="AB196" s="2976"/>
      <c r="AC196" s="2976"/>
      <c r="AD196" s="2976"/>
      <c r="AE196" s="2976"/>
      <c r="AF196" s="2976"/>
    </row>
    <row r="197" spans="1:32">
      <c r="A197" s="2972">
        <v>196</v>
      </c>
      <c r="B197" s="2974" t="s">
        <v>3241</v>
      </c>
      <c r="C197" s="2982" t="s">
        <v>3159</v>
      </c>
      <c r="D197" s="2972" t="s">
        <v>3183</v>
      </c>
      <c r="E197" s="2982">
        <v>202</v>
      </c>
      <c r="F197" s="2983">
        <v>56.83</v>
      </c>
      <c r="G197" s="2979">
        <v>12.7</v>
      </c>
      <c r="H197" s="2979">
        <v>69.53</v>
      </c>
      <c r="I197" s="2974" t="s">
        <v>3055</v>
      </c>
      <c r="J197" s="2981" t="s">
        <v>3155</v>
      </c>
      <c r="L197" s="2976"/>
      <c r="M197" s="2976"/>
      <c r="N197" s="2976"/>
      <c r="O197" s="2976"/>
      <c r="P197" s="2976"/>
      <c r="Q197" s="2976"/>
      <c r="R197" s="2976"/>
      <c r="S197" s="2976"/>
      <c r="T197" s="2976"/>
      <c r="U197" s="2976"/>
      <c r="V197" s="2976"/>
      <c r="W197" s="2976"/>
      <c r="X197" s="2976"/>
      <c r="Y197" s="2976"/>
      <c r="Z197" s="2976"/>
      <c r="AA197" s="2976"/>
      <c r="AB197" s="2976"/>
      <c r="AC197" s="2976"/>
      <c r="AD197" s="2976"/>
      <c r="AE197" s="2976"/>
      <c r="AF197" s="2976"/>
    </row>
    <row r="198" spans="1:32">
      <c r="A198" s="2972">
        <v>197</v>
      </c>
      <c r="B198" s="2974" t="s">
        <v>3241</v>
      </c>
      <c r="C198" s="2982" t="s">
        <v>3159</v>
      </c>
      <c r="D198" s="2972" t="s">
        <v>3183</v>
      </c>
      <c r="E198" s="2982">
        <v>203</v>
      </c>
      <c r="F198" s="2983">
        <v>56.78</v>
      </c>
      <c r="G198" s="2979">
        <v>12.69</v>
      </c>
      <c r="H198" s="2979">
        <v>69.47</v>
      </c>
      <c r="I198" s="2974" t="s">
        <v>3055</v>
      </c>
      <c r="J198" s="2981" t="s">
        <v>3155</v>
      </c>
      <c r="L198" s="2976"/>
      <c r="M198" s="2976"/>
      <c r="N198" s="2976"/>
      <c r="O198" s="2976"/>
      <c r="P198" s="2976"/>
      <c r="Q198" s="2976"/>
      <c r="R198" s="2976"/>
      <c r="S198" s="2976"/>
      <c r="T198" s="2976"/>
      <c r="U198" s="2976"/>
      <c r="V198" s="2976"/>
      <c r="W198" s="2976"/>
      <c r="X198" s="2976"/>
      <c r="Y198" s="2976"/>
      <c r="Z198" s="2976"/>
      <c r="AA198" s="2976"/>
      <c r="AB198" s="2976"/>
      <c r="AC198" s="2976"/>
      <c r="AD198" s="2976"/>
      <c r="AE198" s="2976"/>
      <c r="AF198" s="2976"/>
    </row>
    <row r="199" spans="1:32">
      <c r="A199" s="2972">
        <v>198</v>
      </c>
      <c r="B199" s="2974" t="s">
        <v>3241</v>
      </c>
      <c r="C199" s="2982" t="s">
        <v>3159</v>
      </c>
      <c r="D199" s="2972" t="s">
        <v>3183</v>
      </c>
      <c r="E199" s="2982">
        <v>205</v>
      </c>
      <c r="F199" s="2983">
        <v>56.78</v>
      </c>
      <c r="G199" s="2979">
        <v>12.69</v>
      </c>
      <c r="H199" s="2979">
        <v>69.47</v>
      </c>
      <c r="I199" s="2974" t="s">
        <v>3055</v>
      </c>
      <c r="J199" s="2981" t="s">
        <v>3155</v>
      </c>
      <c r="L199" s="2976"/>
      <c r="M199" s="2976"/>
      <c r="N199" s="2976"/>
      <c r="O199" s="2976"/>
      <c r="P199" s="2976"/>
      <c r="Q199" s="2976"/>
      <c r="R199" s="2976"/>
      <c r="S199" s="2976"/>
      <c r="T199" s="2976"/>
      <c r="U199" s="2976"/>
      <c r="V199" s="2976"/>
      <c r="W199" s="2976"/>
      <c r="X199" s="2976"/>
      <c r="Y199" s="2976"/>
      <c r="Z199" s="2976"/>
      <c r="AA199" s="2976"/>
      <c r="AB199" s="2976"/>
      <c r="AC199" s="2976"/>
      <c r="AD199" s="2976"/>
      <c r="AE199" s="2976"/>
      <c r="AF199" s="2976"/>
    </row>
    <row r="200" spans="1:32">
      <c r="A200" s="2972">
        <v>199</v>
      </c>
      <c r="B200" s="2974" t="s">
        <v>3241</v>
      </c>
      <c r="C200" s="2982" t="s">
        <v>3159</v>
      </c>
      <c r="D200" s="2972" t="s">
        <v>3183</v>
      </c>
      <c r="E200" s="2982">
        <v>206</v>
      </c>
      <c r="F200" s="2983">
        <v>56.83</v>
      </c>
      <c r="G200" s="2979">
        <v>12.7</v>
      </c>
      <c r="H200" s="2979">
        <v>69.53</v>
      </c>
      <c r="I200" s="2974" t="s">
        <v>3055</v>
      </c>
      <c r="J200" s="2981" t="s">
        <v>3155</v>
      </c>
      <c r="L200" s="2976"/>
      <c r="M200" s="2976"/>
      <c r="N200" s="2976"/>
      <c r="O200" s="2976"/>
      <c r="P200" s="2976"/>
      <c r="Q200" s="2976"/>
      <c r="R200" s="2976"/>
      <c r="S200" s="2976"/>
      <c r="T200" s="2976"/>
      <c r="U200" s="2976"/>
      <c r="V200" s="2976"/>
      <c r="W200" s="2976"/>
      <c r="X200" s="2976"/>
      <c r="Y200" s="2976"/>
      <c r="Z200" s="2976"/>
      <c r="AA200" s="2976"/>
      <c r="AB200" s="2976"/>
      <c r="AC200" s="2976"/>
      <c r="AD200" s="2976"/>
      <c r="AE200" s="2976"/>
      <c r="AF200" s="2976"/>
    </row>
    <row r="201" spans="1:32">
      <c r="A201" s="2972">
        <v>200</v>
      </c>
      <c r="B201" s="2974" t="s">
        <v>3241</v>
      </c>
      <c r="C201" s="2982" t="s">
        <v>3159</v>
      </c>
      <c r="D201" s="2972" t="s">
        <v>3183</v>
      </c>
      <c r="E201" s="2982">
        <v>207</v>
      </c>
      <c r="F201" s="2983">
        <v>54.01</v>
      </c>
      <c r="G201" s="2979">
        <v>12.07</v>
      </c>
      <c r="H201" s="2979">
        <v>66.08</v>
      </c>
      <c r="I201" s="2974" t="s">
        <v>3055</v>
      </c>
      <c r="J201" s="2981" t="s">
        <v>3154</v>
      </c>
      <c r="L201" s="2976"/>
      <c r="M201" s="2976"/>
      <c r="N201" s="2976"/>
      <c r="O201" s="2976"/>
      <c r="P201" s="2976"/>
      <c r="Q201" s="2976"/>
      <c r="R201" s="2976"/>
      <c r="S201" s="2976"/>
      <c r="T201" s="2976"/>
      <c r="U201" s="2976"/>
      <c r="V201" s="2976"/>
      <c r="W201" s="2976"/>
      <c r="X201" s="2976"/>
      <c r="Y201" s="2976"/>
      <c r="Z201" s="2976"/>
      <c r="AA201" s="2976"/>
      <c r="AB201" s="2976"/>
      <c r="AC201" s="2976"/>
      <c r="AD201" s="2976"/>
      <c r="AE201" s="2976"/>
      <c r="AF201" s="2976"/>
    </row>
    <row r="202" spans="1:32">
      <c r="A202" s="2972">
        <v>201</v>
      </c>
      <c r="B202" s="2974" t="s">
        <v>3241</v>
      </c>
      <c r="C202" s="2982" t="s">
        <v>3153</v>
      </c>
      <c r="D202" s="2972" t="s">
        <v>3183</v>
      </c>
      <c r="E202" s="2982">
        <v>301</v>
      </c>
      <c r="F202" s="2983">
        <v>77.27</v>
      </c>
      <c r="G202" s="2979">
        <v>17.27</v>
      </c>
      <c r="H202" s="2979">
        <v>94.539999999999992</v>
      </c>
      <c r="I202" s="2974" t="s">
        <v>3055</v>
      </c>
      <c r="J202" s="2981" t="s">
        <v>3155</v>
      </c>
      <c r="L202" s="2976"/>
      <c r="M202" s="2976"/>
      <c r="N202" s="2976"/>
      <c r="O202" s="2976"/>
      <c r="P202" s="2976"/>
      <c r="Q202" s="2976"/>
      <c r="R202" s="2976"/>
      <c r="S202" s="2976"/>
      <c r="T202" s="2976"/>
      <c r="U202" s="2976"/>
      <c r="V202" s="2976"/>
      <c r="W202" s="2976"/>
      <c r="X202" s="2976"/>
      <c r="Y202" s="2976"/>
      <c r="Z202" s="2976"/>
      <c r="AA202" s="2976"/>
      <c r="AB202" s="2976"/>
      <c r="AC202" s="2976"/>
      <c r="AD202" s="2976"/>
      <c r="AE202" s="2976"/>
      <c r="AF202" s="2976"/>
    </row>
    <row r="203" spans="1:32">
      <c r="A203" s="2972">
        <v>202</v>
      </c>
      <c r="B203" s="2974" t="s">
        <v>3241</v>
      </c>
      <c r="C203" s="2982" t="s">
        <v>3153</v>
      </c>
      <c r="D203" s="2972" t="s">
        <v>3183</v>
      </c>
      <c r="E203" s="2982">
        <v>302</v>
      </c>
      <c r="F203" s="2983">
        <v>56.83</v>
      </c>
      <c r="G203" s="2979">
        <v>12.7</v>
      </c>
      <c r="H203" s="2979">
        <v>69.53</v>
      </c>
      <c r="I203" s="2974" t="s">
        <v>3055</v>
      </c>
      <c r="J203" s="2981" t="s">
        <v>3155</v>
      </c>
      <c r="L203" s="2976"/>
      <c r="M203" s="2976"/>
      <c r="N203" s="2976"/>
      <c r="O203" s="2976"/>
      <c r="P203" s="2976"/>
      <c r="Q203" s="2976"/>
      <c r="R203" s="2976"/>
      <c r="S203" s="2976"/>
      <c r="T203" s="2976"/>
      <c r="U203" s="2976"/>
      <c r="V203" s="2976"/>
      <c r="W203" s="2976"/>
      <c r="X203" s="2976"/>
      <c r="Y203" s="2976"/>
      <c r="Z203" s="2976"/>
      <c r="AA203" s="2976"/>
      <c r="AB203" s="2976"/>
      <c r="AC203" s="2976"/>
      <c r="AD203" s="2976"/>
      <c r="AE203" s="2976"/>
      <c r="AF203" s="2976"/>
    </row>
    <row r="204" spans="1:32">
      <c r="A204" s="2972">
        <v>203</v>
      </c>
      <c r="B204" s="2974" t="s">
        <v>3241</v>
      </c>
      <c r="C204" s="2982" t="s">
        <v>3153</v>
      </c>
      <c r="D204" s="2972" t="s">
        <v>3183</v>
      </c>
      <c r="E204" s="2982">
        <v>303</v>
      </c>
      <c r="F204" s="2983">
        <v>56.78</v>
      </c>
      <c r="G204" s="2979">
        <v>12.69</v>
      </c>
      <c r="H204" s="2979">
        <v>69.47</v>
      </c>
      <c r="I204" s="2974" t="s">
        <v>3055</v>
      </c>
      <c r="J204" s="2981" t="s">
        <v>3155</v>
      </c>
      <c r="L204" s="2976"/>
      <c r="M204" s="2976"/>
      <c r="N204" s="2976"/>
      <c r="O204" s="2976"/>
      <c r="P204" s="2976"/>
      <c r="Q204" s="2976"/>
      <c r="R204" s="2976"/>
      <c r="S204" s="2976"/>
      <c r="T204" s="2976"/>
      <c r="U204" s="2976"/>
      <c r="V204" s="2976"/>
      <c r="W204" s="2976"/>
      <c r="X204" s="2976"/>
      <c r="Y204" s="2976"/>
      <c r="Z204" s="2976"/>
      <c r="AA204" s="2976"/>
      <c r="AB204" s="2976"/>
      <c r="AC204" s="2976"/>
      <c r="AD204" s="2976"/>
      <c r="AE204" s="2976"/>
      <c r="AF204" s="2976"/>
    </row>
    <row r="205" spans="1:32">
      <c r="A205" s="2972">
        <v>204</v>
      </c>
      <c r="B205" s="2974" t="s">
        <v>3241</v>
      </c>
      <c r="C205" s="2982" t="s">
        <v>3153</v>
      </c>
      <c r="D205" s="2972" t="s">
        <v>3183</v>
      </c>
      <c r="E205" s="2982">
        <v>305</v>
      </c>
      <c r="F205" s="2983">
        <v>56.78</v>
      </c>
      <c r="G205" s="2979">
        <v>12.69</v>
      </c>
      <c r="H205" s="2979">
        <v>69.47</v>
      </c>
      <c r="I205" s="2974" t="s">
        <v>3055</v>
      </c>
      <c r="J205" s="2981" t="s">
        <v>3155</v>
      </c>
      <c r="L205" s="2976"/>
      <c r="M205" s="2976"/>
      <c r="N205" s="2976"/>
      <c r="O205" s="2976"/>
      <c r="P205" s="2976"/>
      <c r="Q205" s="2976"/>
      <c r="R205" s="2976"/>
      <c r="S205" s="2976"/>
      <c r="T205" s="2976"/>
      <c r="U205" s="2976"/>
      <c r="V205" s="2976"/>
      <c r="W205" s="2976"/>
      <c r="X205" s="2976"/>
      <c r="Y205" s="2976"/>
      <c r="Z205" s="2976"/>
      <c r="AA205" s="2976"/>
      <c r="AB205" s="2976"/>
      <c r="AC205" s="2976"/>
      <c r="AD205" s="2976"/>
      <c r="AE205" s="2976"/>
      <c r="AF205" s="2976"/>
    </row>
    <row r="206" spans="1:32">
      <c r="A206" s="2972">
        <v>205</v>
      </c>
      <c r="B206" s="2974" t="s">
        <v>3241</v>
      </c>
      <c r="C206" s="2982" t="s">
        <v>3153</v>
      </c>
      <c r="D206" s="2972" t="s">
        <v>3183</v>
      </c>
      <c r="E206" s="2982">
        <v>306</v>
      </c>
      <c r="F206" s="2983">
        <v>56.83</v>
      </c>
      <c r="G206" s="2979">
        <v>12.7</v>
      </c>
      <c r="H206" s="2979">
        <v>69.53</v>
      </c>
      <c r="I206" s="2974" t="s">
        <v>3055</v>
      </c>
      <c r="J206" s="2981" t="s">
        <v>3155</v>
      </c>
      <c r="L206" s="2976"/>
      <c r="M206" s="2976"/>
      <c r="N206" s="2976"/>
      <c r="O206" s="2976"/>
      <c r="P206" s="2976"/>
      <c r="Q206" s="2976"/>
      <c r="R206" s="2976"/>
      <c r="S206" s="2976"/>
      <c r="T206" s="2976"/>
      <c r="U206" s="2976"/>
      <c r="V206" s="2976"/>
      <c r="W206" s="2976"/>
      <c r="X206" s="2976"/>
      <c r="Y206" s="2976"/>
      <c r="Z206" s="2976"/>
      <c r="AA206" s="2976"/>
      <c r="AB206" s="2976"/>
      <c r="AC206" s="2976"/>
      <c r="AD206" s="2976"/>
      <c r="AE206" s="2976"/>
      <c r="AF206" s="2976"/>
    </row>
    <row r="207" spans="1:32">
      <c r="A207" s="2972">
        <v>206</v>
      </c>
      <c r="B207" s="2974" t="s">
        <v>3241</v>
      </c>
      <c r="C207" s="2982" t="s">
        <v>3153</v>
      </c>
      <c r="D207" s="2972" t="s">
        <v>3183</v>
      </c>
      <c r="E207" s="2982">
        <v>307</v>
      </c>
      <c r="F207" s="2983">
        <v>54.01</v>
      </c>
      <c r="G207" s="2979">
        <v>12.07</v>
      </c>
      <c r="H207" s="2979">
        <v>66.08</v>
      </c>
      <c r="I207" s="2974" t="s">
        <v>3055</v>
      </c>
      <c r="J207" s="2981" t="s">
        <v>3154</v>
      </c>
      <c r="L207" s="2976"/>
      <c r="M207" s="2976"/>
      <c r="N207" s="2976"/>
      <c r="O207" s="2976"/>
      <c r="P207" s="2976"/>
      <c r="Q207" s="2976"/>
      <c r="R207" s="2976"/>
      <c r="S207" s="2976"/>
      <c r="T207" s="2976"/>
      <c r="U207" s="2976"/>
      <c r="V207" s="2976"/>
      <c r="W207" s="2976"/>
      <c r="X207" s="2976"/>
      <c r="Y207" s="2976"/>
      <c r="Z207" s="2976"/>
      <c r="AA207" s="2976"/>
      <c r="AB207" s="2976"/>
      <c r="AC207" s="2976"/>
      <c r="AD207" s="2976"/>
      <c r="AE207" s="2976"/>
      <c r="AF207" s="2976"/>
    </row>
    <row r="208" spans="1:32">
      <c r="A208" s="2972">
        <v>207</v>
      </c>
      <c r="B208" s="2974" t="s">
        <v>3241</v>
      </c>
      <c r="C208" s="2982" t="s">
        <v>3156</v>
      </c>
      <c r="D208" s="2972" t="s">
        <v>3183</v>
      </c>
      <c r="E208" s="2982" t="s">
        <v>3145</v>
      </c>
      <c r="F208" s="2983">
        <v>77.27</v>
      </c>
      <c r="G208" s="2979">
        <v>17.27</v>
      </c>
      <c r="H208" s="2979">
        <v>94.539999999999992</v>
      </c>
      <c r="I208" s="2974" t="s">
        <v>3055</v>
      </c>
      <c r="J208" s="2981" t="s">
        <v>3155</v>
      </c>
      <c r="L208" s="2976"/>
      <c r="M208" s="2976"/>
      <c r="N208" s="2976"/>
      <c r="O208" s="2976"/>
      <c r="P208" s="2976"/>
      <c r="Q208" s="2976"/>
      <c r="R208" s="2976"/>
      <c r="S208" s="2976"/>
      <c r="T208" s="2976"/>
      <c r="U208" s="2976"/>
      <c r="V208" s="2976"/>
      <c r="W208" s="2976"/>
      <c r="X208" s="2976"/>
      <c r="Y208" s="2976"/>
      <c r="Z208" s="2976"/>
      <c r="AA208" s="2976"/>
      <c r="AB208" s="2976"/>
      <c r="AC208" s="2976"/>
      <c r="AD208" s="2976"/>
      <c r="AE208" s="2976"/>
      <c r="AF208" s="2976"/>
    </row>
    <row r="209" spans="1:32">
      <c r="A209" s="2972">
        <v>208</v>
      </c>
      <c r="B209" s="2974" t="s">
        <v>3241</v>
      </c>
      <c r="C209" s="2982" t="s">
        <v>3156</v>
      </c>
      <c r="D209" s="2972" t="s">
        <v>3183</v>
      </c>
      <c r="E209" s="2982" t="s">
        <v>3146</v>
      </c>
      <c r="F209" s="2983">
        <v>56.83</v>
      </c>
      <c r="G209" s="2979">
        <v>12.7</v>
      </c>
      <c r="H209" s="2979">
        <v>69.53</v>
      </c>
      <c r="I209" s="2974" t="s">
        <v>3055</v>
      </c>
      <c r="J209" s="2981" t="s">
        <v>3155</v>
      </c>
      <c r="L209" s="2976"/>
      <c r="M209" s="2976"/>
      <c r="N209" s="2976"/>
      <c r="O209" s="2976"/>
      <c r="P209" s="2976"/>
      <c r="Q209" s="2976"/>
      <c r="R209" s="2976"/>
      <c r="S209" s="2976"/>
      <c r="T209" s="2976"/>
      <c r="U209" s="2976"/>
      <c r="V209" s="2976"/>
      <c r="W209" s="2976"/>
      <c r="X209" s="2976"/>
      <c r="Y209" s="2976"/>
      <c r="Z209" s="2976"/>
      <c r="AA209" s="2976"/>
      <c r="AB209" s="2976"/>
      <c r="AC209" s="2976"/>
      <c r="AD209" s="2976"/>
      <c r="AE209" s="2976"/>
      <c r="AF209" s="2976"/>
    </row>
    <row r="210" spans="1:32">
      <c r="A210" s="2972">
        <v>209</v>
      </c>
      <c r="B210" s="2974" t="s">
        <v>3241</v>
      </c>
      <c r="C210" s="2982" t="s">
        <v>3156</v>
      </c>
      <c r="D210" s="2972" t="s">
        <v>3183</v>
      </c>
      <c r="E210" s="2982" t="s">
        <v>3147</v>
      </c>
      <c r="F210" s="2983">
        <v>56.78</v>
      </c>
      <c r="G210" s="2979">
        <v>12.69</v>
      </c>
      <c r="H210" s="2979">
        <v>69.47</v>
      </c>
      <c r="I210" s="2974" t="s">
        <v>3055</v>
      </c>
      <c r="J210" s="2981" t="s">
        <v>3155</v>
      </c>
      <c r="L210" s="2976"/>
      <c r="M210" s="2976"/>
      <c r="N210" s="2976"/>
      <c r="O210" s="2976"/>
      <c r="P210" s="2976"/>
      <c r="Q210" s="2976"/>
      <c r="R210" s="2976"/>
      <c r="S210" s="2976"/>
      <c r="T210" s="2976"/>
      <c r="U210" s="2976"/>
      <c r="V210" s="2976"/>
      <c r="W210" s="2976"/>
      <c r="X210" s="2976"/>
      <c r="Y210" s="2976"/>
      <c r="Z210" s="2976"/>
      <c r="AA210" s="2976"/>
      <c r="AB210" s="2976"/>
      <c r="AC210" s="2976"/>
      <c r="AD210" s="2976"/>
      <c r="AE210" s="2976"/>
      <c r="AF210" s="2976"/>
    </row>
    <row r="211" spans="1:32">
      <c r="A211" s="2972">
        <v>210</v>
      </c>
      <c r="B211" s="2974" t="s">
        <v>3241</v>
      </c>
      <c r="C211" s="2982" t="s">
        <v>3156</v>
      </c>
      <c r="D211" s="2972" t="s">
        <v>3183</v>
      </c>
      <c r="E211" s="2982" t="s">
        <v>3148</v>
      </c>
      <c r="F211" s="2983">
        <v>56.78</v>
      </c>
      <c r="G211" s="2979">
        <v>12.69</v>
      </c>
      <c r="H211" s="2979">
        <v>69.47</v>
      </c>
      <c r="I211" s="2974" t="s">
        <v>3055</v>
      </c>
      <c r="J211" s="2981" t="s">
        <v>3155</v>
      </c>
      <c r="L211" s="2976"/>
      <c r="M211" s="2976"/>
      <c r="N211" s="2976"/>
      <c r="O211" s="2976"/>
      <c r="P211" s="2976"/>
      <c r="Q211" s="2976"/>
      <c r="R211" s="2976"/>
      <c r="S211" s="2976"/>
      <c r="T211" s="2976"/>
      <c r="U211" s="2976"/>
      <c r="V211" s="2976"/>
      <c r="W211" s="2976"/>
      <c r="X211" s="2976"/>
      <c r="Y211" s="2976"/>
      <c r="Z211" s="2976"/>
      <c r="AA211" s="2976"/>
      <c r="AB211" s="2976"/>
      <c r="AC211" s="2976"/>
      <c r="AD211" s="2976"/>
      <c r="AE211" s="2976"/>
      <c r="AF211" s="2976"/>
    </row>
    <row r="212" spans="1:32">
      <c r="A212" s="2972">
        <v>211</v>
      </c>
      <c r="B212" s="2974" t="s">
        <v>3241</v>
      </c>
      <c r="C212" s="2982" t="s">
        <v>3156</v>
      </c>
      <c r="D212" s="2972" t="s">
        <v>3183</v>
      </c>
      <c r="E212" s="2982" t="s">
        <v>3149</v>
      </c>
      <c r="F212" s="2983">
        <v>56.83</v>
      </c>
      <c r="G212" s="2979">
        <v>12.7</v>
      </c>
      <c r="H212" s="2979">
        <v>69.53</v>
      </c>
      <c r="I212" s="2974" t="s">
        <v>3055</v>
      </c>
      <c r="J212" s="2981" t="s">
        <v>3155</v>
      </c>
      <c r="L212" s="2976"/>
      <c r="M212" s="2976"/>
      <c r="N212" s="2976"/>
      <c r="O212" s="2976"/>
      <c r="P212" s="2976"/>
      <c r="Q212" s="2976"/>
      <c r="R212" s="2976"/>
      <c r="S212" s="2976"/>
      <c r="T212" s="2976"/>
      <c r="U212" s="2976"/>
      <c r="V212" s="2976"/>
      <c r="W212" s="2976"/>
      <c r="X212" s="2976"/>
      <c r="Y212" s="2976"/>
      <c r="Z212" s="2976"/>
      <c r="AA212" s="2976"/>
      <c r="AB212" s="2976"/>
      <c r="AC212" s="2976"/>
      <c r="AD212" s="2976"/>
      <c r="AE212" s="2976"/>
      <c r="AF212" s="2976"/>
    </row>
    <row r="213" spans="1:32">
      <c r="A213" s="2972">
        <v>212</v>
      </c>
      <c r="B213" s="2974" t="s">
        <v>3241</v>
      </c>
      <c r="C213" s="2982" t="s">
        <v>3156</v>
      </c>
      <c r="D213" s="2972" t="s">
        <v>3183</v>
      </c>
      <c r="E213" s="2982" t="s">
        <v>3150</v>
      </c>
      <c r="F213" s="2983">
        <v>54.01</v>
      </c>
      <c r="G213" s="2979">
        <v>12.07</v>
      </c>
      <c r="H213" s="2979">
        <v>66.08</v>
      </c>
      <c r="I213" s="2974" t="s">
        <v>3055</v>
      </c>
      <c r="J213" s="2981" t="s">
        <v>3154</v>
      </c>
      <c r="L213" s="2976"/>
      <c r="M213" s="2976"/>
      <c r="N213" s="2976"/>
      <c r="O213" s="2976"/>
      <c r="P213" s="2976"/>
      <c r="Q213" s="2976"/>
      <c r="R213" s="2976"/>
      <c r="S213" s="2976"/>
      <c r="T213" s="2976"/>
      <c r="U213" s="2976"/>
      <c r="V213" s="2976"/>
      <c r="W213" s="2976"/>
      <c r="X213" s="2976"/>
      <c r="Y213" s="2976"/>
      <c r="Z213" s="2976"/>
      <c r="AA213" s="2976"/>
      <c r="AB213" s="2976"/>
      <c r="AC213" s="2976"/>
      <c r="AD213" s="2976"/>
      <c r="AE213" s="2976"/>
      <c r="AF213" s="2976"/>
    </row>
    <row r="214" spans="1:32">
      <c r="A214" s="2972">
        <v>213</v>
      </c>
      <c r="B214" s="2974" t="s">
        <v>3241</v>
      </c>
      <c r="C214" s="2982" t="s">
        <v>3157</v>
      </c>
      <c r="D214" s="2972" t="s">
        <v>3183</v>
      </c>
      <c r="E214" s="2982">
        <v>501</v>
      </c>
      <c r="F214" s="2983">
        <v>77.27</v>
      </c>
      <c r="G214" s="2979">
        <v>17.27</v>
      </c>
      <c r="H214" s="2979">
        <v>94.539999999999992</v>
      </c>
      <c r="I214" s="2974" t="s">
        <v>3055</v>
      </c>
      <c r="J214" s="2981" t="s">
        <v>3155</v>
      </c>
      <c r="L214" s="2976"/>
      <c r="M214" s="2976"/>
      <c r="N214" s="2976"/>
      <c r="O214" s="2976"/>
      <c r="P214" s="2976"/>
      <c r="Q214" s="2976"/>
      <c r="R214" s="2976"/>
      <c r="S214" s="2976"/>
      <c r="T214" s="2976"/>
      <c r="U214" s="2976"/>
      <c r="V214" s="2976"/>
      <c r="W214" s="2976"/>
      <c r="X214" s="2976"/>
      <c r="Y214" s="2976"/>
      <c r="Z214" s="2976"/>
      <c r="AA214" s="2976"/>
      <c r="AB214" s="2976"/>
      <c r="AC214" s="2976"/>
      <c r="AD214" s="2976"/>
      <c r="AE214" s="2976"/>
      <c r="AF214" s="2976"/>
    </row>
    <row r="215" spans="1:32">
      <c r="A215" s="2972">
        <v>214</v>
      </c>
      <c r="B215" s="2974" t="s">
        <v>3241</v>
      </c>
      <c r="C215" s="2982" t="s">
        <v>3157</v>
      </c>
      <c r="D215" s="2972" t="s">
        <v>3183</v>
      </c>
      <c r="E215" s="2982">
        <v>502</v>
      </c>
      <c r="F215" s="2983">
        <v>56.83</v>
      </c>
      <c r="G215" s="2979">
        <v>12.7</v>
      </c>
      <c r="H215" s="2979">
        <v>69.53</v>
      </c>
      <c r="I215" s="2974" t="s">
        <v>3055</v>
      </c>
      <c r="J215" s="2981" t="s">
        <v>3155</v>
      </c>
      <c r="L215" s="2976"/>
      <c r="M215" s="2976"/>
      <c r="N215" s="2976"/>
      <c r="O215" s="2976"/>
      <c r="P215" s="2976"/>
      <c r="Q215" s="2976"/>
      <c r="R215" s="2976"/>
      <c r="S215" s="2976"/>
      <c r="T215" s="2976"/>
      <c r="U215" s="2976"/>
      <c r="V215" s="2976"/>
      <c r="W215" s="2976"/>
      <c r="X215" s="2976"/>
      <c r="Y215" s="2976"/>
      <c r="Z215" s="2976"/>
      <c r="AA215" s="2976"/>
      <c r="AB215" s="2976"/>
      <c r="AC215" s="2976"/>
      <c r="AD215" s="2976"/>
      <c r="AE215" s="2976"/>
      <c r="AF215" s="2976"/>
    </row>
    <row r="216" spans="1:32">
      <c r="A216" s="2972">
        <v>215</v>
      </c>
      <c r="B216" s="2974" t="s">
        <v>3241</v>
      </c>
      <c r="C216" s="2982" t="s">
        <v>3157</v>
      </c>
      <c r="D216" s="2972" t="s">
        <v>3183</v>
      </c>
      <c r="E216" s="2982">
        <v>503</v>
      </c>
      <c r="F216" s="2983">
        <v>56.78</v>
      </c>
      <c r="G216" s="2979">
        <v>12.69</v>
      </c>
      <c r="H216" s="2979">
        <v>69.47</v>
      </c>
      <c r="I216" s="2974" t="s">
        <v>3055</v>
      </c>
      <c r="J216" s="2981" t="s">
        <v>3155</v>
      </c>
      <c r="L216" s="2976"/>
      <c r="M216" s="2976"/>
      <c r="N216" s="2976"/>
      <c r="O216" s="2976"/>
      <c r="P216" s="2976"/>
      <c r="Q216" s="2976"/>
      <c r="R216" s="2976"/>
      <c r="S216" s="2976"/>
      <c r="T216" s="2976"/>
      <c r="U216" s="2976"/>
      <c r="V216" s="2976"/>
      <c r="W216" s="2976"/>
      <c r="X216" s="2976"/>
      <c r="Y216" s="2976"/>
      <c r="Z216" s="2976"/>
      <c r="AA216" s="2976"/>
      <c r="AB216" s="2976"/>
      <c r="AC216" s="2976"/>
      <c r="AD216" s="2976"/>
      <c r="AE216" s="2976"/>
      <c r="AF216" s="2976"/>
    </row>
    <row r="217" spans="1:32">
      <c r="A217" s="2972">
        <v>216</v>
      </c>
      <c r="B217" s="2974" t="s">
        <v>3241</v>
      </c>
      <c r="C217" s="2982" t="s">
        <v>3157</v>
      </c>
      <c r="D217" s="2972" t="s">
        <v>3183</v>
      </c>
      <c r="E217" s="2982">
        <v>505</v>
      </c>
      <c r="F217" s="2983">
        <v>56.78</v>
      </c>
      <c r="G217" s="2979">
        <v>12.69</v>
      </c>
      <c r="H217" s="2979">
        <v>69.47</v>
      </c>
      <c r="I217" s="2974" t="s">
        <v>3055</v>
      </c>
      <c r="J217" s="2981" t="s">
        <v>3155</v>
      </c>
      <c r="L217" s="2976"/>
      <c r="M217" s="2976"/>
      <c r="N217" s="2976"/>
      <c r="O217" s="2976"/>
      <c r="P217" s="2976"/>
      <c r="Q217" s="2976"/>
      <c r="R217" s="2976"/>
      <c r="S217" s="2976"/>
      <c r="T217" s="2976"/>
      <c r="U217" s="2976"/>
      <c r="V217" s="2976"/>
      <c r="W217" s="2976"/>
      <c r="X217" s="2976"/>
      <c r="Y217" s="2976"/>
      <c r="Z217" s="2976"/>
      <c r="AA217" s="2976"/>
      <c r="AB217" s="2976"/>
      <c r="AC217" s="2976"/>
      <c r="AD217" s="2976"/>
      <c r="AE217" s="2976"/>
      <c r="AF217" s="2976"/>
    </row>
    <row r="218" spans="1:32">
      <c r="A218" s="2972">
        <v>217</v>
      </c>
      <c r="B218" s="2974" t="s">
        <v>3241</v>
      </c>
      <c r="C218" s="2982" t="s">
        <v>3157</v>
      </c>
      <c r="D218" s="2972" t="s">
        <v>3183</v>
      </c>
      <c r="E218" s="2982">
        <v>506</v>
      </c>
      <c r="F218" s="2983">
        <v>56.83</v>
      </c>
      <c r="G218" s="2979">
        <v>12.7</v>
      </c>
      <c r="H218" s="2979">
        <v>69.53</v>
      </c>
      <c r="I218" s="2974" t="s">
        <v>3055</v>
      </c>
      <c r="J218" s="2981" t="s">
        <v>3155</v>
      </c>
      <c r="L218" s="2976"/>
      <c r="M218" s="2976"/>
      <c r="N218" s="2976"/>
      <c r="O218" s="2976"/>
      <c r="P218" s="2976"/>
      <c r="Q218" s="2976"/>
      <c r="R218" s="2976"/>
      <c r="S218" s="2976"/>
      <c r="T218" s="2976"/>
      <c r="U218" s="2976"/>
      <c r="V218" s="2976"/>
      <c r="W218" s="2976"/>
      <c r="X218" s="2976"/>
      <c r="Y218" s="2976"/>
      <c r="Z218" s="2976"/>
      <c r="AA218" s="2976"/>
      <c r="AB218" s="2976"/>
      <c r="AC218" s="2976"/>
      <c r="AD218" s="2976"/>
      <c r="AE218" s="2976"/>
      <c r="AF218" s="2976"/>
    </row>
    <row r="219" spans="1:32">
      <c r="A219" s="2972">
        <v>218</v>
      </c>
      <c r="B219" s="2974" t="s">
        <v>3241</v>
      </c>
      <c r="C219" s="2982" t="s">
        <v>3157</v>
      </c>
      <c r="D219" s="2972" t="s">
        <v>3183</v>
      </c>
      <c r="E219" s="2982">
        <v>507</v>
      </c>
      <c r="F219" s="2983">
        <v>54.01</v>
      </c>
      <c r="G219" s="2979">
        <v>12.07</v>
      </c>
      <c r="H219" s="2979">
        <v>66.08</v>
      </c>
      <c r="I219" s="2974" t="s">
        <v>3055</v>
      </c>
      <c r="J219" s="2981" t="s">
        <v>3154</v>
      </c>
      <c r="L219" s="2976"/>
      <c r="M219" s="2976"/>
      <c r="N219" s="2976"/>
      <c r="O219" s="2976"/>
      <c r="P219" s="2976"/>
      <c r="Q219" s="2976"/>
      <c r="R219" s="2976"/>
      <c r="S219" s="2976"/>
      <c r="T219" s="2976"/>
      <c r="U219" s="2976"/>
      <c r="V219" s="2976"/>
      <c r="W219" s="2976"/>
      <c r="X219" s="2976"/>
      <c r="Y219" s="2976"/>
      <c r="Z219" s="2976"/>
      <c r="AA219" s="2976"/>
      <c r="AB219" s="2976"/>
      <c r="AC219" s="2976"/>
      <c r="AD219" s="2976"/>
      <c r="AE219" s="2976"/>
      <c r="AF219" s="2976"/>
    </row>
    <row r="220" spans="1:32">
      <c r="A220" s="2972">
        <v>219</v>
      </c>
      <c r="B220" s="2974" t="s">
        <v>3241</v>
      </c>
      <c r="C220" s="2982" t="s">
        <v>3158</v>
      </c>
      <c r="D220" s="2972" t="s">
        <v>3183</v>
      </c>
      <c r="E220" s="2982">
        <v>601</v>
      </c>
      <c r="F220" s="2983">
        <v>77.27</v>
      </c>
      <c r="G220" s="2979">
        <v>17.27</v>
      </c>
      <c r="H220" s="2979">
        <v>94.539999999999992</v>
      </c>
      <c r="I220" s="2974" t="s">
        <v>3055</v>
      </c>
      <c r="J220" s="2981" t="s">
        <v>3155</v>
      </c>
      <c r="L220" s="2976"/>
      <c r="M220" s="2976"/>
      <c r="N220" s="2976"/>
      <c r="O220" s="2976"/>
      <c r="P220" s="2976"/>
      <c r="Q220" s="2976"/>
      <c r="R220" s="2976"/>
      <c r="S220" s="2976"/>
      <c r="T220" s="2976"/>
      <c r="U220" s="2976"/>
      <c r="V220" s="2976"/>
      <c r="W220" s="2976"/>
      <c r="X220" s="2976"/>
      <c r="Y220" s="2976"/>
      <c r="Z220" s="2976"/>
      <c r="AA220" s="2976"/>
      <c r="AB220" s="2976"/>
      <c r="AC220" s="2976"/>
      <c r="AD220" s="2976"/>
      <c r="AE220" s="2976"/>
      <c r="AF220" s="2976"/>
    </row>
    <row r="221" spans="1:32">
      <c r="A221" s="2972">
        <v>220</v>
      </c>
      <c r="B221" s="2974" t="s">
        <v>3241</v>
      </c>
      <c r="C221" s="2982" t="s">
        <v>3158</v>
      </c>
      <c r="D221" s="2972" t="s">
        <v>3183</v>
      </c>
      <c r="E221" s="2982">
        <v>602</v>
      </c>
      <c r="F221" s="2983">
        <v>56.83</v>
      </c>
      <c r="G221" s="2979">
        <v>12.7</v>
      </c>
      <c r="H221" s="2979">
        <v>69.53</v>
      </c>
      <c r="I221" s="2974" t="s">
        <v>3055</v>
      </c>
      <c r="J221" s="2981" t="s">
        <v>3155</v>
      </c>
      <c r="L221" s="2976"/>
      <c r="M221" s="2976"/>
      <c r="N221" s="2976"/>
      <c r="O221" s="2976"/>
      <c r="P221" s="2976"/>
      <c r="Q221" s="2976"/>
      <c r="R221" s="2976"/>
      <c r="S221" s="2976"/>
      <c r="T221" s="2976"/>
      <c r="U221" s="2976"/>
      <c r="V221" s="2976"/>
      <c r="W221" s="2976"/>
      <c r="X221" s="2976"/>
      <c r="Y221" s="2976"/>
      <c r="Z221" s="2976"/>
      <c r="AA221" s="2976"/>
      <c r="AB221" s="2976"/>
      <c r="AC221" s="2976"/>
      <c r="AD221" s="2976"/>
      <c r="AE221" s="2976"/>
      <c r="AF221" s="2976"/>
    </row>
    <row r="222" spans="1:32">
      <c r="A222" s="2972">
        <v>221</v>
      </c>
      <c r="B222" s="2974" t="s">
        <v>3241</v>
      </c>
      <c r="C222" s="2982" t="s">
        <v>3158</v>
      </c>
      <c r="D222" s="2972" t="s">
        <v>3183</v>
      </c>
      <c r="E222" s="2982">
        <v>603</v>
      </c>
      <c r="F222" s="2983">
        <v>56.78</v>
      </c>
      <c r="G222" s="2979">
        <v>12.69</v>
      </c>
      <c r="H222" s="2979">
        <v>69.47</v>
      </c>
      <c r="I222" s="2974" t="s">
        <v>3055</v>
      </c>
      <c r="J222" s="2981" t="s">
        <v>3155</v>
      </c>
      <c r="L222" s="2976"/>
      <c r="M222" s="2976"/>
      <c r="N222" s="2976"/>
      <c r="O222" s="2976"/>
      <c r="P222" s="2976"/>
      <c r="Q222" s="2976"/>
      <c r="R222" s="2976"/>
      <c r="S222" s="2976"/>
      <c r="T222" s="2976"/>
      <c r="U222" s="2976"/>
      <c r="V222" s="2976"/>
      <c r="W222" s="2976"/>
      <c r="X222" s="2976"/>
      <c r="Y222" s="2976"/>
      <c r="Z222" s="2976"/>
      <c r="AA222" s="2976"/>
      <c r="AB222" s="2976"/>
      <c r="AC222" s="2976"/>
      <c r="AD222" s="2976"/>
      <c r="AE222" s="2976"/>
      <c r="AF222" s="2976"/>
    </row>
    <row r="223" spans="1:32">
      <c r="A223" s="2972">
        <v>222</v>
      </c>
      <c r="B223" s="2974" t="s">
        <v>3241</v>
      </c>
      <c r="C223" s="2982" t="s">
        <v>3158</v>
      </c>
      <c r="D223" s="2972" t="s">
        <v>3183</v>
      </c>
      <c r="E223" s="2982">
        <v>605</v>
      </c>
      <c r="F223" s="2983">
        <v>56.78</v>
      </c>
      <c r="G223" s="2979">
        <v>12.69</v>
      </c>
      <c r="H223" s="2979">
        <v>69.47</v>
      </c>
      <c r="I223" s="2974" t="s">
        <v>3055</v>
      </c>
      <c r="J223" s="2981" t="s">
        <v>3155</v>
      </c>
      <c r="L223" s="2976"/>
      <c r="M223" s="2976"/>
      <c r="N223" s="2976"/>
      <c r="O223" s="2976"/>
      <c r="P223" s="2976"/>
      <c r="Q223" s="2976"/>
      <c r="R223" s="2976"/>
      <c r="S223" s="2976"/>
      <c r="T223" s="2976"/>
      <c r="U223" s="2976"/>
      <c r="V223" s="2976"/>
      <c r="W223" s="2976"/>
      <c r="X223" s="2976"/>
      <c r="Y223" s="2976"/>
      <c r="Z223" s="2976"/>
      <c r="AA223" s="2976"/>
      <c r="AB223" s="2976"/>
      <c r="AC223" s="2976"/>
      <c r="AD223" s="2976"/>
      <c r="AE223" s="2976"/>
      <c r="AF223" s="2976"/>
    </row>
    <row r="224" spans="1:32">
      <c r="A224" s="2972">
        <v>223</v>
      </c>
      <c r="B224" s="2974" t="s">
        <v>3241</v>
      </c>
      <c r="C224" s="2982" t="s">
        <v>3158</v>
      </c>
      <c r="D224" s="2972" t="s">
        <v>3183</v>
      </c>
      <c r="E224" s="2982">
        <v>606</v>
      </c>
      <c r="F224" s="2983">
        <v>56.83</v>
      </c>
      <c r="G224" s="2979">
        <v>12.7</v>
      </c>
      <c r="H224" s="2979">
        <v>69.53</v>
      </c>
      <c r="I224" s="2974" t="s">
        <v>3055</v>
      </c>
      <c r="J224" s="2981" t="s">
        <v>3155</v>
      </c>
      <c r="L224" s="2976"/>
      <c r="M224" s="2976"/>
      <c r="N224" s="2976"/>
      <c r="O224" s="2976"/>
      <c r="P224" s="2976"/>
      <c r="Q224" s="2976"/>
      <c r="R224" s="2976"/>
      <c r="S224" s="2976"/>
      <c r="T224" s="2976"/>
      <c r="U224" s="2976"/>
      <c r="V224" s="2976"/>
      <c r="W224" s="2976"/>
      <c r="X224" s="2976"/>
      <c r="Y224" s="2976"/>
      <c r="Z224" s="2976"/>
      <c r="AA224" s="2976"/>
      <c r="AB224" s="2976"/>
      <c r="AC224" s="2976"/>
      <c r="AD224" s="2976"/>
      <c r="AE224" s="2976"/>
      <c r="AF224" s="2976"/>
    </row>
    <row r="225" spans="1:32">
      <c r="A225" s="2972">
        <v>224</v>
      </c>
      <c r="B225" s="2974" t="s">
        <v>3241</v>
      </c>
      <c r="C225" s="2982" t="s">
        <v>3158</v>
      </c>
      <c r="D225" s="2972" t="s">
        <v>3183</v>
      </c>
      <c r="E225" s="2982">
        <v>607</v>
      </c>
      <c r="F225" s="2983">
        <v>54.01</v>
      </c>
      <c r="G225" s="2979">
        <v>12.07</v>
      </c>
      <c r="H225" s="2979">
        <v>66.08</v>
      </c>
      <c r="I225" s="2974" t="s">
        <v>3055</v>
      </c>
      <c r="J225" s="2981" t="s">
        <v>3154</v>
      </c>
      <c r="L225" s="2976"/>
      <c r="M225" s="2976"/>
      <c r="N225" s="2976"/>
      <c r="O225" s="2976"/>
      <c r="P225" s="2976"/>
      <c r="Q225" s="2976"/>
      <c r="R225" s="2976"/>
      <c r="S225" s="2976"/>
      <c r="T225" s="2976"/>
      <c r="U225" s="2976"/>
      <c r="V225" s="2976"/>
      <c r="W225" s="2976"/>
      <c r="X225" s="2976"/>
      <c r="Y225" s="2976"/>
      <c r="Z225" s="2976"/>
      <c r="AA225" s="2976"/>
      <c r="AB225" s="2976"/>
      <c r="AC225" s="2976"/>
      <c r="AD225" s="2976"/>
      <c r="AE225" s="2976"/>
      <c r="AF225" s="2976"/>
    </row>
    <row r="226" spans="1:32">
      <c r="A226" s="2972">
        <v>225</v>
      </c>
      <c r="B226" s="2974" t="s">
        <v>3242</v>
      </c>
      <c r="C226" s="2982" t="s">
        <v>3152</v>
      </c>
      <c r="D226" s="2972" t="s">
        <v>3183</v>
      </c>
      <c r="E226" s="2982">
        <v>101</v>
      </c>
      <c r="F226" s="2983">
        <v>77.27</v>
      </c>
      <c r="G226" s="2979">
        <v>16.670000000000002</v>
      </c>
      <c r="H226" s="2979">
        <v>93.94</v>
      </c>
      <c r="I226" s="2974" t="s">
        <v>3055</v>
      </c>
      <c r="J226" s="2981" t="s">
        <v>3155</v>
      </c>
      <c r="L226" s="2976"/>
      <c r="M226" s="2976"/>
      <c r="N226" s="2976"/>
      <c r="O226" s="2976"/>
      <c r="P226" s="2976"/>
      <c r="Q226" s="2976"/>
      <c r="R226" s="2976"/>
      <c r="S226" s="2976"/>
      <c r="T226" s="2976"/>
      <c r="U226" s="2976"/>
      <c r="V226" s="2976"/>
      <c r="W226" s="2976"/>
      <c r="X226" s="2976"/>
      <c r="Y226" s="2976"/>
      <c r="Z226" s="2976"/>
      <c r="AA226" s="2976"/>
      <c r="AB226" s="2976"/>
      <c r="AC226" s="2976"/>
      <c r="AD226" s="2976"/>
      <c r="AE226" s="2976"/>
      <c r="AF226" s="2976"/>
    </row>
    <row r="227" spans="1:32">
      <c r="A227" s="2972">
        <v>226</v>
      </c>
      <c r="B227" s="2974" t="s">
        <v>3242</v>
      </c>
      <c r="C227" s="2982" t="s">
        <v>3152</v>
      </c>
      <c r="D227" s="2972" t="s">
        <v>3183</v>
      </c>
      <c r="E227" s="2982">
        <v>102</v>
      </c>
      <c r="F227" s="2983">
        <v>56.83</v>
      </c>
      <c r="G227" s="2979">
        <v>12.26</v>
      </c>
      <c r="H227" s="2979">
        <v>69.09</v>
      </c>
      <c r="I227" s="2974" t="s">
        <v>3055</v>
      </c>
      <c r="J227" s="2981" t="s">
        <v>3155</v>
      </c>
      <c r="L227" s="2976"/>
      <c r="M227" s="2976"/>
      <c r="N227" s="2976"/>
      <c r="O227" s="2976"/>
      <c r="P227" s="2976"/>
      <c r="Q227" s="2976"/>
      <c r="R227" s="2976"/>
      <c r="S227" s="2976"/>
      <c r="T227" s="2976"/>
      <c r="U227" s="2976"/>
      <c r="V227" s="2976"/>
      <c r="W227" s="2976"/>
      <c r="X227" s="2976"/>
      <c r="Y227" s="2976"/>
      <c r="Z227" s="2976"/>
      <c r="AA227" s="2976"/>
      <c r="AB227" s="2976"/>
      <c r="AC227" s="2976"/>
      <c r="AD227" s="2976"/>
      <c r="AE227" s="2976"/>
      <c r="AF227" s="2976"/>
    </row>
    <row r="228" spans="1:32">
      <c r="A228" s="2972">
        <v>227</v>
      </c>
      <c r="B228" s="2974" t="s">
        <v>3242</v>
      </c>
      <c r="C228" s="2982" t="s">
        <v>3152</v>
      </c>
      <c r="D228" s="2972" t="s">
        <v>3183</v>
      </c>
      <c r="E228" s="2982">
        <v>103</v>
      </c>
      <c r="F228" s="2983">
        <v>56.78</v>
      </c>
      <c r="G228" s="2979">
        <v>12.25</v>
      </c>
      <c r="H228" s="2979">
        <v>69.03</v>
      </c>
      <c r="I228" s="2974" t="s">
        <v>3055</v>
      </c>
      <c r="J228" s="2981" t="s">
        <v>3155</v>
      </c>
      <c r="L228" s="2976"/>
      <c r="M228" s="2976"/>
      <c r="N228" s="2976"/>
      <c r="O228" s="2976"/>
      <c r="P228" s="2976"/>
      <c r="Q228" s="2976"/>
      <c r="R228" s="2976"/>
      <c r="S228" s="2976"/>
      <c r="T228" s="2976"/>
      <c r="U228" s="2976"/>
      <c r="V228" s="2976"/>
      <c r="W228" s="2976"/>
      <c r="X228" s="2976"/>
      <c r="Y228" s="2976"/>
      <c r="Z228" s="2976"/>
      <c r="AA228" s="2976"/>
      <c r="AB228" s="2976"/>
      <c r="AC228" s="2976"/>
      <c r="AD228" s="2976"/>
      <c r="AE228" s="2976"/>
      <c r="AF228" s="2976"/>
    </row>
    <row r="229" spans="1:32">
      <c r="A229" s="2972">
        <v>228</v>
      </c>
      <c r="B229" s="2974" t="s">
        <v>3242</v>
      </c>
      <c r="C229" s="2982" t="s">
        <v>3152</v>
      </c>
      <c r="D229" s="2972" t="s">
        <v>3183</v>
      </c>
      <c r="E229" s="2982">
        <v>105</v>
      </c>
      <c r="F229" s="2983">
        <v>56.78</v>
      </c>
      <c r="G229" s="2979">
        <v>12.25</v>
      </c>
      <c r="H229" s="2979">
        <v>69.03</v>
      </c>
      <c r="I229" s="2974" t="s">
        <v>3055</v>
      </c>
      <c r="J229" s="2981" t="s">
        <v>3155</v>
      </c>
      <c r="L229" s="2976"/>
      <c r="M229" s="2976"/>
      <c r="N229" s="2976"/>
      <c r="O229" s="2976"/>
      <c r="P229" s="2976"/>
      <c r="Q229" s="2976"/>
      <c r="R229" s="2976"/>
      <c r="S229" s="2976"/>
      <c r="T229" s="2976"/>
      <c r="U229" s="2976"/>
      <c r="V229" s="2976"/>
      <c r="W229" s="2976"/>
      <c r="X229" s="2976"/>
      <c r="Y229" s="2976"/>
      <c r="Z229" s="2976"/>
      <c r="AA229" s="2976"/>
      <c r="AB229" s="2976"/>
      <c r="AC229" s="2976"/>
      <c r="AD229" s="2976"/>
      <c r="AE229" s="2976"/>
      <c r="AF229" s="2976"/>
    </row>
    <row r="230" spans="1:32">
      <c r="A230" s="2972">
        <v>229</v>
      </c>
      <c r="B230" s="2974" t="s">
        <v>3242</v>
      </c>
      <c r="C230" s="2982" t="s">
        <v>3152</v>
      </c>
      <c r="D230" s="2972" t="s">
        <v>3183</v>
      </c>
      <c r="E230" s="2982">
        <v>106</v>
      </c>
      <c r="F230" s="2983">
        <v>56.83</v>
      </c>
      <c r="G230" s="2979">
        <v>12.26</v>
      </c>
      <c r="H230" s="2979">
        <v>69.09</v>
      </c>
      <c r="I230" s="2974" t="s">
        <v>3055</v>
      </c>
      <c r="J230" s="2981" t="s">
        <v>3155</v>
      </c>
      <c r="L230" s="2976"/>
      <c r="M230" s="2976"/>
      <c r="N230" s="2976"/>
      <c r="O230" s="2976"/>
      <c r="P230" s="2976"/>
      <c r="Q230" s="2976"/>
      <c r="R230" s="2976"/>
      <c r="S230" s="2976"/>
      <c r="T230" s="2976"/>
      <c r="U230" s="2976"/>
      <c r="V230" s="2976"/>
      <c r="W230" s="2976"/>
      <c r="X230" s="2976"/>
      <c r="Y230" s="2976"/>
      <c r="Z230" s="2976"/>
      <c r="AA230" s="2976"/>
      <c r="AB230" s="2976"/>
      <c r="AC230" s="2976"/>
      <c r="AD230" s="2976"/>
      <c r="AE230" s="2976"/>
      <c r="AF230" s="2976"/>
    </row>
    <row r="231" spans="1:32">
      <c r="A231" s="2972">
        <v>230</v>
      </c>
      <c r="B231" s="2974" t="s">
        <v>3242</v>
      </c>
      <c r="C231" s="2982" t="s">
        <v>3152</v>
      </c>
      <c r="D231" s="2972" t="s">
        <v>3183</v>
      </c>
      <c r="E231" s="2982">
        <v>107</v>
      </c>
      <c r="F231" s="2983">
        <v>54.01</v>
      </c>
      <c r="G231" s="2979">
        <v>11.65</v>
      </c>
      <c r="H231" s="2979">
        <v>65.66</v>
      </c>
      <c r="I231" s="2974" t="s">
        <v>3055</v>
      </c>
      <c r="J231" s="2981" t="s">
        <v>3154</v>
      </c>
      <c r="L231" s="2976"/>
      <c r="M231" s="2976"/>
      <c r="N231" s="2976"/>
      <c r="O231" s="2976"/>
      <c r="P231" s="2976"/>
      <c r="Q231" s="2976"/>
      <c r="R231" s="2976"/>
      <c r="S231" s="2976"/>
      <c r="T231" s="2976"/>
      <c r="U231" s="2976"/>
      <c r="V231" s="2976"/>
      <c r="W231" s="2976"/>
      <c r="X231" s="2976"/>
      <c r="Y231" s="2976"/>
      <c r="Z231" s="2976"/>
      <c r="AA231" s="2976"/>
      <c r="AB231" s="2976"/>
      <c r="AC231" s="2976"/>
      <c r="AD231" s="2976"/>
      <c r="AE231" s="2976"/>
      <c r="AF231" s="2976"/>
    </row>
    <row r="232" spans="1:32">
      <c r="A232" s="2972">
        <v>231</v>
      </c>
      <c r="B232" s="2974" t="s">
        <v>3242</v>
      </c>
      <c r="C232" s="2982" t="s">
        <v>3159</v>
      </c>
      <c r="D232" s="2972" t="s">
        <v>3183</v>
      </c>
      <c r="E232" s="2982">
        <v>201</v>
      </c>
      <c r="F232" s="2983">
        <v>77.27</v>
      </c>
      <c r="G232" s="2979">
        <v>16.670000000000002</v>
      </c>
      <c r="H232" s="2979">
        <v>93.94</v>
      </c>
      <c r="I232" s="2974" t="s">
        <v>3055</v>
      </c>
      <c r="J232" s="2981" t="s">
        <v>3155</v>
      </c>
      <c r="L232" s="2976"/>
      <c r="M232" s="2976"/>
      <c r="N232" s="2976"/>
      <c r="O232" s="2976"/>
      <c r="P232" s="2976"/>
      <c r="Q232" s="2976"/>
      <c r="R232" s="2976"/>
      <c r="S232" s="2976"/>
      <c r="T232" s="2976"/>
      <c r="U232" s="2976"/>
      <c r="V232" s="2976"/>
      <c r="W232" s="2976"/>
      <c r="X232" s="2976"/>
      <c r="Y232" s="2976"/>
      <c r="Z232" s="2976"/>
      <c r="AA232" s="2976"/>
      <c r="AB232" s="2976"/>
      <c r="AC232" s="2976"/>
      <c r="AD232" s="2976"/>
      <c r="AE232" s="2976"/>
      <c r="AF232" s="2976"/>
    </row>
    <row r="233" spans="1:32">
      <c r="A233" s="2972">
        <v>232</v>
      </c>
      <c r="B233" s="2974" t="s">
        <v>3242</v>
      </c>
      <c r="C233" s="2982" t="s">
        <v>3159</v>
      </c>
      <c r="D233" s="2972" t="s">
        <v>3183</v>
      </c>
      <c r="E233" s="2982">
        <v>202</v>
      </c>
      <c r="F233" s="2983">
        <v>56.83</v>
      </c>
      <c r="G233" s="2979">
        <v>12.26</v>
      </c>
      <c r="H233" s="2979">
        <v>69.09</v>
      </c>
      <c r="I233" s="2974" t="s">
        <v>3055</v>
      </c>
      <c r="J233" s="2981" t="s">
        <v>3155</v>
      </c>
      <c r="L233" s="2976"/>
      <c r="M233" s="2976"/>
      <c r="N233" s="2976"/>
      <c r="O233" s="2976"/>
      <c r="P233" s="2976"/>
      <c r="Q233" s="2976"/>
      <c r="R233" s="2976"/>
      <c r="S233" s="2976"/>
      <c r="T233" s="2976"/>
      <c r="U233" s="2976"/>
      <c r="V233" s="2976"/>
      <c r="W233" s="2976"/>
      <c r="X233" s="2976"/>
      <c r="Y233" s="2976"/>
      <c r="Z233" s="2976"/>
      <c r="AA233" s="2976"/>
      <c r="AB233" s="2976"/>
      <c r="AC233" s="2976"/>
      <c r="AD233" s="2976"/>
      <c r="AE233" s="2976"/>
      <c r="AF233" s="2976"/>
    </row>
    <row r="234" spans="1:32">
      <c r="A234" s="2972">
        <v>233</v>
      </c>
      <c r="B234" s="2974" t="s">
        <v>3242</v>
      </c>
      <c r="C234" s="2982" t="s">
        <v>3159</v>
      </c>
      <c r="D234" s="2972" t="s">
        <v>3183</v>
      </c>
      <c r="E234" s="2982">
        <v>203</v>
      </c>
      <c r="F234" s="2983">
        <v>56.78</v>
      </c>
      <c r="G234" s="2979">
        <v>12.25</v>
      </c>
      <c r="H234" s="2979">
        <v>69.03</v>
      </c>
      <c r="I234" s="2974" t="s">
        <v>3055</v>
      </c>
      <c r="J234" s="2981" t="s">
        <v>3155</v>
      </c>
      <c r="L234" s="2976"/>
      <c r="M234" s="2976"/>
      <c r="N234" s="2976"/>
      <c r="O234" s="2976"/>
      <c r="P234" s="2976"/>
      <c r="Q234" s="2976"/>
      <c r="R234" s="2976"/>
      <c r="S234" s="2976"/>
      <c r="T234" s="2976"/>
      <c r="U234" s="2976"/>
      <c r="V234" s="2976"/>
      <c r="W234" s="2976"/>
      <c r="X234" s="2976"/>
      <c r="Y234" s="2976"/>
      <c r="Z234" s="2976"/>
      <c r="AA234" s="2976"/>
      <c r="AB234" s="2976"/>
      <c r="AC234" s="2976"/>
      <c r="AD234" s="2976"/>
      <c r="AE234" s="2976"/>
      <c r="AF234" s="2976"/>
    </row>
    <row r="235" spans="1:32">
      <c r="A235" s="2972">
        <v>234</v>
      </c>
      <c r="B235" s="2974" t="s">
        <v>3242</v>
      </c>
      <c r="C235" s="2982" t="s">
        <v>3159</v>
      </c>
      <c r="D235" s="2972" t="s">
        <v>3183</v>
      </c>
      <c r="E235" s="2982">
        <v>205</v>
      </c>
      <c r="F235" s="2983">
        <v>56.78</v>
      </c>
      <c r="G235" s="2979">
        <v>12.25</v>
      </c>
      <c r="H235" s="2979">
        <v>69.03</v>
      </c>
      <c r="I235" s="2974" t="s">
        <v>3055</v>
      </c>
      <c r="J235" s="2981" t="s">
        <v>3155</v>
      </c>
      <c r="L235" s="2976"/>
      <c r="M235" s="2976"/>
      <c r="N235" s="2976"/>
      <c r="O235" s="2976"/>
      <c r="P235" s="2976"/>
      <c r="Q235" s="2976"/>
      <c r="R235" s="2976"/>
      <c r="S235" s="2976"/>
      <c r="T235" s="2976"/>
      <c r="U235" s="2976"/>
      <c r="V235" s="2976"/>
      <c r="W235" s="2976"/>
      <c r="X235" s="2976"/>
      <c r="Y235" s="2976"/>
      <c r="Z235" s="2976"/>
      <c r="AA235" s="2976"/>
      <c r="AB235" s="2976"/>
      <c r="AC235" s="2976"/>
      <c r="AD235" s="2976"/>
      <c r="AE235" s="2976"/>
      <c r="AF235" s="2976"/>
    </row>
    <row r="236" spans="1:32">
      <c r="A236" s="2972">
        <v>235</v>
      </c>
      <c r="B236" s="2974" t="s">
        <v>3242</v>
      </c>
      <c r="C236" s="2982" t="s">
        <v>3159</v>
      </c>
      <c r="D236" s="2972" t="s">
        <v>3183</v>
      </c>
      <c r="E236" s="2982">
        <v>206</v>
      </c>
      <c r="F236" s="2983">
        <v>56.83</v>
      </c>
      <c r="G236" s="2979">
        <v>12.26</v>
      </c>
      <c r="H236" s="2979">
        <v>69.09</v>
      </c>
      <c r="I236" s="2974" t="s">
        <v>3055</v>
      </c>
      <c r="J236" s="2981" t="s">
        <v>3155</v>
      </c>
      <c r="L236" s="2976"/>
      <c r="M236" s="2976"/>
      <c r="N236" s="2976"/>
      <c r="O236" s="2976"/>
      <c r="P236" s="2976"/>
      <c r="Q236" s="2976"/>
      <c r="R236" s="2976"/>
      <c r="S236" s="2976"/>
      <c r="T236" s="2976"/>
      <c r="U236" s="2976"/>
      <c r="V236" s="2976"/>
      <c r="W236" s="2976"/>
      <c r="X236" s="2976"/>
      <c r="Y236" s="2976"/>
      <c r="Z236" s="2976"/>
      <c r="AA236" s="2976"/>
      <c r="AB236" s="2976"/>
      <c r="AC236" s="2976"/>
      <c r="AD236" s="2976"/>
      <c r="AE236" s="2976"/>
      <c r="AF236" s="2976"/>
    </row>
    <row r="237" spans="1:32">
      <c r="A237" s="2972">
        <v>236</v>
      </c>
      <c r="B237" s="2974" t="s">
        <v>3242</v>
      </c>
      <c r="C237" s="2982" t="s">
        <v>3159</v>
      </c>
      <c r="D237" s="2972" t="s">
        <v>3183</v>
      </c>
      <c r="E237" s="2982">
        <v>207</v>
      </c>
      <c r="F237" s="2983">
        <v>54.01</v>
      </c>
      <c r="G237" s="2979">
        <v>11.65</v>
      </c>
      <c r="H237" s="2979">
        <v>65.66</v>
      </c>
      <c r="I237" s="2974" t="s">
        <v>3055</v>
      </c>
      <c r="J237" s="2981" t="s">
        <v>3154</v>
      </c>
      <c r="L237" s="2976"/>
      <c r="M237" s="2976"/>
      <c r="N237" s="2976"/>
      <c r="O237" s="2976"/>
      <c r="P237" s="2976"/>
      <c r="Q237" s="2976"/>
      <c r="R237" s="2976"/>
      <c r="S237" s="2976"/>
      <c r="T237" s="2976"/>
      <c r="U237" s="2976"/>
      <c r="V237" s="2976"/>
      <c r="W237" s="2976"/>
      <c r="X237" s="2976"/>
      <c r="Y237" s="2976"/>
      <c r="Z237" s="2976"/>
      <c r="AA237" s="2976"/>
      <c r="AB237" s="2976"/>
      <c r="AC237" s="2976"/>
      <c r="AD237" s="2976"/>
      <c r="AE237" s="2976"/>
      <c r="AF237" s="2976"/>
    </row>
    <row r="238" spans="1:32">
      <c r="A238" s="2972">
        <v>237</v>
      </c>
      <c r="B238" s="2974" t="s">
        <v>3242</v>
      </c>
      <c r="C238" s="2982" t="s">
        <v>3153</v>
      </c>
      <c r="D238" s="2972" t="s">
        <v>3183</v>
      </c>
      <c r="E238" s="2982">
        <v>301</v>
      </c>
      <c r="F238" s="2983">
        <v>77.27</v>
      </c>
      <c r="G238" s="2979">
        <v>16.670000000000002</v>
      </c>
      <c r="H238" s="2979">
        <v>93.94</v>
      </c>
      <c r="I238" s="2974" t="s">
        <v>3055</v>
      </c>
      <c r="J238" s="2981" t="s">
        <v>3155</v>
      </c>
      <c r="L238" s="2976"/>
      <c r="M238" s="2976"/>
      <c r="N238" s="2976"/>
      <c r="O238" s="2976"/>
      <c r="P238" s="2976"/>
      <c r="Q238" s="2976"/>
      <c r="R238" s="2976"/>
      <c r="S238" s="2976"/>
      <c r="T238" s="2976"/>
      <c r="U238" s="2976"/>
      <c r="V238" s="2976"/>
      <c r="W238" s="2976"/>
      <c r="X238" s="2976"/>
      <c r="Y238" s="2976"/>
      <c r="Z238" s="2976"/>
      <c r="AA238" s="2976"/>
      <c r="AB238" s="2976"/>
      <c r="AC238" s="2976"/>
      <c r="AD238" s="2976"/>
      <c r="AE238" s="2976"/>
      <c r="AF238" s="2976"/>
    </row>
    <row r="239" spans="1:32">
      <c r="A239" s="2972">
        <v>238</v>
      </c>
      <c r="B239" s="2974" t="s">
        <v>3242</v>
      </c>
      <c r="C239" s="2982" t="s">
        <v>3153</v>
      </c>
      <c r="D239" s="2972" t="s">
        <v>3183</v>
      </c>
      <c r="E239" s="2982">
        <v>302</v>
      </c>
      <c r="F239" s="2983">
        <v>56.83</v>
      </c>
      <c r="G239" s="2979">
        <v>12.26</v>
      </c>
      <c r="H239" s="2979">
        <v>69.09</v>
      </c>
      <c r="I239" s="2974" t="s">
        <v>3055</v>
      </c>
      <c r="J239" s="2981" t="s">
        <v>3155</v>
      </c>
      <c r="L239" s="2976"/>
      <c r="M239" s="2976"/>
      <c r="N239" s="2976"/>
      <c r="O239" s="2976"/>
      <c r="P239" s="2976"/>
      <c r="Q239" s="2976"/>
      <c r="R239" s="2976"/>
      <c r="S239" s="2976"/>
      <c r="T239" s="2976"/>
      <c r="U239" s="2976"/>
      <c r="V239" s="2976"/>
      <c r="W239" s="2976"/>
      <c r="X239" s="2976"/>
      <c r="Y239" s="2976"/>
      <c r="Z239" s="2976"/>
      <c r="AA239" s="2976"/>
      <c r="AB239" s="2976"/>
      <c r="AC239" s="2976"/>
      <c r="AD239" s="2976"/>
      <c r="AE239" s="2976"/>
      <c r="AF239" s="2976"/>
    </row>
    <row r="240" spans="1:32">
      <c r="A240" s="2972">
        <v>239</v>
      </c>
      <c r="B240" s="2974" t="s">
        <v>3242</v>
      </c>
      <c r="C240" s="2982" t="s">
        <v>3153</v>
      </c>
      <c r="D240" s="2972" t="s">
        <v>3183</v>
      </c>
      <c r="E240" s="2982">
        <v>303</v>
      </c>
      <c r="F240" s="2983">
        <v>56.78</v>
      </c>
      <c r="G240" s="2979">
        <v>12.25</v>
      </c>
      <c r="H240" s="2979">
        <v>69.03</v>
      </c>
      <c r="I240" s="2974" t="s">
        <v>3055</v>
      </c>
      <c r="J240" s="2981" t="s">
        <v>3155</v>
      </c>
      <c r="L240" s="2976"/>
      <c r="M240" s="2976"/>
      <c r="N240" s="2976"/>
      <c r="O240" s="2976"/>
      <c r="P240" s="2976"/>
      <c r="Q240" s="2976"/>
      <c r="R240" s="2976"/>
      <c r="S240" s="2976"/>
      <c r="T240" s="2976"/>
      <c r="U240" s="2976"/>
      <c r="V240" s="2976"/>
      <c r="W240" s="2976"/>
      <c r="X240" s="2976"/>
      <c r="Y240" s="2976"/>
      <c r="Z240" s="2976"/>
      <c r="AA240" s="2976"/>
      <c r="AB240" s="2976"/>
      <c r="AC240" s="2976"/>
      <c r="AD240" s="2976"/>
      <c r="AE240" s="2976"/>
      <c r="AF240" s="2976"/>
    </row>
    <row r="241" spans="1:32">
      <c r="A241" s="2972">
        <v>240</v>
      </c>
      <c r="B241" s="2974" t="s">
        <v>3242</v>
      </c>
      <c r="C241" s="2982" t="s">
        <v>3153</v>
      </c>
      <c r="D241" s="2972" t="s">
        <v>3183</v>
      </c>
      <c r="E241" s="2982">
        <v>305</v>
      </c>
      <c r="F241" s="2983">
        <v>56.78</v>
      </c>
      <c r="G241" s="2979">
        <v>12.25</v>
      </c>
      <c r="H241" s="2979">
        <v>69.03</v>
      </c>
      <c r="I241" s="2974" t="s">
        <v>3055</v>
      </c>
      <c r="J241" s="2981" t="s">
        <v>3155</v>
      </c>
      <c r="L241" s="2976"/>
      <c r="M241" s="2976"/>
      <c r="N241" s="2976"/>
      <c r="O241" s="2976"/>
      <c r="P241" s="2976"/>
      <c r="Q241" s="2976"/>
      <c r="R241" s="2976"/>
      <c r="S241" s="2976"/>
      <c r="T241" s="2976"/>
      <c r="U241" s="2976"/>
      <c r="V241" s="2976"/>
      <c r="W241" s="2976"/>
      <c r="X241" s="2976"/>
      <c r="Y241" s="2976"/>
      <c r="Z241" s="2976"/>
      <c r="AA241" s="2976"/>
      <c r="AB241" s="2976"/>
      <c r="AC241" s="2976"/>
      <c r="AD241" s="2976"/>
      <c r="AE241" s="2976"/>
      <c r="AF241" s="2976"/>
    </row>
    <row r="242" spans="1:32">
      <c r="A242" s="2972">
        <v>241</v>
      </c>
      <c r="B242" s="2974" t="s">
        <v>3242</v>
      </c>
      <c r="C242" s="2982" t="s">
        <v>3153</v>
      </c>
      <c r="D242" s="2972" t="s">
        <v>3183</v>
      </c>
      <c r="E242" s="2982">
        <v>306</v>
      </c>
      <c r="F242" s="2983">
        <v>56.83</v>
      </c>
      <c r="G242" s="2979">
        <v>12.26</v>
      </c>
      <c r="H242" s="2979">
        <v>69.09</v>
      </c>
      <c r="I242" s="2974" t="s">
        <v>3055</v>
      </c>
      <c r="J242" s="2981" t="s">
        <v>3155</v>
      </c>
      <c r="L242" s="2976"/>
      <c r="M242" s="2976"/>
      <c r="N242" s="2976"/>
      <c r="O242" s="2976"/>
      <c r="P242" s="2976"/>
      <c r="Q242" s="2976"/>
      <c r="R242" s="2976"/>
      <c r="S242" s="2976"/>
      <c r="T242" s="2976"/>
      <c r="U242" s="2976"/>
      <c r="V242" s="2976"/>
      <c r="W242" s="2976"/>
      <c r="X242" s="2976"/>
      <c r="Y242" s="2976"/>
      <c r="Z242" s="2976"/>
      <c r="AA242" s="2976"/>
      <c r="AB242" s="2976"/>
      <c r="AC242" s="2976"/>
      <c r="AD242" s="2976"/>
      <c r="AE242" s="2976"/>
      <c r="AF242" s="2976"/>
    </row>
    <row r="243" spans="1:32">
      <c r="A243" s="2972">
        <v>242</v>
      </c>
      <c r="B243" s="2974" t="s">
        <v>3242</v>
      </c>
      <c r="C243" s="2982" t="s">
        <v>3153</v>
      </c>
      <c r="D243" s="2972" t="s">
        <v>3183</v>
      </c>
      <c r="E243" s="2982">
        <v>307</v>
      </c>
      <c r="F243" s="2983">
        <v>54.01</v>
      </c>
      <c r="G243" s="2979">
        <v>11.65</v>
      </c>
      <c r="H243" s="2979">
        <v>65.66</v>
      </c>
      <c r="I243" s="2974" t="s">
        <v>3055</v>
      </c>
      <c r="J243" s="2981" t="s">
        <v>3154</v>
      </c>
      <c r="L243" s="2976"/>
      <c r="M243" s="2976"/>
      <c r="N243" s="2976"/>
      <c r="O243" s="2976"/>
      <c r="P243" s="2976"/>
      <c r="Q243" s="2976"/>
      <c r="R243" s="2976"/>
      <c r="S243" s="2976"/>
      <c r="T243" s="2976"/>
      <c r="U243" s="2976"/>
      <c r="V243" s="2976"/>
      <c r="W243" s="2976"/>
      <c r="X243" s="2976"/>
      <c r="Y243" s="2976"/>
      <c r="Z243" s="2976"/>
      <c r="AA243" s="2976"/>
      <c r="AB243" s="2976"/>
      <c r="AC243" s="2976"/>
      <c r="AD243" s="2976"/>
      <c r="AE243" s="2976"/>
      <c r="AF243" s="2976"/>
    </row>
    <row r="244" spans="1:32">
      <c r="A244" s="2972">
        <v>243</v>
      </c>
      <c r="B244" s="2974" t="s">
        <v>3242</v>
      </c>
      <c r="C244" s="2982" t="s">
        <v>3156</v>
      </c>
      <c r="D244" s="2972" t="s">
        <v>3183</v>
      </c>
      <c r="E244" s="2982" t="s">
        <v>3145</v>
      </c>
      <c r="F244" s="2983">
        <v>77.27</v>
      </c>
      <c r="G244" s="2979">
        <v>16.670000000000002</v>
      </c>
      <c r="H244" s="2979">
        <v>93.94</v>
      </c>
      <c r="I244" s="2974" t="s">
        <v>3055</v>
      </c>
      <c r="J244" s="2981" t="s">
        <v>3155</v>
      </c>
      <c r="L244" s="2976"/>
      <c r="M244" s="2976"/>
      <c r="N244" s="2976"/>
      <c r="O244" s="2976"/>
      <c r="P244" s="2976"/>
      <c r="Q244" s="2976"/>
      <c r="R244" s="2976"/>
      <c r="S244" s="2976"/>
      <c r="T244" s="2976"/>
      <c r="U244" s="2976"/>
      <c r="V244" s="2976"/>
      <c r="W244" s="2976"/>
      <c r="X244" s="2976"/>
      <c r="Y244" s="2976"/>
      <c r="Z244" s="2976"/>
      <c r="AA244" s="2976"/>
      <c r="AB244" s="2976"/>
      <c r="AC244" s="2976"/>
      <c r="AD244" s="2976"/>
      <c r="AE244" s="2976"/>
      <c r="AF244" s="2976"/>
    </row>
    <row r="245" spans="1:32">
      <c r="A245" s="2972">
        <v>244</v>
      </c>
      <c r="B245" s="2974" t="s">
        <v>3242</v>
      </c>
      <c r="C245" s="2982" t="s">
        <v>3156</v>
      </c>
      <c r="D245" s="2972" t="s">
        <v>3183</v>
      </c>
      <c r="E245" s="2982" t="s">
        <v>3146</v>
      </c>
      <c r="F245" s="2983">
        <v>56.83</v>
      </c>
      <c r="G245" s="2979">
        <v>12.26</v>
      </c>
      <c r="H245" s="2979">
        <v>69.09</v>
      </c>
      <c r="I245" s="2974" t="s">
        <v>3055</v>
      </c>
      <c r="J245" s="2981" t="s">
        <v>3155</v>
      </c>
      <c r="L245" s="2976"/>
      <c r="M245" s="2976"/>
      <c r="N245" s="2976"/>
      <c r="O245" s="2976"/>
      <c r="P245" s="2976"/>
      <c r="Q245" s="2976"/>
      <c r="R245" s="2976"/>
      <c r="S245" s="2976"/>
      <c r="T245" s="2976"/>
      <c r="U245" s="2976"/>
      <c r="V245" s="2976"/>
      <c r="W245" s="2976"/>
      <c r="X245" s="2976"/>
      <c r="Y245" s="2976"/>
      <c r="Z245" s="2976"/>
      <c r="AA245" s="2976"/>
      <c r="AB245" s="2976"/>
      <c r="AC245" s="2976"/>
      <c r="AD245" s="2976"/>
      <c r="AE245" s="2976"/>
      <c r="AF245" s="2976"/>
    </row>
    <row r="246" spans="1:32">
      <c r="A246" s="2972">
        <v>245</v>
      </c>
      <c r="B246" s="2974" t="s">
        <v>3242</v>
      </c>
      <c r="C246" s="2982" t="s">
        <v>3156</v>
      </c>
      <c r="D246" s="2972" t="s">
        <v>3183</v>
      </c>
      <c r="E246" s="2982" t="s">
        <v>3147</v>
      </c>
      <c r="F246" s="2983">
        <v>56.78</v>
      </c>
      <c r="G246" s="2979">
        <v>12.25</v>
      </c>
      <c r="H246" s="2979">
        <v>69.03</v>
      </c>
      <c r="I246" s="2974" t="s">
        <v>3055</v>
      </c>
      <c r="J246" s="2981" t="s">
        <v>3155</v>
      </c>
      <c r="L246" s="2976"/>
      <c r="M246" s="2976"/>
      <c r="N246" s="2976"/>
      <c r="O246" s="2976"/>
      <c r="P246" s="2976"/>
      <c r="Q246" s="2976"/>
      <c r="R246" s="2976"/>
      <c r="S246" s="2976"/>
      <c r="T246" s="2976"/>
      <c r="U246" s="2976"/>
      <c r="V246" s="2976"/>
      <c r="W246" s="2976"/>
      <c r="X246" s="2976"/>
      <c r="Y246" s="2976"/>
      <c r="Z246" s="2976"/>
      <c r="AA246" s="2976"/>
      <c r="AB246" s="2976"/>
      <c r="AC246" s="2976"/>
      <c r="AD246" s="2976"/>
      <c r="AE246" s="2976"/>
      <c r="AF246" s="2976"/>
    </row>
    <row r="247" spans="1:32">
      <c r="A247" s="2972">
        <v>246</v>
      </c>
      <c r="B247" s="2974" t="s">
        <v>3242</v>
      </c>
      <c r="C247" s="2982" t="s">
        <v>3156</v>
      </c>
      <c r="D247" s="2972" t="s">
        <v>3183</v>
      </c>
      <c r="E247" s="2982" t="s">
        <v>3148</v>
      </c>
      <c r="F247" s="2983">
        <v>56.78</v>
      </c>
      <c r="G247" s="2979">
        <v>12.25</v>
      </c>
      <c r="H247" s="2979">
        <v>69.03</v>
      </c>
      <c r="I247" s="2974" t="s">
        <v>3055</v>
      </c>
      <c r="J247" s="2981" t="s">
        <v>3155</v>
      </c>
      <c r="L247" s="2976"/>
      <c r="M247" s="2976"/>
      <c r="N247" s="2976"/>
      <c r="O247" s="2976"/>
      <c r="P247" s="2976"/>
      <c r="Q247" s="2976"/>
      <c r="R247" s="2976"/>
      <c r="S247" s="2976"/>
      <c r="T247" s="2976"/>
      <c r="U247" s="2976"/>
      <c r="V247" s="2976"/>
      <c r="W247" s="2976"/>
      <c r="X247" s="2976"/>
      <c r="Y247" s="2976"/>
      <c r="Z247" s="2976"/>
      <c r="AA247" s="2976"/>
      <c r="AB247" s="2976"/>
      <c r="AC247" s="2976"/>
      <c r="AD247" s="2976"/>
      <c r="AE247" s="2976"/>
      <c r="AF247" s="2976"/>
    </row>
    <row r="248" spans="1:32">
      <c r="A248" s="2972">
        <v>247</v>
      </c>
      <c r="B248" s="2974" t="s">
        <v>3242</v>
      </c>
      <c r="C248" s="2982" t="s">
        <v>3156</v>
      </c>
      <c r="D248" s="2972" t="s">
        <v>3183</v>
      </c>
      <c r="E248" s="2982" t="s">
        <v>3149</v>
      </c>
      <c r="F248" s="2983">
        <v>56.83</v>
      </c>
      <c r="G248" s="2979">
        <v>12.26</v>
      </c>
      <c r="H248" s="2979">
        <v>69.09</v>
      </c>
      <c r="I248" s="2974" t="s">
        <v>3055</v>
      </c>
      <c r="J248" s="2981" t="s">
        <v>3155</v>
      </c>
      <c r="L248" s="2976"/>
      <c r="M248" s="2976"/>
      <c r="N248" s="2976"/>
      <c r="O248" s="2976"/>
      <c r="P248" s="2976"/>
      <c r="Q248" s="2976"/>
      <c r="R248" s="2976"/>
      <c r="S248" s="2976"/>
      <c r="T248" s="2976"/>
      <c r="U248" s="2976"/>
      <c r="V248" s="2976"/>
      <c r="W248" s="2976"/>
      <c r="X248" s="2976"/>
      <c r="Y248" s="2976"/>
      <c r="Z248" s="2976"/>
      <c r="AA248" s="2976"/>
      <c r="AB248" s="2976"/>
      <c r="AC248" s="2976"/>
      <c r="AD248" s="2976"/>
      <c r="AE248" s="2976"/>
      <c r="AF248" s="2976"/>
    </row>
    <row r="249" spans="1:32">
      <c r="A249" s="2972">
        <v>248</v>
      </c>
      <c r="B249" s="2974" t="s">
        <v>3242</v>
      </c>
      <c r="C249" s="2982" t="s">
        <v>3156</v>
      </c>
      <c r="D249" s="2972" t="s">
        <v>3183</v>
      </c>
      <c r="E249" s="2982" t="s">
        <v>3150</v>
      </c>
      <c r="F249" s="2983">
        <v>54.01</v>
      </c>
      <c r="G249" s="2979">
        <v>11.65</v>
      </c>
      <c r="H249" s="2979">
        <v>65.66</v>
      </c>
      <c r="I249" s="2974" t="s">
        <v>3055</v>
      </c>
      <c r="J249" s="2981" t="s">
        <v>3154</v>
      </c>
      <c r="L249" s="2976"/>
      <c r="M249" s="2976"/>
      <c r="N249" s="2976"/>
      <c r="O249" s="2976"/>
      <c r="P249" s="2976"/>
      <c r="Q249" s="2976"/>
      <c r="R249" s="2976"/>
      <c r="S249" s="2976"/>
      <c r="T249" s="2976"/>
      <c r="U249" s="2976"/>
      <c r="V249" s="2976"/>
      <c r="W249" s="2976"/>
      <c r="X249" s="2976"/>
      <c r="Y249" s="2976"/>
      <c r="Z249" s="2976"/>
      <c r="AA249" s="2976"/>
      <c r="AB249" s="2976"/>
      <c r="AC249" s="2976"/>
      <c r="AD249" s="2976"/>
      <c r="AE249" s="2976"/>
      <c r="AF249" s="2976"/>
    </row>
    <row r="250" spans="1:32">
      <c r="A250" s="2972">
        <v>249</v>
      </c>
      <c r="B250" s="2974" t="s">
        <v>3242</v>
      </c>
      <c r="C250" s="2982" t="s">
        <v>3157</v>
      </c>
      <c r="D250" s="2972" t="s">
        <v>3183</v>
      </c>
      <c r="E250" s="2982">
        <v>501</v>
      </c>
      <c r="F250" s="2983">
        <v>77.27</v>
      </c>
      <c r="G250" s="2979">
        <v>16.670000000000002</v>
      </c>
      <c r="H250" s="2979">
        <v>93.94</v>
      </c>
      <c r="I250" s="2974" t="s">
        <v>3055</v>
      </c>
      <c r="J250" s="2981" t="s">
        <v>3155</v>
      </c>
      <c r="L250" s="2976"/>
      <c r="M250" s="2976"/>
      <c r="N250" s="2976"/>
      <c r="O250" s="2976"/>
      <c r="P250" s="2976"/>
      <c r="Q250" s="2976"/>
      <c r="R250" s="2976"/>
      <c r="S250" s="2976"/>
      <c r="T250" s="2976"/>
      <c r="U250" s="2976"/>
      <c r="V250" s="2976"/>
      <c r="W250" s="2976"/>
      <c r="X250" s="2976"/>
      <c r="Y250" s="2976"/>
      <c r="Z250" s="2976"/>
      <c r="AA250" s="2976"/>
      <c r="AB250" s="2976"/>
      <c r="AC250" s="2976"/>
      <c r="AD250" s="2976"/>
      <c r="AE250" s="2976"/>
      <c r="AF250" s="2976"/>
    </row>
    <row r="251" spans="1:32">
      <c r="A251" s="2972">
        <v>250</v>
      </c>
      <c r="B251" s="2974" t="s">
        <v>3242</v>
      </c>
      <c r="C251" s="2982" t="s">
        <v>3157</v>
      </c>
      <c r="D251" s="2972" t="s">
        <v>3183</v>
      </c>
      <c r="E251" s="2982">
        <v>502</v>
      </c>
      <c r="F251" s="2983">
        <v>56.83</v>
      </c>
      <c r="G251" s="2979">
        <v>12.26</v>
      </c>
      <c r="H251" s="2979">
        <v>69.09</v>
      </c>
      <c r="I251" s="2974" t="s">
        <v>3055</v>
      </c>
      <c r="J251" s="2981" t="s">
        <v>3155</v>
      </c>
      <c r="L251" s="2976"/>
      <c r="M251" s="2976"/>
      <c r="N251" s="2976"/>
      <c r="O251" s="2976"/>
      <c r="P251" s="2976"/>
      <c r="Q251" s="2976"/>
      <c r="R251" s="2976"/>
      <c r="S251" s="2976"/>
      <c r="T251" s="2976"/>
      <c r="U251" s="2976"/>
      <c r="V251" s="2976"/>
      <c r="W251" s="2976"/>
      <c r="X251" s="2976"/>
      <c r="Y251" s="2976"/>
      <c r="Z251" s="2976"/>
      <c r="AA251" s="2976"/>
      <c r="AB251" s="2976"/>
      <c r="AC251" s="2976"/>
      <c r="AD251" s="2976"/>
      <c r="AE251" s="2976"/>
      <c r="AF251" s="2976"/>
    </row>
    <row r="252" spans="1:32">
      <c r="A252" s="2972">
        <v>251</v>
      </c>
      <c r="B252" s="2974" t="s">
        <v>3242</v>
      </c>
      <c r="C252" s="2982" t="s">
        <v>3157</v>
      </c>
      <c r="D252" s="2972" t="s">
        <v>3183</v>
      </c>
      <c r="E252" s="2982">
        <v>503</v>
      </c>
      <c r="F252" s="2983">
        <v>56.78</v>
      </c>
      <c r="G252" s="2979">
        <v>12.25</v>
      </c>
      <c r="H252" s="2979">
        <v>69.03</v>
      </c>
      <c r="I252" s="2974" t="s">
        <v>3055</v>
      </c>
      <c r="J252" s="2981" t="s">
        <v>3155</v>
      </c>
      <c r="L252" s="2976"/>
      <c r="M252" s="2976"/>
      <c r="N252" s="2976"/>
      <c r="O252" s="2976"/>
      <c r="P252" s="2976"/>
      <c r="Q252" s="2976"/>
      <c r="R252" s="2976"/>
      <c r="S252" s="2976"/>
      <c r="T252" s="2976"/>
      <c r="U252" s="2976"/>
      <c r="V252" s="2976"/>
      <c r="W252" s="2976"/>
      <c r="X252" s="2976"/>
      <c r="Y252" s="2976"/>
      <c r="Z252" s="2976"/>
      <c r="AA252" s="2976"/>
      <c r="AB252" s="2976"/>
      <c r="AC252" s="2976"/>
      <c r="AD252" s="2976"/>
      <c r="AE252" s="2976"/>
      <c r="AF252" s="2976"/>
    </row>
    <row r="253" spans="1:32">
      <c r="A253" s="2972">
        <v>252</v>
      </c>
      <c r="B253" s="2974" t="s">
        <v>3242</v>
      </c>
      <c r="C253" s="2982" t="s">
        <v>3157</v>
      </c>
      <c r="D253" s="2972" t="s">
        <v>3183</v>
      </c>
      <c r="E253" s="2982">
        <v>505</v>
      </c>
      <c r="F253" s="2983">
        <v>56.78</v>
      </c>
      <c r="G253" s="2979">
        <v>12.25</v>
      </c>
      <c r="H253" s="2979">
        <v>69.03</v>
      </c>
      <c r="I253" s="2974" t="s">
        <v>3055</v>
      </c>
      <c r="J253" s="2981" t="s">
        <v>3155</v>
      </c>
      <c r="L253" s="2976"/>
      <c r="M253" s="2976"/>
      <c r="N253" s="2976"/>
      <c r="O253" s="2976"/>
      <c r="P253" s="2976"/>
      <c r="Q253" s="2976"/>
      <c r="R253" s="2976"/>
      <c r="S253" s="2976"/>
      <c r="T253" s="2976"/>
      <c r="U253" s="2976"/>
      <c r="V253" s="2976"/>
      <c r="W253" s="2976"/>
      <c r="X253" s="2976"/>
      <c r="Y253" s="2976"/>
      <c r="Z253" s="2976"/>
      <c r="AA253" s="2976"/>
      <c r="AB253" s="2976"/>
      <c r="AC253" s="2976"/>
      <c r="AD253" s="2976"/>
      <c r="AE253" s="2976"/>
      <c r="AF253" s="2976"/>
    </row>
    <row r="254" spans="1:32">
      <c r="A254" s="2972">
        <v>253</v>
      </c>
      <c r="B254" s="2974" t="s">
        <v>3242</v>
      </c>
      <c r="C254" s="2982" t="s">
        <v>3157</v>
      </c>
      <c r="D254" s="2972" t="s">
        <v>3183</v>
      </c>
      <c r="E254" s="2982">
        <v>506</v>
      </c>
      <c r="F254" s="2983">
        <v>56.83</v>
      </c>
      <c r="G254" s="2979">
        <v>12.26</v>
      </c>
      <c r="H254" s="2979">
        <v>69.09</v>
      </c>
      <c r="I254" s="2974" t="s">
        <v>3055</v>
      </c>
      <c r="J254" s="2981" t="s">
        <v>3155</v>
      </c>
      <c r="L254" s="2976"/>
      <c r="M254" s="2976"/>
      <c r="N254" s="2976"/>
      <c r="O254" s="2976"/>
      <c r="P254" s="2976"/>
      <c r="Q254" s="2976"/>
      <c r="R254" s="2976"/>
      <c r="S254" s="2976"/>
      <c r="T254" s="2976"/>
      <c r="U254" s="2976"/>
      <c r="V254" s="2976"/>
      <c r="W254" s="2976"/>
      <c r="X254" s="2976"/>
      <c r="Y254" s="2976"/>
      <c r="Z254" s="2976"/>
      <c r="AA254" s="2976"/>
      <c r="AB254" s="2976"/>
      <c r="AC254" s="2976"/>
      <c r="AD254" s="2976"/>
      <c r="AE254" s="2976"/>
      <c r="AF254" s="2976"/>
    </row>
    <row r="255" spans="1:32">
      <c r="A255" s="2972">
        <v>254</v>
      </c>
      <c r="B255" s="2974" t="s">
        <v>3242</v>
      </c>
      <c r="C255" s="2982" t="s">
        <v>3157</v>
      </c>
      <c r="D255" s="2972" t="s">
        <v>3183</v>
      </c>
      <c r="E255" s="2982">
        <v>507</v>
      </c>
      <c r="F255" s="2983">
        <v>54.01</v>
      </c>
      <c r="G255" s="2979">
        <v>11.65</v>
      </c>
      <c r="H255" s="2979">
        <v>65.66</v>
      </c>
      <c r="I255" s="2974" t="s">
        <v>3055</v>
      </c>
      <c r="J255" s="2981" t="s">
        <v>3154</v>
      </c>
      <c r="L255" s="2976"/>
      <c r="M255" s="2976"/>
      <c r="N255" s="2976"/>
      <c r="O255" s="2976"/>
      <c r="P255" s="2976"/>
      <c r="Q255" s="2976"/>
      <c r="R255" s="2976"/>
      <c r="S255" s="2976"/>
      <c r="T255" s="2976"/>
      <c r="U255" s="2976"/>
      <c r="V255" s="2976"/>
      <c r="W255" s="2976"/>
      <c r="X255" s="2976"/>
      <c r="Y255" s="2976"/>
      <c r="Z255" s="2976"/>
      <c r="AA255" s="2976"/>
      <c r="AB255" s="2976"/>
      <c r="AC255" s="2976"/>
      <c r="AD255" s="2976"/>
      <c r="AE255" s="2976"/>
      <c r="AF255" s="2976"/>
    </row>
    <row r="256" spans="1:32">
      <c r="A256" s="2972">
        <v>255</v>
      </c>
      <c r="B256" s="2974" t="s">
        <v>3242</v>
      </c>
      <c r="C256" s="2982" t="s">
        <v>3158</v>
      </c>
      <c r="D256" s="2972" t="s">
        <v>3183</v>
      </c>
      <c r="E256" s="2982">
        <v>601</v>
      </c>
      <c r="F256" s="2983">
        <v>77.27</v>
      </c>
      <c r="G256" s="2979">
        <v>16.670000000000002</v>
      </c>
      <c r="H256" s="2979">
        <v>93.94</v>
      </c>
      <c r="I256" s="2974" t="s">
        <v>3055</v>
      </c>
      <c r="J256" s="2981" t="s">
        <v>3155</v>
      </c>
      <c r="L256" s="2976"/>
      <c r="M256" s="2976"/>
      <c r="N256" s="2976"/>
      <c r="O256" s="2976"/>
      <c r="P256" s="2976"/>
      <c r="Q256" s="2976"/>
      <c r="R256" s="2976"/>
      <c r="S256" s="2976"/>
      <c r="T256" s="2976"/>
      <c r="U256" s="2976"/>
      <c r="V256" s="2976"/>
      <c r="W256" s="2976"/>
      <c r="X256" s="2976"/>
      <c r="Y256" s="2976"/>
      <c r="Z256" s="2976"/>
      <c r="AA256" s="2976"/>
      <c r="AB256" s="2976"/>
      <c r="AC256" s="2976"/>
      <c r="AD256" s="2976"/>
      <c r="AE256" s="2976"/>
      <c r="AF256" s="2976"/>
    </row>
    <row r="257" spans="1:32">
      <c r="A257" s="2972">
        <v>256</v>
      </c>
      <c r="B257" s="2974" t="s">
        <v>3242</v>
      </c>
      <c r="C257" s="2982" t="s">
        <v>3158</v>
      </c>
      <c r="D257" s="2972" t="s">
        <v>3183</v>
      </c>
      <c r="E257" s="2982">
        <v>602</v>
      </c>
      <c r="F257" s="2983">
        <v>56.83</v>
      </c>
      <c r="G257" s="2979">
        <v>12.26</v>
      </c>
      <c r="H257" s="2979">
        <v>69.09</v>
      </c>
      <c r="I257" s="2974" t="s">
        <v>3055</v>
      </c>
      <c r="J257" s="2981" t="s">
        <v>3155</v>
      </c>
      <c r="L257" s="2976"/>
      <c r="M257" s="2976"/>
      <c r="N257" s="2976"/>
      <c r="O257" s="2976"/>
      <c r="P257" s="2976"/>
      <c r="Q257" s="2976"/>
      <c r="R257" s="2976"/>
      <c r="S257" s="2976"/>
      <c r="T257" s="2976"/>
      <c r="U257" s="2976"/>
      <c r="V257" s="2976"/>
      <c r="W257" s="2976"/>
      <c r="X257" s="2976"/>
      <c r="Y257" s="2976"/>
      <c r="Z257" s="2976"/>
      <c r="AA257" s="2976"/>
      <c r="AB257" s="2976"/>
      <c r="AC257" s="2976"/>
      <c r="AD257" s="2976"/>
      <c r="AE257" s="2976"/>
      <c r="AF257" s="2976"/>
    </row>
    <row r="258" spans="1:32">
      <c r="A258" s="2972">
        <v>257</v>
      </c>
      <c r="B258" s="2974" t="s">
        <v>3242</v>
      </c>
      <c r="C258" s="2982" t="s">
        <v>3158</v>
      </c>
      <c r="D258" s="2972" t="s">
        <v>3183</v>
      </c>
      <c r="E258" s="2982">
        <v>603</v>
      </c>
      <c r="F258" s="2983">
        <v>56.78</v>
      </c>
      <c r="G258" s="2979">
        <v>12.25</v>
      </c>
      <c r="H258" s="2979">
        <v>69.03</v>
      </c>
      <c r="I258" s="2974" t="s">
        <v>3055</v>
      </c>
      <c r="J258" s="2981" t="s">
        <v>3155</v>
      </c>
      <c r="L258" s="2976"/>
      <c r="M258" s="2976"/>
      <c r="N258" s="2976"/>
      <c r="O258" s="2976"/>
      <c r="P258" s="2976"/>
      <c r="Q258" s="2976"/>
      <c r="R258" s="2976"/>
      <c r="S258" s="2976"/>
      <c r="T258" s="2976"/>
      <c r="U258" s="2976"/>
      <c r="V258" s="2976"/>
      <c r="W258" s="2976"/>
      <c r="X258" s="2976"/>
      <c r="Y258" s="2976"/>
      <c r="Z258" s="2976"/>
      <c r="AA258" s="2976"/>
      <c r="AB258" s="2976"/>
      <c r="AC258" s="2976"/>
      <c r="AD258" s="2976"/>
      <c r="AE258" s="2976"/>
      <c r="AF258" s="2976"/>
    </row>
    <row r="259" spans="1:32">
      <c r="A259" s="2972">
        <v>258</v>
      </c>
      <c r="B259" s="2974" t="s">
        <v>3242</v>
      </c>
      <c r="C259" s="2982" t="s">
        <v>3158</v>
      </c>
      <c r="D259" s="2972" t="s">
        <v>3183</v>
      </c>
      <c r="E259" s="2982">
        <v>605</v>
      </c>
      <c r="F259" s="2983">
        <v>56.78</v>
      </c>
      <c r="G259" s="2979">
        <v>12.25</v>
      </c>
      <c r="H259" s="2979">
        <v>69.03</v>
      </c>
      <c r="I259" s="2974" t="s">
        <v>3055</v>
      </c>
      <c r="J259" s="2981" t="s">
        <v>3155</v>
      </c>
      <c r="L259" s="2976"/>
      <c r="M259" s="2976"/>
      <c r="N259" s="2976"/>
      <c r="O259" s="2976"/>
      <c r="P259" s="2976"/>
      <c r="Q259" s="2976"/>
      <c r="R259" s="2976"/>
      <c r="S259" s="2976"/>
      <c r="T259" s="2976"/>
      <c r="U259" s="2976"/>
      <c r="V259" s="2976"/>
      <c r="W259" s="2976"/>
      <c r="X259" s="2976"/>
      <c r="Y259" s="2976"/>
      <c r="Z259" s="2976"/>
      <c r="AA259" s="2976"/>
      <c r="AB259" s="2976"/>
      <c r="AC259" s="2976"/>
      <c r="AD259" s="2976"/>
      <c r="AE259" s="2976"/>
      <c r="AF259" s="2976"/>
    </row>
    <row r="260" spans="1:32">
      <c r="A260" s="2972">
        <v>259</v>
      </c>
      <c r="B260" s="2974" t="s">
        <v>3242</v>
      </c>
      <c r="C260" s="2982" t="s">
        <v>3158</v>
      </c>
      <c r="D260" s="2972" t="s">
        <v>3183</v>
      </c>
      <c r="E260" s="2982">
        <v>606</v>
      </c>
      <c r="F260" s="2983">
        <v>56.83</v>
      </c>
      <c r="G260" s="2979">
        <v>12.26</v>
      </c>
      <c r="H260" s="2979">
        <v>69.09</v>
      </c>
      <c r="I260" s="2974" t="s">
        <v>3055</v>
      </c>
      <c r="J260" s="2981" t="s">
        <v>3155</v>
      </c>
      <c r="L260" s="2976"/>
      <c r="M260" s="2976"/>
      <c r="N260" s="2976"/>
      <c r="O260" s="2976"/>
      <c r="P260" s="2976"/>
      <c r="Q260" s="2976"/>
      <c r="R260" s="2976"/>
      <c r="S260" s="2976"/>
      <c r="T260" s="2976"/>
      <c r="U260" s="2976"/>
      <c r="V260" s="2976"/>
      <c r="W260" s="2976"/>
      <c r="X260" s="2976"/>
      <c r="Y260" s="2976"/>
      <c r="Z260" s="2976"/>
      <c r="AA260" s="2976"/>
      <c r="AB260" s="2976"/>
      <c r="AC260" s="2976"/>
      <c r="AD260" s="2976"/>
      <c r="AE260" s="2976"/>
      <c r="AF260" s="2976"/>
    </row>
    <row r="261" spans="1:32">
      <c r="A261" s="2972">
        <v>260</v>
      </c>
      <c r="B261" s="2974" t="s">
        <v>3242</v>
      </c>
      <c r="C261" s="2982" t="s">
        <v>3158</v>
      </c>
      <c r="D261" s="2972" t="s">
        <v>3183</v>
      </c>
      <c r="E261" s="2982">
        <v>607</v>
      </c>
      <c r="F261" s="2983">
        <v>54.01</v>
      </c>
      <c r="G261" s="2979">
        <v>11.65</v>
      </c>
      <c r="H261" s="2979">
        <v>65.66</v>
      </c>
      <c r="I261" s="2974" t="s">
        <v>3055</v>
      </c>
      <c r="J261" s="2981" t="s">
        <v>3154</v>
      </c>
      <c r="L261" s="2976"/>
      <c r="M261" s="2976"/>
      <c r="N261" s="2976"/>
      <c r="O261" s="2976"/>
      <c r="P261" s="2976"/>
      <c r="Q261" s="2976"/>
      <c r="R261" s="2976"/>
      <c r="S261" s="2976"/>
      <c r="T261" s="2976"/>
      <c r="U261" s="2976"/>
      <c r="V261" s="2976"/>
      <c r="W261" s="2976"/>
      <c r="X261" s="2976"/>
      <c r="Y261" s="2976"/>
      <c r="Z261" s="2976"/>
      <c r="AA261" s="2976"/>
      <c r="AB261" s="2976"/>
      <c r="AC261" s="2976"/>
      <c r="AD261" s="2976"/>
      <c r="AE261" s="2976"/>
      <c r="AF261" s="2976"/>
    </row>
    <row r="262" spans="1:32">
      <c r="A262" s="2972">
        <v>261</v>
      </c>
      <c r="B262" s="2974" t="s">
        <v>3228</v>
      </c>
      <c r="C262" s="2973" t="s">
        <v>3221</v>
      </c>
      <c r="D262" s="2981" t="s">
        <v>3213</v>
      </c>
      <c r="E262" s="2974">
        <v>102</v>
      </c>
      <c r="F262" s="2974">
        <v>56.67</v>
      </c>
      <c r="G262" s="2979">
        <v>13.1</v>
      </c>
      <c r="H262" s="2979">
        <v>69.77</v>
      </c>
      <c r="I262" s="2979" t="s">
        <v>3055</v>
      </c>
      <c r="J262" s="2974" t="s">
        <v>3144</v>
      </c>
      <c r="L262" s="2976"/>
      <c r="M262" s="2976"/>
      <c r="N262" s="2976"/>
      <c r="O262" s="2976"/>
      <c r="P262" s="2976"/>
      <c r="Q262" s="2976"/>
      <c r="R262" s="2976"/>
      <c r="S262" s="2976"/>
      <c r="T262" s="2976"/>
      <c r="U262" s="2976"/>
      <c r="V262" s="2976"/>
      <c r="W262" s="2976"/>
      <c r="X262" s="2976"/>
      <c r="Y262" s="2976"/>
      <c r="Z262" s="2976"/>
      <c r="AA262" s="2976"/>
      <c r="AB262" s="2976"/>
      <c r="AC262" s="2976"/>
      <c r="AD262" s="2976"/>
      <c r="AE262" s="2976"/>
      <c r="AF262" s="2976"/>
    </row>
    <row r="263" spans="1:32">
      <c r="A263" s="2972">
        <v>262</v>
      </c>
      <c r="B263" s="2974" t="s">
        <v>3228</v>
      </c>
      <c r="C263" s="2973" t="s">
        <v>3221</v>
      </c>
      <c r="D263" s="2981" t="s">
        <v>3213</v>
      </c>
      <c r="E263" s="2974">
        <v>105</v>
      </c>
      <c r="F263" s="2980">
        <v>56.81</v>
      </c>
      <c r="G263" s="2979">
        <v>13.13</v>
      </c>
      <c r="H263" s="2979">
        <v>69.94</v>
      </c>
      <c r="I263" s="2979" t="s">
        <v>3055</v>
      </c>
      <c r="J263" s="2974" t="s">
        <v>3144</v>
      </c>
      <c r="L263" s="2976"/>
      <c r="M263" s="2976"/>
      <c r="N263" s="2976"/>
      <c r="O263" s="2976"/>
      <c r="P263" s="2976"/>
      <c r="Q263" s="2976"/>
      <c r="R263" s="2976"/>
      <c r="S263" s="2976"/>
      <c r="T263" s="2976"/>
      <c r="U263" s="2976"/>
      <c r="V263" s="2976"/>
      <c r="W263" s="2976"/>
      <c r="X263" s="2976"/>
      <c r="Y263" s="2976"/>
      <c r="Z263" s="2976"/>
      <c r="AA263" s="2976"/>
      <c r="AB263" s="2976"/>
      <c r="AC263" s="2976"/>
      <c r="AD263" s="2976"/>
      <c r="AE263" s="2976"/>
      <c r="AF263" s="2976"/>
    </row>
    <row r="264" spans="1:32">
      <c r="A264" s="2972">
        <v>263</v>
      </c>
      <c r="B264" s="2974" t="s">
        <v>3228</v>
      </c>
      <c r="C264" s="2973" t="s">
        <v>3221</v>
      </c>
      <c r="D264" s="2981" t="s">
        <v>3213</v>
      </c>
      <c r="E264" s="2974">
        <v>106</v>
      </c>
      <c r="F264" s="2974">
        <v>56.67</v>
      </c>
      <c r="G264" s="2979">
        <v>13.1</v>
      </c>
      <c r="H264" s="2979">
        <v>69.77</v>
      </c>
      <c r="I264" s="2979" t="s">
        <v>3055</v>
      </c>
      <c r="J264" s="2974" t="s">
        <v>3144</v>
      </c>
      <c r="L264" s="2976"/>
      <c r="M264" s="2976"/>
      <c r="N264" s="2976"/>
      <c r="O264" s="2976"/>
      <c r="P264" s="2976"/>
      <c r="Q264" s="2976"/>
      <c r="R264" s="2976"/>
      <c r="S264" s="2976"/>
      <c r="T264" s="2976"/>
      <c r="U264" s="2976"/>
      <c r="V264" s="2976"/>
      <c r="W264" s="2976"/>
      <c r="X264" s="2976"/>
      <c r="Y264" s="2976"/>
      <c r="Z264" s="2976"/>
      <c r="AA264" s="2976"/>
      <c r="AB264" s="2976"/>
      <c r="AC264" s="2976"/>
      <c r="AD264" s="2976"/>
      <c r="AE264" s="2976"/>
      <c r="AF264" s="2976"/>
    </row>
    <row r="265" spans="1:32">
      <c r="A265" s="2972">
        <v>264</v>
      </c>
      <c r="B265" s="2974" t="s">
        <v>3228</v>
      </c>
      <c r="C265" s="2973" t="s">
        <v>3221</v>
      </c>
      <c r="D265" s="2981" t="s">
        <v>3213</v>
      </c>
      <c r="E265" s="2974">
        <v>107</v>
      </c>
      <c r="F265" s="2974">
        <v>53.84</v>
      </c>
      <c r="G265" s="2979">
        <v>12.44</v>
      </c>
      <c r="H265" s="2979">
        <v>66.28</v>
      </c>
      <c r="I265" s="2979" t="s">
        <v>3055</v>
      </c>
      <c r="J265" s="2974" t="s">
        <v>3143</v>
      </c>
      <c r="L265" s="2976"/>
      <c r="M265" s="2976"/>
      <c r="N265" s="2976"/>
      <c r="O265" s="2976"/>
      <c r="P265" s="2976"/>
      <c r="Q265" s="2976"/>
      <c r="R265" s="2976"/>
      <c r="S265" s="2976"/>
      <c r="T265" s="2976"/>
      <c r="U265" s="2976"/>
      <c r="V265" s="2976"/>
      <c r="W265" s="2976"/>
      <c r="X265" s="2976"/>
      <c r="Y265" s="2976"/>
      <c r="Z265" s="2976"/>
      <c r="AA265" s="2976"/>
      <c r="AB265" s="2976"/>
      <c r="AC265" s="2976"/>
      <c r="AD265" s="2976"/>
      <c r="AE265" s="2976"/>
      <c r="AF265" s="2976"/>
    </row>
    <row r="266" spans="1:32">
      <c r="A266" s="2972">
        <v>265</v>
      </c>
      <c r="B266" s="2974" t="s">
        <v>3228</v>
      </c>
      <c r="C266" s="2973" t="s">
        <v>3222</v>
      </c>
      <c r="D266" s="2981" t="s">
        <v>3213</v>
      </c>
      <c r="E266" s="2974">
        <v>202</v>
      </c>
      <c r="F266" s="2974">
        <v>56.67</v>
      </c>
      <c r="G266" s="2979">
        <v>13.1</v>
      </c>
      <c r="H266" s="2979">
        <v>69.77</v>
      </c>
      <c r="I266" s="2979" t="s">
        <v>3055</v>
      </c>
      <c r="J266" s="2974" t="s">
        <v>3144</v>
      </c>
      <c r="L266" s="2976"/>
      <c r="M266" s="2976"/>
      <c r="N266" s="2976"/>
      <c r="O266" s="2976"/>
      <c r="P266" s="2976"/>
      <c r="Q266" s="2976"/>
      <c r="R266" s="2976"/>
      <c r="S266" s="2976"/>
      <c r="T266" s="2976"/>
      <c r="U266" s="2976"/>
      <c r="V266" s="2976"/>
      <c r="W266" s="2976"/>
      <c r="X266" s="2976"/>
      <c r="Y266" s="2976"/>
      <c r="Z266" s="2976"/>
      <c r="AA266" s="2976"/>
      <c r="AB266" s="2976"/>
      <c r="AC266" s="2976"/>
      <c r="AD266" s="2976"/>
      <c r="AE266" s="2976"/>
      <c r="AF266" s="2976"/>
    </row>
    <row r="267" spans="1:32">
      <c r="A267" s="2972">
        <v>266</v>
      </c>
      <c r="B267" s="2974" t="s">
        <v>3228</v>
      </c>
      <c r="C267" s="2973" t="s">
        <v>3222</v>
      </c>
      <c r="D267" s="2981" t="s">
        <v>3213</v>
      </c>
      <c r="E267" s="2974">
        <v>203</v>
      </c>
      <c r="F267" s="2974">
        <v>56.81</v>
      </c>
      <c r="G267" s="2979">
        <v>13.13</v>
      </c>
      <c r="H267" s="2979">
        <v>69.94</v>
      </c>
      <c r="I267" s="2979" t="s">
        <v>3055</v>
      </c>
      <c r="J267" s="2974" t="s">
        <v>3144</v>
      </c>
      <c r="L267" s="2976"/>
      <c r="M267" s="2976"/>
      <c r="N267" s="2976"/>
      <c r="O267" s="2976"/>
      <c r="P267" s="2976"/>
      <c r="Q267" s="2976"/>
      <c r="R267" s="2976"/>
      <c r="S267" s="2976"/>
      <c r="T267" s="2976"/>
      <c r="U267" s="2976"/>
      <c r="V267" s="2976"/>
      <c r="W267" s="2976"/>
      <c r="X267" s="2976"/>
      <c r="Y267" s="2976"/>
      <c r="Z267" s="2976"/>
      <c r="AA267" s="2976"/>
      <c r="AB267" s="2976"/>
      <c r="AC267" s="2976"/>
      <c r="AD267" s="2976"/>
      <c r="AE267" s="2976"/>
      <c r="AF267" s="2976"/>
    </row>
    <row r="268" spans="1:32">
      <c r="A268" s="2972">
        <v>267</v>
      </c>
      <c r="B268" s="2974" t="s">
        <v>3228</v>
      </c>
      <c r="C268" s="2973" t="s">
        <v>3222</v>
      </c>
      <c r="D268" s="2981" t="s">
        <v>3213</v>
      </c>
      <c r="E268" s="2974">
        <v>205</v>
      </c>
      <c r="F268" s="2974">
        <v>56.81</v>
      </c>
      <c r="G268" s="2979">
        <v>13.13</v>
      </c>
      <c r="H268" s="2979">
        <v>69.94</v>
      </c>
      <c r="I268" s="2979" t="s">
        <v>3055</v>
      </c>
      <c r="J268" s="2974" t="s">
        <v>3144</v>
      </c>
      <c r="L268" s="2976"/>
      <c r="M268" s="2976"/>
      <c r="N268" s="2976"/>
      <c r="O268" s="2976"/>
      <c r="P268" s="2976"/>
      <c r="Q268" s="2976"/>
      <c r="R268" s="2976"/>
      <c r="S268" s="2976"/>
      <c r="T268" s="2976"/>
      <c r="U268" s="2976"/>
      <c r="V268" s="2976"/>
      <c r="W268" s="2976"/>
      <c r="X268" s="2976"/>
      <c r="Y268" s="2976"/>
      <c r="Z268" s="2976"/>
      <c r="AA268" s="2976"/>
      <c r="AB268" s="2976"/>
      <c r="AC268" s="2976"/>
      <c r="AD268" s="2976"/>
      <c r="AE268" s="2976"/>
      <c r="AF268" s="2976"/>
    </row>
    <row r="269" spans="1:32">
      <c r="A269" s="2972">
        <v>268</v>
      </c>
      <c r="B269" s="2974" t="s">
        <v>3228</v>
      </c>
      <c r="C269" s="2973" t="s">
        <v>3222</v>
      </c>
      <c r="D269" s="2981" t="s">
        <v>3215</v>
      </c>
      <c r="E269" s="2974">
        <v>203</v>
      </c>
      <c r="F269" s="2974">
        <v>56.81</v>
      </c>
      <c r="G269" s="2979">
        <v>13.13</v>
      </c>
      <c r="H269" s="2979">
        <v>69.94</v>
      </c>
      <c r="I269" s="2979" t="s">
        <v>3055</v>
      </c>
      <c r="J269" s="2974" t="s">
        <v>3144</v>
      </c>
      <c r="L269" s="2976"/>
      <c r="M269" s="2976"/>
      <c r="N269" s="2976"/>
      <c r="O269" s="2976"/>
      <c r="P269" s="2976"/>
      <c r="Q269" s="2976"/>
      <c r="R269" s="2976"/>
      <c r="S269" s="2976"/>
      <c r="T269" s="2976"/>
      <c r="U269" s="2976"/>
      <c r="V269" s="2976"/>
      <c r="W269" s="2976"/>
      <c r="X269" s="2976"/>
      <c r="Y269" s="2976"/>
      <c r="Z269" s="2976"/>
      <c r="AA269" s="2976"/>
      <c r="AB269" s="2976"/>
      <c r="AC269" s="2976"/>
      <c r="AD269" s="2976"/>
      <c r="AE269" s="2976"/>
      <c r="AF269" s="2976"/>
    </row>
    <row r="270" spans="1:32">
      <c r="A270" s="2972">
        <v>269</v>
      </c>
      <c r="B270" s="2974" t="s">
        <v>3228</v>
      </c>
      <c r="C270" s="2973" t="s">
        <v>3223</v>
      </c>
      <c r="D270" s="2981" t="s">
        <v>3213</v>
      </c>
      <c r="E270" s="2974">
        <v>302</v>
      </c>
      <c r="F270" s="2974">
        <v>56.67</v>
      </c>
      <c r="G270" s="2979">
        <v>13.1</v>
      </c>
      <c r="H270" s="2979">
        <v>69.77</v>
      </c>
      <c r="I270" s="2979" t="s">
        <v>3055</v>
      </c>
      <c r="J270" s="2974" t="s">
        <v>3144</v>
      </c>
      <c r="L270" s="2976"/>
      <c r="M270" s="2976"/>
      <c r="N270" s="2976"/>
      <c r="O270" s="2976"/>
      <c r="P270" s="2976"/>
      <c r="Q270" s="2976"/>
      <c r="R270" s="2976"/>
      <c r="S270" s="2976"/>
      <c r="T270" s="2976"/>
      <c r="U270" s="2976"/>
      <c r="V270" s="2976"/>
      <c r="W270" s="2976"/>
      <c r="X270" s="2976"/>
      <c r="Y270" s="2976"/>
      <c r="Z270" s="2976"/>
      <c r="AA270" s="2976"/>
      <c r="AB270" s="2976"/>
      <c r="AC270" s="2976"/>
      <c r="AD270" s="2976"/>
      <c r="AE270" s="2976"/>
      <c r="AF270" s="2976"/>
    </row>
    <row r="271" spans="1:32">
      <c r="A271" s="2972">
        <v>270</v>
      </c>
      <c r="B271" s="2974" t="s">
        <v>3228</v>
      </c>
      <c r="C271" s="2973" t="s">
        <v>3223</v>
      </c>
      <c r="D271" s="2981" t="s">
        <v>3213</v>
      </c>
      <c r="E271" s="2974">
        <v>303</v>
      </c>
      <c r="F271" s="2974">
        <v>56.81</v>
      </c>
      <c r="G271" s="2979">
        <v>13.13</v>
      </c>
      <c r="H271" s="2979">
        <v>69.94</v>
      </c>
      <c r="I271" s="2979" t="s">
        <v>3055</v>
      </c>
      <c r="J271" s="2974" t="s">
        <v>3144</v>
      </c>
      <c r="L271" s="2976"/>
      <c r="M271" s="2976"/>
      <c r="N271" s="2976"/>
      <c r="O271" s="2976"/>
      <c r="P271" s="2976"/>
      <c r="Q271" s="2976"/>
      <c r="R271" s="2976"/>
      <c r="S271" s="2976"/>
      <c r="T271" s="2976"/>
      <c r="U271" s="2976"/>
      <c r="V271" s="2976"/>
      <c r="W271" s="2976"/>
      <c r="X271" s="2976"/>
      <c r="Y271" s="2976"/>
      <c r="Z271" s="2976"/>
      <c r="AA271" s="2976"/>
      <c r="AB271" s="2976"/>
      <c r="AC271" s="2976"/>
      <c r="AD271" s="2976"/>
      <c r="AE271" s="2976"/>
      <c r="AF271" s="2976"/>
    </row>
    <row r="272" spans="1:32">
      <c r="A272" s="2972">
        <v>271</v>
      </c>
      <c r="B272" s="2974" t="s">
        <v>3228</v>
      </c>
      <c r="C272" s="2973" t="s">
        <v>3223</v>
      </c>
      <c r="D272" s="2981" t="s">
        <v>3213</v>
      </c>
      <c r="E272" s="2974">
        <v>305</v>
      </c>
      <c r="F272" s="2974">
        <v>56.81</v>
      </c>
      <c r="G272" s="2979">
        <v>13.13</v>
      </c>
      <c r="H272" s="2979">
        <v>69.94</v>
      </c>
      <c r="I272" s="2979" t="s">
        <v>3055</v>
      </c>
      <c r="J272" s="2974" t="s">
        <v>3144</v>
      </c>
      <c r="L272" s="2976"/>
      <c r="M272" s="2976"/>
      <c r="N272" s="2976"/>
      <c r="O272" s="2976"/>
      <c r="P272" s="2976"/>
      <c r="Q272" s="2976"/>
      <c r="R272" s="2976"/>
      <c r="S272" s="2976"/>
      <c r="T272" s="2976"/>
      <c r="U272" s="2976"/>
      <c r="V272" s="2976"/>
      <c r="W272" s="2976"/>
      <c r="X272" s="2976"/>
      <c r="Y272" s="2976"/>
      <c r="Z272" s="2976"/>
      <c r="AA272" s="2976"/>
      <c r="AB272" s="2976"/>
      <c r="AC272" s="2976"/>
      <c r="AD272" s="2976"/>
      <c r="AE272" s="2976"/>
      <c r="AF272" s="2976"/>
    </row>
    <row r="273" spans="1:32">
      <c r="A273" s="2972">
        <v>272</v>
      </c>
      <c r="B273" s="2974" t="s">
        <v>3228</v>
      </c>
      <c r="C273" s="2973" t="s">
        <v>3223</v>
      </c>
      <c r="D273" s="2981" t="s">
        <v>3213</v>
      </c>
      <c r="E273" s="2974">
        <v>306</v>
      </c>
      <c r="F273" s="2974">
        <v>56.67</v>
      </c>
      <c r="G273" s="2979">
        <v>13.1</v>
      </c>
      <c r="H273" s="2979">
        <v>69.77</v>
      </c>
      <c r="I273" s="2979" t="s">
        <v>3055</v>
      </c>
      <c r="J273" s="2974" t="s">
        <v>3144</v>
      </c>
      <c r="L273" s="2976"/>
      <c r="M273" s="2976"/>
      <c r="N273" s="2976"/>
      <c r="O273" s="2976"/>
      <c r="P273" s="2976"/>
      <c r="Q273" s="2976"/>
      <c r="R273" s="2976"/>
      <c r="S273" s="2976"/>
      <c r="T273" s="2976"/>
      <c r="U273" s="2976"/>
      <c r="V273" s="2976"/>
      <c r="W273" s="2976"/>
      <c r="X273" s="2976"/>
      <c r="Y273" s="2976"/>
      <c r="Z273" s="2976"/>
      <c r="AA273" s="2976"/>
      <c r="AB273" s="2976"/>
      <c r="AC273" s="2976"/>
      <c r="AD273" s="2976"/>
      <c r="AE273" s="2976"/>
      <c r="AF273" s="2976"/>
    </row>
    <row r="274" spans="1:32">
      <c r="A274" s="2972">
        <v>273</v>
      </c>
      <c r="B274" s="2974" t="s">
        <v>3228</v>
      </c>
      <c r="C274" s="2973" t="s">
        <v>3223</v>
      </c>
      <c r="D274" s="2981" t="s">
        <v>3213</v>
      </c>
      <c r="E274" s="2974">
        <v>307</v>
      </c>
      <c r="F274" s="2974">
        <v>53.84</v>
      </c>
      <c r="G274" s="2979">
        <v>12.44</v>
      </c>
      <c r="H274" s="2979">
        <v>66.28</v>
      </c>
      <c r="I274" s="2979" t="s">
        <v>3055</v>
      </c>
      <c r="J274" s="2974" t="s">
        <v>3143</v>
      </c>
      <c r="L274" s="2976"/>
      <c r="M274" s="2976"/>
      <c r="N274" s="2976"/>
      <c r="O274" s="2976"/>
      <c r="P274" s="2976"/>
      <c r="Q274" s="2976"/>
      <c r="R274" s="2976"/>
      <c r="S274" s="2976"/>
      <c r="T274" s="2976"/>
      <c r="U274" s="2976"/>
      <c r="V274" s="2976"/>
      <c r="W274" s="2976"/>
      <c r="X274" s="2976"/>
      <c r="Y274" s="2976"/>
      <c r="Z274" s="2976"/>
      <c r="AA274" s="2976"/>
      <c r="AB274" s="2976"/>
      <c r="AC274" s="2976"/>
      <c r="AD274" s="2976"/>
      <c r="AE274" s="2976"/>
      <c r="AF274" s="2976"/>
    </row>
    <row r="275" spans="1:32">
      <c r="A275" s="2972">
        <v>274</v>
      </c>
      <c r="B275" s="2974" t="s">
        <v>3228</v>
      </c>
      <c r="C275" s="2973" t="s">
        <v>3223</v>
      </c>
      <c r="D275" s="2981" t="s">
        <v>3215</v>
      </c>
      <c r="E275" s="2974">
        <v>302</v>
      </c>
      <c r="F275" s="2974">
        <v>56.67</v>
      </c>
      <c r="G275" s="2979">
        <v>13.1</v>
      </c>
      <c r="H275" s="2979">
        <v>69.77</v>
      </c>
      <c r="I275" s="2979" t="s">
        <v>3055</v>
      </c>
      <c r="J275" s="2974" t="s">
        <v>3144</v>
      </c>
      <c r="L275" s="2976"/>
      <c r="M275" s="2976"/>
      <c r="N275" s="2976"/>
      <c r="O275" s="2976"/>
      <c r="P275" s="2976"/>
      <c r="Q275" s="2976"/>
      <c r="R275" s="2976"/>
      <c r="S275" s="2976"/>
      <c r="T275" s="2976"/>
      <c r="U275" s="2976"/>
      <c r="V275" s="2976"/>
      <c r="W275" s="2976"/>
      <c r="X275" s="2976"/>
      <c r="Y275" s="2976"/>
      <c r="Z275" s="2976"/>
      <c r="AA275" s="2976"/>
      <c r="AB275" s="2976"/>
      <c r="AC275" s="2976"/>
      <c r="AD275" s="2976"/>
      <c r="AE275" s="2976"/>
      <c r="AF275" s="2976"/>
    </row>
    <row r="276" spans="1:32">
      <c r="A276" s="2972">
        <v>275</v>
      </c>
      <c r="B276" s="2974" t="s">
        <v>3228</v>
      </c>
      <c r="C276" s="2973" t="s">
        <v>3223</v>
      </c>
      <c r="D276" s="2981" t="s">
        <v>3215</v>
      </c>
      <c r="E276" s="2974">
        <v>303</v>
      </c>
      <c r="F276" s="2974">
        <v>56.81</v>
      </c>
      <c r="G276" s="2979">
        <v>13.13</v>
      </c>
      <c r="H276" s="2979">
        <v>69.94</v>
      </c>
      <c r="I276" s="2979" t="s">
        <v>3055</v>
      </c>
      <c r="J276" s="2974" t="s">
        <v>3144</v>
      </c>
      <c r="L276" s="2976"/>
      <c r="M276" s="2976"/>
      <c r="N276" s="2976"/>
      <c r="O276" s="2976"/>
      <c r="P276" s="2976"/>
      <c r="Q276" s="2976"/>
      <c r="R276" s="2976"/>
      <c r="S276" s="2976"/>
      <c r="T276" s="2976"/>
      <c r="U276" s="2976"/>
      <c r="V276" s="2976"/>
      <c r="W276" s="2976"/>
      <c r="X276" s="2976"/>
      <c r="Y276" s="2976"/>
      <c r="Z276" s="2976"/>
      <c r="AA276" s="2976"/>
      <c r="AB276" s="2976"/>
      <c r="AC276" s="2976"/>
      <c r="AD276" s="2976"/>
      <c r="AE276" s="2976"/>
      <c r="AF276" s="2976"/>
    </row>
    <row r="277" spans="1:32">
      <c r="A277" s="2972">
        <v>276</v>
      </c>
      <c r="B277" s="2974" t="s">
        <v>3228</v>
      </c>
      <c r="C277" s="2973" t="s">
        <v>3223</v>
      </c>
      <c r="D277" s="2981" t="s">
        <v>3215</v>
      </c>
      <c r="E277" s="2974">
        <v>306</v>
      </c>
      <c r="F277" s="2974">
        <v>56.67</v>
      </c>
      <c r="G277" s="2979">
        <v>13.1</v>
      </c>
      <c r="H277" s="2979">
        <v>69.77</v>
      </c>
      <c r="I277" s="2979" t="s">
        <v>3055</v>
      </c>
      <c r="J277" s="2974" t="s">
        <v>3144</v>
      </c>
      <c r="L277" s="2976"/>
      <c r="M277" s="2976"/>
      <c r="N277" s="2976"/>
      <c r="O277" s="2976"/>
      <c r="P277" s="2976"/>
      <c r="Q277" s="2976"/>
      <c r="R277" s="2976"/>
      <c r="S277" s="2976"/>
      <c r="T277" s="2976"/>
      <c r="U277" s="2976"/>
      <c r="V277" s="2976"/>
      <c r="W277" s="2976"/>
      <c r="X277" s="2976"/>
      <c r="Y277" s="2976"/>
      <c r="Z277" s="2976"/>
      <c r="AA277" s="2976"/>
      <c r="AB277" s="2976"/>
      <c r="AC277" s="2976"/>
      <c r="AD277" s="2976"/>
      <c r="AE277" s="2976"/>
      <c r="AF277" s="2976"/>
    </row>
    <row r="278" spans="1:32">
      <c r="A278" s="2972">
        <v>277</v>
      </c>
      <c r="B278" s="2974" t="s">
        <v>3228</v>
      </c>
      <c r="C278" s="2973" t="s">
        <v>3223</v>
      </c>
      <c r="D278" s="2981" t="s">
        <v>3215</v>
      </c>
      <c r="E278" s="2974">
        <v>307</v>
      </c>
      <c r="F278" s="2974">
        <v>53.84</v>
      </c>
      <c r="G278" s="2979">
        <v>12.44</v>
      </c>
      <c r="H278" s="2979">
        <v>66.28</v>
      </c>
      <c r="I278" s="2979" t="s">
        <v>3055</v>
      </c>
      <c r="J278" s="2974" t="s">
        <v>3143</v>
      </c>
      <c r="L278" s="2976"/>
      <c r="M278" s="2976"/>
      <c r="N278" s="2976"/>
      <c r="O278" s="2976"/>
      <c r="P278" s="2976"/>
      <c r="Q278" s="2976"/>
      <c r="R278" s="2976"/>
      <c r="S278" s="2976"/>
      <c r="T278" s="2976"/>
      <c r="U278" s="2976"/>
      <c r="V278" s="2976"/>
      <c r="W278" s="2976"/>
      <c r="X278" s="2976"/>
      <c r="Y278" s="2976"/>
      <c r="Z278" s="2976"/>
      <c r="AA278" s="2976"/>
      <c r="AB278" s="2976"/>
      <c r="AC278" s="2976"/>
      <c r="AD278" s="2976"/>
      <c r="AE278" s="2976"/>
      <c r="AF278" s="2976"/>
    </row>
    <row r="279" spans="1:32">
      <c r="A279" s="2972">
        <v>278</v>
      </c>
      <c r="B279" s="2974" t="s">
        <v>3228</v>
      </c>
      <c r="C279" s="2973" t="s">
        <v>3224</v>
      </c>
      <c r="D279" s="2981" t="s">
        <v>3213</v>
      </c>
      <c r="E279" s="2974" t="s">
        <v>3146</v>
      </c>
      <c r="F279" s="2974">
        <v>56.67</v>
      </c>
      <c r="G279" s="2979">
        <v>13.1</v>
      </c>
      <c r="H279" s="2979">
        <v>69.77</v>
      </c>
      <c r="I279" s="2979" t="s">
        <v>3055</v>
      </c>
      <c r="J279" s="2974" t="s">
        <v>3144</v>
      </c>
      <c r="L279" s="2976"/>
      <c r="M279" s="2976"/>
      <c r="N279" s="2976"/>
      <c r="O279" s="2976"/>
      <c r="P279" s="2976"/>
      <c r="Q279" s="2976"/>
      <c r="R279" s="2976"/>
      <c r="S279" s="2976"/>
      <c r="T279" s="2976"/>
      <c r="U279" s="2976"/>
      <c r="V279" s="2976"/>
      <c r="W279" s="2976"/>
      <c r="X279" s="2976"/>
      <c r="Y279" s="2976"/>
      <c r="Z279" s="2976"/>
      <c r="AA279" s="2976"/>
      <c r="AB279" s="2976"/>
      <c r="AC279" s="2976"/>
      <c r="AD279" s="2976"/>
      <c r="AE279" s="2976"/>
      <c r="AF279" s="2976"/>
    </row>
    <row r="280" spans="1:32">
      <c r="A280" s="2972">
        <v>279</v>
      </c>
      <c r="B280" s="2974" t="s">
        <v>3228</v>
      </c>
      <c r="C280" s="2973" t="s">
        <v>3224</v>
      </c>
      <c r="D280" s="2981" t="s">
        <v>3213</v>
      </c>
      <c r="E280" s="2974" t="s">
        <v>3147</v>
      </c>
      <c r="F280" s="2974">
        <v>56.81</v>
      </c>
      <c r="G280" s="2979">
        <v>13.13</v>
      </c>
      <c r="H280" s="2979">
        <v>69.94</v>
      </c>
      <c r="I280" s="2979" t="s">
        <v>3055</v>
      </c>
      <c r="J280" s="2974" t="s">
        <v>3144</v>
      </c>
      <c r="L280" s="2976"/>
      <c r="M280" s="2976"/>
      <c r="N280" s="2976"/>
      <c r="O280" s="2976"/>
      <c r="P280" s="2976"/>
      <c r="Q280" s="2976"/>
      <c r="R280" s="2976"/>
      <c r="S280" s="2976"/>
      <c r="T280" s="2976"/>
      <c r="U280" s="2976"/>
      <c r="V280" s="2976"/>
      <c r="W280" s="2976"/>
      <c r="X280" s="2976"/>
      <c r="Y280" s="2976"/>
      <c r="Z280" s="2976"/>
      <c r="AA280" s="2976"/>
      <c r="AB280" s="2976"/>
      <c r="AC280" s="2976"/>
      <c r="AD280" s="2976"/>
      <c r="AE280" s="2976"/>
      <c r="AF280" s="2976"/>
    </row>
    <row r="281" spans="1:32">
      <c r="A281" s="2972">
        <v>280</v>
      </c>
      <c r="B281" s="2974" t="s">
        <v>3228</v>
      </c>
      <c r="C281" s="2973" t="s">
        <v>3224</v>
      </c>
      <c r="D281" s="2981" t="s">
        <v>3213</v>
      </c>
      <c r="E281" s="2974" t="s">
        <v>3148</v>
      </c>
      <c r="F281" s="2974">
        <v>56.81</v>
      </c>
      <c r="G281" s="2979">
        <v>13.13</v>
      </c>
      <c r="H281" s="2979">
        <v>69.94</v>
      </c>
      <c r="I281" s="2979" t="s">
        <v>3055</v>
      </c>
      <c r="J281" s="2974" t="s">
        <v>3144</v>
      </c>
      <c r="L281" s="2976"/>
      <c r="M281" s="2976"/>
      <c r="N281" s="2976"/>
      <c r="O281" s="2976"/>
      <c r="P281" s="2976"/>
      <c r="Q281" s="2976"/>
      <c r="R281" s="2976"/>
      <c r="S281" s="2976"/>
      <c r="T281" s="2976"/>
      <c r="U281" s="2976"/>
      <c r="V281" s="2976"/>
      <c r="W281" s="2976"/>
      <c r="X281" s="2976"/>
      <c r="Y281" s="2976"/>
      <c r="Z281" s="2976"/>
      <c r="AA281" s="2976"/>
      <c r="AB281" s="2976"/>
      <c r="AC281" s="2976"/>
      <c r="AD281" s="2976"/>
      <c r="AE281" s="2976"/>
      <c r="AF281" s="2976"/>
    </row>
    <row r="282" spans="1:32">
      <c r="A282" s="2972">
        <v>281</v>
      </c>
      <c r="B282" s="2974" t="s">
        <v>3228</v>
      </c>
      <c r="C282" s="2973" t="s">
        <v>3224</v>
      </c>
      <c r="D282" s="2981" t="s">
        <v>3213</v>
      </c>
      <c r="E282" s="2974" t="s">
        <v>3150</v>
      </c>
      <c r="F282" s="2974">
        <v>53.84</v>
      </c>
      <c r="G282" s="2979">
        <v>12.44</v>
      </c>
      <c r="H282" s="2979">
        <v>66.28</v>
      </c>
      <c r="I282" s="2979" t="s">
        <v>3055</v>
      </c>
      <c r="J282" s="2974" t="s">
        <v>3143</v>
      </c>
      <c r="L282" s="2976"/>
      <c r="M282" s="2976"/>
      <c r="N282" s="2976"/>
      <c r="O282" s="2976"/>
      <c r="P282" s="2976"/>
      <c r="Q282" s="2976"/>
      <c r="R282" s="2976"/>
      <c r="S282" s="2976"/>
      <c r="T282" s="2976"/>
      <c r="U282" s="2976"/>
      <c r="V282" s="2976"/>
      <c r="W282" s="2976"/>
      <c r="X282" s="2976"/>
      <c r="Y282" s="2976"/>
      <c r="Z282" s="2976"/>
      <c r="AA282" s="2976"/>
      <c r="AB282" s="2976"/>
      <c r="AC282" s="2976"/>
      <c r="AD282" s="2976"/>
      <c r="AE282" s="2976"/>
      <c r="AF282" s="2976"/>
    </row>
    <row r="283" spans="1:32">
      <c r="A283" s="2972">
        <v>282</v>
      </c>
      <c r="B283" s="2974" t="s">
        <v>3228</v>
      </c>
      <c r="C283" s="2973" t="s">
        <v>3224</v>
      </c>
      <c r="D283" s="2981" t="s">
        <v>3215</v>
      </c>
      <c r="E283" s="2974" t="s">
        <v>3145</v>
      </c>
      <c r="F283" s="2974">
        <v>53.84</v>
      </c>
      <c r="G283" s="2979">
        <v>12.44</v>
      </c>
      <c r="H283" s="2979">
        <v>66.28</v>
      </c>
      <c r="I283" s="2979" t="s">
        <v>3055</v>
      </c>
      <c r="J283" s="2974" t="s">
        <v>3143</v>
      </c>
      <c r="L283" s="2976"/>
      <c r="M283" s="2976"/>
      <c r="N283" s="2976"/>
      <c r="O283" s="2976"/>
      <c r="P283" s="2976"/>
      <c r="Q283" s="2976"/>
      <c r="R283" s="2976"/>
      <c r="S283" s="2976"/>
      <c r="T283" s="2976"/>
      <c r="U283" s="2976"/>
      <c r="V283" s="2976"/>
      <c r="W283" s="2976"/>
      <c r="X283" s="2976"/>
      <c r="Y283" s="2976"/>
      <c r="Z283" s="2976"/>
      <c r="AA283" s="2976"/>
      <c r="AB283" s="2976"/>
      <c r="AC283" s="2976"/>
      <c r="AD283" s="2976"/>
      <c r="AE283" s="2976"/>
      <c r="AF283" s="2976"/>
    </row>
    <row r="284" spans="1:32">
      <c r="A284" s="2972">
        <v>283</v>
      </c>
      <c r="B284" s="2974" t="s">
        <v>3228</v>
      </c>
      <c r="C284" s="2973" t="s">
        <v>3224</v>
      </c>
      <c r="D284" s="2981" t="s">
        <v>3215</v>
      </c>
      <c r="E284" s="2974" t="s">
        <v>3146</v>
      </c>
      <c r="F284" s="2974">
        <v>56.67</v>
      </c>
      <c r="G284" s="2979">
        <v>13.1</v>
      </c>
      <c r="H284" s="2979">
        <v>69.77</v>
      </c>
      <c r="I284" s="2979" t="s">
        <v>3055</v>
      </c>
      <c r="J284" s="2974" t="s">
        <v>3144</v>
      </c>
      <c r="L284" s="2976"/>
      <c r="M284" s="2976"/>
      <c r="N284" s="2976"/>
      <c r="O284" s="2976"/>
      <c r="P284" s="2976"/>
      <c r="Q284" s="2976"/>
      <c r="R284" s="2976"/>
      <c r="S284" s="2976"/>
      <c r="T284" s="2976"/>
      <c r="U284" s="2976"/>
      <c r="V284" s="2976"/>
      <c r="W284" s="2976"/>
      <c r="X284" s="2976"/>
      <c r="Y284" s="2976"/>
      <c r="Z284" s="2976"/>
      <c r="AA284" s="2976"/>
      <c r="AB284" s="2976"/>
      <c r="AC284" s="2976"/>
      <c r="AD284" s="2976"/>
      <c r="AE284" s="2976"/>
      <c r="AF284" s="2976"/>
    </row>
    <row r="285" spans="1:32">
      <c r="A285" s="2972">
        <v>284</v>
      </c>
      <c r="B285" s="2974" t="s">
        <v>3228</v>
      </c>
      <c r="C285" s="2973" t="s">
        <v>3224</v>
      </c>
      <c r="D285" s="2981" t="s">
        <v>3215</v>
      </c>
      <c r="E285" s="2974" t="s">
        <v>3147</v>
      </c>
      <c r="F285" s="2974">
        <v>56.81</v>
      </c>
      <c r="G285" s="2979">
        <v>13.13</v>
      </c>
      <c r="H285" s="2979">
        <v>69.94</v>
      </c>
      <c r="I285" s="2979" t="s">
        <v>3055</v>
      </c>
      <c r="J285" s="2974" t="s">
        <v>3144</v>
      </c>
      <c r="L285" s="2976"/>
      <c r="M285" s="2976"/>
      <c r="N285" s="2976"/>
      <c r="O285" s="2976"/>
      <c r="P285" s="2976"/>
      <c r="Q285" s="2976"/>
      <c r="R285" s="2976"/>
      <c r="S285" s="2976"/>
      <c r="T285" s="2976"/>
      <c r="U285" s="2976"/>
      <c r="V285" s="2976"/>
      <c r="W285" s="2976"/>
      <c r="X285" s="2976"/>
      <c r="Y285" s="2976"/>
      <c r="Z285" s="2976"/>
      <c r="AA285" s="2976"/>
      <c r="AB285" s="2976"/>
      <c r="AC285" s="2976"/>
      <c r="AD285" s="2976"/>
      <c r="AE285" s="2976"/>
      <c r="AF285" s="2976"/>
    </row>
    <row r="286" spans="1:32">
      <c r="A286" s="2972">
        <v>285</v>
      </c>
      <c r="B286" s="2974" t="s">
        <v>3228</v>
      </c>
      <c r="C286" s="2973" t="s">
        <v>3224</v>
      </c>
      <c r="D286" s="2981" t="s">
        <v>3215</v>
      </c>
      <c r="E286" s="2974" t="s">
        <v>3148</v>
      </c>
      <c r="F286" s="2974">
        <v>56.81</v>
      </c>
      <c r="G286" s="2979">
        <v>13.13</v>
      </c>
      <c r="H286" s="2979">
        <v>69.94</v>
      </c>
      <c r="I286" s="2979" t="s">
        <v>3055</v>
      </c>
      <c r="J286" s="2974" t="s">
        <v>3144</v>
      </c>
      <c r="L286" s="2976"/>
      <c r="M286" s="2976"/>
      <c r="N286" s="2976"/>
      <c r="O286" s="2976"/>
      <c r="P286" s="2976"/>
      <c r="Q286" s="2976"/>
      <c r="R286" s="2976"/>
      <c r="S286" s="2976"/>
      <c r="T286" s="2976"/>
      <c r="U286" s="2976"/>
      <c r="V286" s="2976"/>
      <c r="W286" s="2976"/>
      <c r="X286" s="2976"/>
      <c r="Y286" s="2976"/>
      <c r="Z286" s="2976"/>
      <c r="AA286" s="2976"/>
      <c r="AB286" s="2976"/>
      <c r="AC286" s="2976"/>
      <c r="AD286" s="2976"/>
      <c r="AE286" s="2976"/>
      <c r="AF286" s="2976"/>
    </row>
    <row r="287" spans="1:32">
      <c r="A287" s="2972">
        <v>286</v>
      </c>
      <c r="B287" s="2974" t="s">
        <v>3228</v>
      </c>
      <c r="C287" s="2973" t="s">
        <v>3224</v>
      </c>
      <c r="D287" s="2981" t="s">
        <v>3215</v>
      </c>
      <c r="E287" s="2974" t="s">
        <v>3150</v>
      </c>
      <c r="F287" s="2974">
        <v>53.84</v>
      </c>
      <c r="G287" s="2979">
        <v>12.44</v>
      </c>
      <c r="H287" s="2979">
        <v>66.28</v>
      </c>
      <c r="I287" s="2979" t="s">
        <v>3055</v>
      </c>
      <c r="J287" s="2974" t="s">
        <v>3143</v>
      </c>
      <c r="L287" s="2976"/>
      <c r="M287" s="2976"/>
      <c r="N287" s="2976"/>
      <c r="O287" s="2976"/>
      <c r="P287" s="2976"/>
      <c r="Q287" s="2976"/>
      <c r="R287" s="2976"/>
      <c r="S287" s="2976"/>
      <c r="T287" s="2976"/>
      <c r="U287" s="2976"/>
      <c r="V287" s="2976"/>
      <c r="W287" s="2976"/>
      <c r="X287" s="2976"/>
      <c r="Y287" s="2976"/>
      <c r="Z287" s="2976"/>
      <c r="AA287" s="2976"/>
      <c r="AB287" s="2976"/>
      <c r="AC287" s="2976"/>
      <c r="AD287" s="2976"/>
      <c r="AE287" s="2976"/>
      <c r="AF287" s="2976"/>
    </row>
    <row r="288" spans="1:32">
      <c r="A288" s="2972">
        <v>287</v>
      </c>
      <c r="B288" s="2974" t="s">
        <v>3228</v>
      </c>
      <c r="C288" s="2973" t="s">
        <v>3225</v>
      </c>
      <c r="D288" s="2981" t="s">
        <v>3213</v>
      </c>
      <c r="E288" s="2974">
        <v>501</v>
      </c>
      <c r="F288" s="2974">
        <v>53.84</v>
      </c>
      <c r="G288" s="2979">
        <v>12.44</v>
      </c>
      <c r="H288" s="2979">
        <v>66.28</v>
      </c>
      <c r="I288" s="2979" t="s">
        <v>3055</v>
      </c>
      <c r="J288" s="2974" t="s">
        <v>3143</v>
      </c>
      <c r="L288" s="2976"/>
      <c r="M288" s="2976"/>
      <c r="N288" s="2976"/>
      <c r="O288" s="2976"/>
      <c r="P288" s="2976"/>
      <c r="Q288" s="2976"/>
      <c r="R288" s="2976"/>
      <c r="S288" s="2976"/>
      <c r="T288" s="2976"/>
      <c r="U288" s="2976"/>
      <c r="V288" s="2976"/>
      <c r="W288" s="2976"/>
      <c r="X288" s="2976"/>
      <c r="Y288" s="2976"/>
      <c r="Z288" s="2976"/>
      <c r="AA288" s="2976"/>
      <c r="AB288" s="2976"/>
      <c r="AC288" s="2976"/>
      <c r="AD288" s="2976"/>
      <c r="AE288" s="2976"/>
      <c r="AF288" s="2976"/>
    </row>
    <row r="289" spans="1:32">
      <c r="A289" s="2972">
        <v>288</v>
      </c>
      <c r="B289" s="2974" t="s">
        <v>3228</v>
      </c>
      <c r="C289" s="2973" t="s">
        <v>3225</v>
      </c>
      <c r="D289" s="2981" t="s">
        <v>3213</v>
      </c>
      <c r="E289" s="2974">
        <v>505</v>
      </c>
      <c r="F289" s="2974">
        <v>56.81</v>
      </c>
      <c r="G289" s="2979">
        <v>13.13</v>
      </c>
      <c r="H289" s="2979">
        <v>69.94</v>
      </c>
      <c r="I289" s="2979" t="s">
        <v>3055</v>
      </c>
      <c r="J289" s="2974" t="s">
        <v>3144</v>
      </c>
      <c r="L289" s="2976"/>
      <c r="M289" s="2976"/>
      <c r="N289" s="2976"/>
      <c r="O289" s="2976"/>
      <c r="P289" s="2976"/>
      <c r="Q289" s="2976"/>
      <c r="R289" s="2976"/>
      <c r="S289" s="2976"/>
      <c r="T289" s="2976"/>
      <c r="U289" s="2976"/>
      <c r="V289" s="2976"/>
      <c r="W289" s="2976"/>
      <c r="X289" s="2976"/>
      <c r="Y289" s="2976"/>
      <c r="Z289" s="2976"/>
      <c r="AA289" s="2976"/>
      <c r="AB289" s="2976"/>
      <c r="AC289" s="2976"/>
      <c r="AD289" s="2976"/>
      <c r="AE289" s="2976"/>
      <c r="AF289" s="2976"/>
    </row>
    <row r="290" spans="1:32">
      <c r="A290" s="2972">
        <v>289</v>
      </c>
      <c r="B290" s="2974" t="s">
        <v>3228</v>
      </c>
      <c r="C290" s="2973" t="s">
        <v>3225</v>
      </c>
      <c r="D290" s="2981" t="s">
        <v>3213</v>
      </c>
      <c r="E290" s="2974">
        <v>506</v>
      </c>
      <c r="F290" s="2974">
        <v>56.67</v>
      </c>
      <c r="G290" s="2979">
        <v>13.1</v>
      </c>
      <c r="H290" s="2979">
        <v>69.77</v>
      </c>
      <c r="I290" s="2979" t="s">
        <v>3055</v>
      </c>
      <c r="J290" s="2974" t="s">
        <v>3144</v>
      </c>
      <c r="L290" s="2976"/>
      <c r="M290" s="2976"/>
      <c r="N290" s="2976"/>
      <c r="O290" s="2976"/>
      <c r="P290" s="2976"/>
      <c r="Q290" s="2976"/>
      <c r="R290" s="2976"/>
      <c r="S290" s="2976"/>
      <c r="T290" s="2976"/>
      <c r="U290" s="2976"/>
      <c r="V290" s="2976"/>
      <c r="W290" s="2976"/>
      <c r="X290" s="2976"/>
      <c r="Y290" s="2976"/>
      <c r="Z290" s="2976"/>
      <c r="AA290" s="2976"/>
      <c r="AB290" s="2976"/>
      <c r="AC290" s="2976"/>
      <c r="AD290" s="2976"/>
      <c r="AE290" s="2976"/>
      <c r="AF290" s="2976"/>
    </row>
    <row r="291" spans="1:32">
      <c r="A291" s="2972">
        <v>290</v>
      </c>
      <c r="B291" s="2974" t="s">
        <v>3228</v>
      </c>
      <c r="C291" s="2973" t="s">
        <v>3225</v>
      </c>
      <c r="D291" s="2981" t="s">
        <v>3213</v>
      </c>
      <c r="E291" s="2974">
        <v>507</v>
      </c>
      <c r="F291" s="2974">
        <v>53.84</v>
      </c>
      <c r="G291" s="2979">
        <v>12.44</v>
      </c>
      <c r="H291" s="2979">
        <v>66.28</v>
      </c>
      <c r="I291" s="2979" t="s">
        <v>3055</v>
      </c>
      <c r="J291" s="2974" t="s">
        <v>3143</v>
      </c>
      <c r="L291" s="2976"/>
      <c r="M291" s="2976"/>
      <c r="N291" s="2976"/>
      <c r="O291" s="2976"/>
      <c r="P291" s="2976"/>
      <c r="Q291" s="2976"/>
      <c r="R291" s="2976"/>
      <c r="S291" s="2976"/>
      <c r="T291" s="2976"/>
      <c r="U291" s="2976"/>
      <c r="V291" s="2976"/>
      <c r="W291" s="2976"/>
      <c r="X291" s="2976"/>
      <c r="Y291" s="2976"/>
      <c r="Z291" s="2976"/>
      <c r="AA291" s="2976"/>
      <c r="AB291" s="2976"/>
      <c r="AC291" s="2976"/>
      <c r="AD291" s="2976"/>
      <c r="AE291" s="2976"/>
      <c r="AF291" s="2976"/>
    </row>
    <row r="292" spans="1:32">
      <c r="A292" s="2972">
        <v>291</v>
      </c>
      <c r="B292" s="2974" t="s">
        <v>3228</v>
      </c>
      <c r="C292" s="2973" t="s">
        <v>3225</v>
      </c>
      <c r="D292" s="2981" t="s">
        <v>3215</v>
      </c>
      <c r="E292" s="2974">
        <v>506</v>
      </c>
      <c r="F292" s="2974">
        <v>56.67</v>
      </c>
      <c r="G292" s="2979">
        <v>13.1</v>
      </c>
      <c r="H292" s="2979">
        <v>69.77</v>
      </c>
      <c r="I292" s="2979" t="s">
        <v>3055</v>
      </c>
      <c r="J292" s="2974" t="s">
        <v>3144</v>
      </c>
      <c r="L292" s="2976"/>
      <c r="M292" s="2976"/>
      <c r="N292" s="2976"/>
      <c r="O292" s="2976"/>
      <c r="P292" s="2976"/>
      <c r="Q292" s="2976"/>
      <c r="R292" s="2976"/>
      <c r="S292" s="2976"/>
      <c r="T292" s="2976"/>
      <c r="U292" s="2976"/>
      <c r="V292" s="2976"/>
      <c r="W292" s="2976"/>
      <c r="X292" s="2976"/>
      <c r="Y292" s="2976"/>
      <c r="Z292" s="2976"/>
      <c r="AA292" s="2976"/>
      <c r="AB292" s="2976"/>
      <c r="AC292" s="2976"/>
      <c r="AD292" s="2976"/>
      <c r="AE292" s="2976"/>
      <c r="AF292" s="2976"/>
    </row>
    <row r="293" spans="1:32">
      <c r="A293" s="2972">
        <v>292</v>
      </c>
      <c r="B293" s="2974" t="s">
        <v>3228</v>
      </c>
      <c r="C293" s="2973" t="s">
        <v>3225</v>
      </c>
      <c r="D293" s="2981" t="s">
        <v>3215</v>
      </c>
      <c r="E293" s="2974">
        <v>507</v>
      </c>
      <c r="F293" s="2974">
        <v>53.84</v>
      </c>
      <c r="G293" s="2979">
        <v>12.44</v>
      </c>
      <c r="H293" s="2979">
        <v>66.28</v>
      </c>
      <c r="I293" s="2979" t="s">
        <v>3055</v>
      </c>
      <c r="J293" s="2974" t="s">
        <v>3143</v>
      </c>
      <c r="L293" s="2976"/>
      <c r="M293" s="2976"/>
      <c r="N293" s="2976"/>
      <c r="O293" s="2976"/>
      <c r="P293" s="2976"/>
      <c r="Q293" s="2976"/>
      <c r="R293" s="2976"/>
      <c r="S293" s="2976"/>
      <c r="T293" s="2976"/>
      <c r="U293" s="2976"/>
      <c r="V293" s="2976"/>
      <c r="W293" s="2976"/>
      <c r="X293" s="2976"/>
      <c r="Y293" s="2976"/>
      <c r="Z293" s="2976"/>
      <c r="AA293" s="2976"/>
      <c r="AB293" s="2976"/>
      <c r="AC293" s="2976"/>
      <c r="AD293" s="2976"/>
      <c r="AE293" s="2976"/>
      <c r="AF293" s="2976"/>
    </row>
    <row r="294" spans="1:32">
      <c r="A294" s="2972">
        <v>293</v>
      </c>
      <c r="B294" s="2974" t="s">
        <v>3228</v>
      </c>
      <c r="C294" s="2973" t="s">
        <v>3226</v>
      </c>
      <c r="D294" s="2981" t="s">
        <v>3213</v>
      </c>
      <c r="E294" s="2974">
        <v>601</v>
      </c>
      <c r="F294" s="2974">
        <v>53.84</v>
      </c>
      <c r="G294" s="2979">
        <v>12.44</v>
      </c>
      <c r="H294" s="2979">
        <v>66.28</v>
      </c>
      <c r="I294" s="2979" t="s">
        <v>3055</v>
      </c>
      <c r="J294" s="2974" t="s">
        <v>3143</v>
      </c>
      <c r="L294" s="2976"/>
      <c r="M294" s="2976"/>
      <c r="N294" s="2976"/>
      <c r="O294" s="2976"/>
      <c r="P294" s="2976"/>
      <c r="Q294" s="2976"/>
      <c r="R294" s="2976"/>
      <c r="S294" s="2976"/>
      <c r="T294" s="2976"/>
      <c r="U294" s="2976"/>
      <c r="V294" s="2976"/>
      <c r="W294" s="2976"/>
      <c r="X294" s="2976"/>
      <c r="Y294" s="2976"/>
      <c r="Z294" s="2976"/>
      <c r="AA294" s="2976"/>
      <c r="AB294" s="2976"/>
      <c r="AC294" s="2976"/>
      <c r="AD294" s="2976"/>
      <c r="AE294" s="2976"/>
      <c r="AF294" s="2976"/>
    </row>
    <row r="295" spans="1:32">
      <c r="A295" s="2972">
        <v>294</v>
      </c>
      <c r="B295" s="2974" t="s">
        <v>3228</v>
      </c>
      <c r="C295" s="2973" t="s">
        <v>3226</v>
      </c>
      <c r="D295" s="2981" t="s">
        <v>3213</v>
      </c>
      <c r="E295" s="2974">
        <v>602</v>
      </c>
      <c r="F295" s="2974">
        <v>56.67</v>
      </c>
      <c r="G295" s="2979">
        <v>13.1</v>
      </c>
      <c r="H295" s="2979">
        <v>69.77</v>
      </c>
      <c r="I295" s="2979" t="s">
        <v>3055</v>
      </c>
      <c r="J295" s="2974" t="s">
        <v>3144</v>
      </c>
      <c r="L295" s="2976"/>
      <c r="M295" s="2976"/>
      <c r="N295" s="2976"/>
      <c r="O295" s="2976"/>
      <c r="P295" s="2976"/>
      <c r="Q295" s="2976"/>
      <c r="R295" s="2976"/>
      <c r="S295" s="2976"/>
      <c r="T295" s="2976"/>
      <c r="U295" s="2976"/>
      <c r="V295" s="2976"/>
      <c r="W295" s="2976"/>
      <c r="X295" s="2976"/>
      <c r="Y295" s="2976"/>
      <c r="Z295" s="2976"/>
      <c r="AA295" s="2976"/>
      <c r="AB295" s="2976"/>
      <c r="AC295" s="2976"/>
      <c r="AD295" s="2976"/>
      <c r="AE295" s="2976"/>
      <c r="AF295" s="2976"/>
    </row>
    <row r="296" spans="1:32">
      <c r="A296" s="2972">
        <v>295</v>
      </c>
      <c r="B296" s="2974" t="s">
        <v>3228</v>
      </c>
      <c r="C296" s="2973" t="s">
        <v>3226</v>
      </c>
      <c r="D296" s="2981" t="s">
        <v>3213</v>
      </c>
      <c r="E296" s="2974">
        <v>606</v>
      </c>
      <c r="F296" s="2974">
        <v>56.67</v>
      </c>
      <c r="G296" s="2979">
        <v>13.1</v>
      </c>
      <c r="H296" s="2979">
        <v>69.77</v>
      </c>
      <c r="I296" s="2979" t="s">
        <v>3055</v>
      </c>
      <c r="J296" s="2974" t="s">
        <v>3144</v>
      </c>
      <c r="L296" s="2976"/>
      <c r="M296" s="2976"/>
      <c r="N296" s="2976"/>
      <c r="O296" s="2976"/>
      <c r="P296" s="2976"/>
      <c r="Q296" s="2976"/>
      <c r="R296" s="2976"/>
      <c r="S296" s="2976"/>
      <c r="T296" s="2976"/>
      <c r="U296" s="2976"/>
      <c r="V296" s="2976"/>
      <c r="W296" s="2976"/>
      <c r="X296" s="2976"/>
      <c r="Y296" s="2976"/>
      <c r="Z296" s="2976"/>
      <c r="AA296" s="2976"/>
      <c r="AB296" s="2976"/>
      <c r="AC296" s="2976"/>
      <c r="AD296" s="2976"/>
      <c r="AE296" s="2976"/>
      <c r="AF296" s="2976"/>
    </row>
    <row r="297" spans="1:32">
      <c r="A297" s="2972">
        <v>296</v>
      </c>
      <c r="B297" s="2974" t="s">
        <v>3228</v>
      </c>
      <c r="C297" s="2973" t="s">
        <v>3226</v>
      </c>
      <c r="D297" s="2981" t="s">
        <v>3215</v>
      </c>
      <c r="E297" s="2974">
        <v>601</v>
      </c>
      <c r="F297" s="2974">
        <v>53.84</v>
      </c>
      <c r="G297" s="2979">
        <v>12.44</v>
      </c>
      <c r="H297" s="2979">
        <v>66.28</v>
      </c>
      <c r="I297" s="2979" t="s">
        <v>3055</v>
      </c>
      <c r="J297" s="2974" t="s">
        <v>3143</v>
      </c>
      <c r="L297" s="2976"/>
      <c r="M297" s="2976"/>
      <c r="N297" s="2976"/>
      <c r="O297" s="2976"/>
      <c r="P297" s="2976"/>
      <c r="Q297" s="2976"/>
      <c r="R297" s="2976"/>
      <c r="S297" s="2976"/>
      <c r="T297" s="2976"/>
      <c r="U297" s="2976"/>
      <c r="V297" s="2976"/>
      <c r="W297" s="2976"/>
      <c r="X297" s="2976"/>
      <c r="Y297" s="2976"/>
      <c r="Z297" s="2976"/>
      <c r="AA297" s="2976"/>
      <c r="AB297" s="2976"/>
      <c r="AC297" s="2976"/>
      <c r="AD297" s="2976"/>
      <c r="AE297" s="2976"/>
      <c r="AF297" s="2976"/>
    </row>
    <row r="298" spans="1:32">
      <c r="A298" s="2972">
        <v>297</v>
      </c>
      <c r="B298" s="2974" t="s">
        <v>3228</v>
      </c>
      <c r="C298" s="2973" t="s">
        <v>3226</v>
      </c>
      <c r="D298" s="2981" t="s">
        <v>3215</v>
      </c>
      <c r="E298" s="2974">
        <v>602</v>
      </c>
      <c r="F298" s="2974">
        <v>56.67</v>
      </c>
      <c r="G298" s="2979">
        <v>13.1</v>
      </c>
      <c r="H298" s="2979">
        <v>69.77</v>
      </c>
      <c r="I298" s="2979" t="s">
        <v>3055</v>
      </c>
      <c r="J298" s="2974" t="s">
        <v>3144</v>
      </c>
      <c r="L298" s="2976"/>
      <c r="M298" s="2976"/>
      <c r="N298" s="2976"/>
      <c r="O298" s="2976"/>
      <c r="P298" s="2976"/>
      <c r="Q298" s="2976"/>
      <c r="R298" s="2976"/>
      <c r="S298" s="2976"/>
      <c r="T298" s="2976"/>
      <c r="U298" s="2976"/>
      <c r="V298" s="2976"/>
      <c r="W298" s="2976"/>
      <c r="X298" s="2976"/>
      <c r="Y298" s="2976"/>
      <c r="Z298" s="2976"/>
      <c r="AA298" s="2976"/>
      <c r="AB298" s="2976"/>
      <c r="AC298" s="2976"/>
      <c r="AD298" s="2976"/>
      <c r="AE298" s="2976"/>
      <c r="AF298" s="2976"/>
    </row>
    <row r="299" spans="1:32">
      <c r="A299" s="2972">
        <v>298</v>
      </c>
      <c r="B299" s="2974" t="s">
        <v>3228</v>
      </c>
      <c r="C299" s="2973" t="s">
        <v>3226</v>
      </c>
      <c r="D299" s="2981" t="s">
        <v>3215</v>
      </c>
      <c r="E299" s="2974">
        <v>603</v>
      </c>
      <c r="F299" s="2974">
        <v>56.81</v>
      </c>
      <c r="G299" s="2979">
        <v>13.13</v>
      </c>
      <c r="H299" s="2979">
        <v>69.94</v>
      </c>
      <c r="I299" s="2979" t="s">
        <v>3055</v>
      </c>
      <c r="J299" s="2974" t="s">
        <v>3144</v>
      </c>
      <c r="L299" s="2976"/>
      <c r="M299" s="2976"/>
      <c r="N299" s="2976"/>
      <c r="O299" s="2976"/>
      <c r="P299" s="2976"/>
      <c r="Q299" s="2976"/>
      <c r="R299" s="2976"/>
      <c r="S299" s="2976"/>
      <c r="T299" s="2976"/>
      <c r="U299" s="2976"/>
      <c r="V299" s="2976"/>
      <c r="W299" s="2976"/>
      <c r="X299" s="2976"/>
      <c r="Y299" s="2976"/>
      <c r="Z299" s="2976"/>
      <c r="AA299" s="2976"/>
      <c r="AB299" s="2976"/>
      <c r="AC299" s="2976"/>
      <c r="AD299" s="2976"/>
      <c r="AE299" s="2976"/>
      <c r="AF299" s="2976"/>
    </row>
    <row r="300" spans="1:32">
      <c r="A300" s="2972">
        <v>299</v>
      </c>
      <c r="B300" s="2974" t="s">
        <v>3228</v>
      </c>
      <c r="C300" s="2973" t="s">
        <v>3226</v>
      </c>
      <c r="D300" s="2981" t="s">
        <v>3215</v>
      </c>
      <c r="E300" s="2974">
        <v>605</v>
      </c>
      <c r="F300" s="2974">
        <v>56.81</v>
      </c>
      <c r="G300" s="2979">
        <v>13.13</v>
      </c>
      <c r="H300" s="2979">
        <v>69.94</v>
      </c>
      <c r="I300" s="2979" t="s">
        <v>3055</v>
      </c>
      <c r="J300" s="2974" t="s">
        <v>3144</v>
      </c>
      <c r="L300" s="2976"/>
      <c r="M300" s="2976"/>
      <c r="N300" s="2976"/>
      <c r="O300" s="2976"/>
      <c r="P300" s="2976"/>
      <c r="Q300" s="2976"/>
      <c r="R300" s="2976"/>
      <c r="S300" s="2976"/>
      <c r="T300" s="2976"/>
      <c r="U300" s="2976"/>
      <c r="V300" s="2976"/>
      <c r="W300" s="2976"/>
      <c r="X300" s="2976"/>
      <c r="Y300" s="2976"/>
      <c r="Z300" s="2976"/>
      <c r="AA300" s="2976"/>
      <c r="AB300" s="2976"/>
      <c r="AC300" s="2976"/>
      <c r="AD300" s="2976"/>
      <c r="AE300" s="2976"/>
      <c r="AF300" s="2976"/>
    </row>
    <row r="301" spans="1:32">
      <c r="A301" s="2972">
        <v>300</v>
      </c>
      <c r="B301" s="2974" t="s">
        <v>3228</v>
      </c>
      <c r="C301" s="2973" t="s">
        <v>3226</v>
      </c>
      <c r="D301" s="2981" t="s">
        <v>3215</v>
      </c>
      <c r="E301" s="2974">
        <v>606</v>
      </c>
      <c r="F301" s="2974">
        <v>56.67</v>
      </c>
      <c r="G301" s="2979">
        <v>13.1</v>
      </c>
      <c r="H301" s="2979">
        <v>69.77</v>
      </c>
      <c r="I301" s="2979" t="s">
        <v>3055</v>
      </c>
      <c r="J301" s="2974" t="s">
        <v>3144</v>
      </c>
      <c r="L301" s="2976"/>
      <c r="M301" s="2976"/>
      <c r="N301" s="2976"/>
      <c r="O301" s="2976"/>
      <c r="P301" s="2976"/>
      <c r="Q301" s="2976"/>
      <c r="R301" s="2976"/>
      <c r="S301" s="2976"/>
      <c r="T301" s="2976"/>
      <c r="U301" s="2976"/>
      <c r="V301" s="2976"/>
      <c r="W301" s="2976"/>
      <c r="X301" s="2976"/>
      <c r="Y301" s="2976"/>
      <c r="Z301" s="2976"/>
      <c r="AA301" s="2976"/>
      <c r="AB301" s="2976"/>
      <c r="AC301" s="2976"/>
      <c r="AD301" s="2976"/>
      <c r="AE301" s="2976"/>
      <c r="AF301" s="2976"/>
    </row>
    <row r="302" spans="1:32">
      <c r="A302" s="2972">
        <v>301</v>
      </c>
      <c r="B302" s="2974" t="s">
        <v>3229</v>
      </c>
      <c r="C302" s="2973" t="s">
        <v>3221</v>
      </c>
      <c r="D302" s="2981" t="s">
        <v>3213</v>
      </c>
      <c r="E302" s="2974">
        <v>101</v>
      </c>
      <c r="F302" s="2980">
        <v>53.82</v>
      </c>
      <c r="G302" s="2979">
        <v>12.25</v>
      </c>
      <c r="H302" s="2979">
        <v>66.069999999999993</v>
      </c>
      <c r="I302" s="2979" t="s">
        <v>3055</v>
      </c>
      <c r="J302" s="2974" t="s">
        <v>3143</v>
      </c>
      <c r="L302" s="2976"/>
      <c r="M302" s="2976"/>
      <c r="N302" s="2976"/>
      <c r="O302" s="2976"/>
      <c r="P302" s="2976"/>
      <c r="Q302" s="2976"/>
      <c r="R302" s="2976"/>
      <c r="S302" s="2976"/>
      <c r="T302" s="2976"/>
      <c r="U302" s="2976"/>
      <c r="V302" s="2976"/>
      <c r="W302" s="2976"/>
      <c r="X302" s="2976"/>
      <c r="Y302" s="2976"/>
      <c r="Z302" s="2976"/>
      <c r="AA302" s="2976"/>
      <c r="AB302" s="2976"/>
      <c r="AC302" s="2976"/>
      <c r="AD302" s="2976"/>
      <c r="AE302" s="2976"/>
      <c r="AF302" s="2976"/>
    </row>
    <row r="303" spans="1:32">
      <c r="A303" s="2972">
        <v>302</v>
      </c>
      <c r="B303" s="2974" t="s">
        <v>3229</v>
      </c>
      <c r="C303" s="2973" t="s">
        <v>3221</v>
      </c>
      <c r="D303" s="2981" t="s">
        <v>3213</v>
      </c>
      <c r="E303" s="2974">
        <v>102</v>
      </c>
      <c r="F303" s="2980">
        <v>56.66</v>
      </c>
      <c r="G303" s="2979">
        <v>12.9</v>
      </c>
      <c r="H303" s="2979">
        <v>69.56</v>
      </c>
      <c r="I303" s="2979" t="s">
        <v>3055</v>
      </c>
      <c r="J303" s="2974" t="s">
        <v>3144</v>
      </c>
      <c r="L303" s="2976"/>
      <c r="M303" s="2976"/>
      <c r="N303" s="2976"/>
      <c r="O303" s="2976"/>
      <c r="P303" s="2976"/>
      <c r="Q303" s="2976"/>
      <c r="R303" s="2976"/>
      <c r="S303" s="2976"/>
      <c r="T303" s="2976"/>
      <c r="U303" s="2976"/>
      <c r="V303" s="2976"/>
      <c r="W303" s="2976"/>
      <c r="X303" s="2976"/>
      <c r="Y303" s="2976"/>
      <c r="Z303" s="2976"/>
      <c r="AA303" s="2976"/>
      <c r="AB303" s="2976"/>
      <c r="AC303" s="2976"/>
      <c r="AD303" s="2976"/>
      <c r="AE303" s="2976"/>
      <c r="AF303" s="2976"/>
    </row>
    <row r="304" spans="1:32">
      <c r="A304" s="2972">
        <v>303</v>
      </c>
      <c r="B304" s="2974" t="s">
        <v>3229</v>
      </c>
      <c r="C304" s="2973" t="s">
        <v>3221</v>
      </c>
      <c r="D304" s="2981" t="s">
        <v>3213</v>
      </c>
      <c r="E304" s="2974">
        <v>103</v>
      </c>
      <c r="F304" s="2980">
        <v>56.79</v>
      </c>
      <c r="G304" s="2979">
        <v>12.93</v>
      </c>
      <c r="H304" s="2979">
        <v>69.72</v>
      </c>
      <c r="I304" s="2979" t="s">
        <v>3055</v>
      </c>
      <c r="J304" s="2974" t="s">
        <v>3144</v>
      </c>
      <c r="L304" s="2976"/>
      <c r="M304" s="2976"/>
      <c r="N304" s="2976"/>
      <c r="O304" s="2976"/>
      <c r="P304" s="2976"/>
      <c r="Q304" s="2976"/>
      <c r="R304" s="2976"/>
      <c r="S304" s="2976"/>
      <c r="T304" s="2976"/>
      <c r="U304" s="2976"/>
      <c r="V304" s="2976"/>
      <c r="W304" s="2976"/>
      <c r="X304" s="2976"/>
      <c r="Y304" s="2976"/>
      <c r="Z304" s="2976"/>
      <c r="AA304" s="2976"/>
      <c r="AB304" s="2976"/>
      <c r="AC304" s="2976"/>
      <c r="AD304" s="2976"/>
      <c r="AE304" s="2976"/>
      <c r="AF304" s="2976"/>
    </row>
    <row r="305" spans="1:32">
      <c r="A305" s="2972">
        <v>304</v>
      </c>
      <c r="B305" s="2974" t="s">
        <v>3229</v>
      </c>
      <c r="C305" s="2973" t="s">
        <v>3221</v>
      </c>
      <c r="D305" s="2981" t="s">
        <v>3213</v>
      </c>
      <c r="E305" s="2974">
        <v>105</v>
      </c>
      <c r="F305" s="2980">
        <v>56.66</v>
      </c>
      <c r="G305" s="2979">
        <v>12.9</v>
      </c>
      <c r="H305" s="2979">
        <v>69.56</v>
      </c>
      <c r="I305" s="2979" t="s">
        <v>3055</v>
      </c>
      <c r="J305" s="2974" t="s">
        <v>3144</v>
      </c>
      <c r="L305" s="2976"/>
      <c r="M305" s="2976"/>
      <c r="N305" s="2976"/>
      <c r="O305" s="2976"/>
      <c r="P305" s="2976"/>
      <c r="Q305" s="2976"/>
      <c r="R305" s="2976"/>
      <c r="S305" s="2976"/>
      <c r="T305" s="2976"/>
      <c r="U305" s="2976"/>
      <c r="V305" s="2976"/>
      <c r="W305" s="2976"/>
      <c r="X305" s="2976"/>
      <c r="Y305" s="2976"/>
      <c r="Z305" s="2976"/>
      <c r="AA305" s="2976"/>
      <c r="AB305" s="2976"/>
      <c r="AC305" s="2976"/>
      <c r="AD305" s="2976"/>
      <c r="AE305" s="2976"/>
      <c r="AF305" s="2976"/>
    </row>
    <row r="306" spans="1:32">
      <c r="A306" s="2972">
        <v>305</v>
      </c>
      <c r="B306" s="2974" t="s">
        <v>3229</v>
      </c>
      <c r="C306" s="2973" t="s">
        <v>3221</v>
      </c>
      <c r="D306" s="2981" t="s">
        <v>3213</v>
      </c>
      <c r="E306" s="2974">
        <v>106</v>
      </c>
      <c r="F306" s="2980">
        <v>77.17</v>
      </c>
      <c r="G306" s="2979">
        <v>17.57</v>
      </c>
      <c r="H306" s="2979">
        <v>94.740000000000009</v>
      </c>
      <c r="I306" s="2979" t="s">
        <v>3055</v>
      </c>
      <c r="J306" s="2974" t="s">
        <v>3144</v>
      </c>
      <c r="L306" s="2976"/>
      <c r="M306" s="2976"/>
      <c r="N306" s="2976"/>
      <c r="O306" s="2976"/>
      <c r="P306" s="2976"/>
      <c r="Q306" s="2976"/>
      <c r="R306" s="2976"/>
      <c r="S306" s="2976"/>
      <c r="T306" s="2976"/>
      <c r="U306" s="2976"/>
      <c r="V306" s="2976"/>
      <c r="W306" s="2976"/>
      <c r="X306" s="2976"/>
      <c r="Y306" s="2976"/>
      <c r="Z306" s="2976"/>
      <c r="AA306" s="2976"/>
      <c r="AB306" s="2976"/>
      <c r="AC306" s="2976"/>
      <c r="AD306" s="2976"/>
      <c r="AE306" s="2976"/>
      <c r="AF306" s="2976"/>
    </row>
    <row r="307" spans="1:32">
      <c r="A307" s="2972">
        <v>306</v>
      </c>
      <c r="B307" s="2974" t="s">
        <v>3229</v>
      </c>
      <c r="C307" s="2973" t="s">
        <v>3221</v>
      </c>
      <c r="D307" s="2981" t="s">
        <v>3215</v>
      </c>
      <c r="E307" s="2974">
        <v>101</v>
      </c>
      <c r="F307" s="2980">
        <v>77.17</v>
      </c>
      <c r="G307" s="2979">
        <v>17.57</v>
      </c>
      <c r="H307" s="2979">
        <v>94.740000000000009</v>
      </c>
      <c r="I307" s="2979" t="s">
        <v>3055</v>
      </c>
      <c r="J307" s="2974" t="s">
        <v>3144</v>
      </c>
      <c r="L307" s="2976"/>
      <c r="M307" s="2976"/>
      <c r="N307" s="2976"/>
      <c r="O307" s="2976"/>
      <c r="P307" s="2976"/>
      <c r="Q307" s="2976"/>
      <c r="R307" s="2976"/>
      <c r="S307" s="2976"/>
      <c r="T307" s="2976"/>
      <c r="U307" s="2976"/>
      <c r="V307" s="2976"/>
      <c r="W307" s="2976"/>
      <c r="X307" s="2976"/>
      <c r="Y307" s="2976"/>
      <c r="Z307" s="2976"/>
      <c r="AA307" s="2976"/>
      <c r="AB307" s="2976"/>
      <c r="AC307" s="2976"/>
      <c r="AD307" s="2976"/>
      <c r="AE307" s="2976"/>
      <c r="AF307" s="2976"/>
    </row>
    <row r="308" spans="1:32">
      <c r="A308" s="2972">
        <v>307</v>
      </c>
      <c r="B308" s="2974" t="s">
        <v>3229</v>
      </c>
      <c r="C308" s="2973" t="s">
        <v>3221</v>
      </c>
      <c r="D308" s="2981" t="s">
        <v>3215</v>
      </c>
      <c r="E308" s="2974">
        <v>102</v>
      </c>
      <c r="F308" s="2980">
        <v>56.66</v>
      </c>
      <c r="G308" s="2979">
        <v>12.9</v>
      </c>
      <c r="H308" s="2979">
        <v>69.56</v>
      </c>
      <c r="I308" s="2979" t="s">
        <v>3055</v>
      </c>
      <c r="J308" s="2974" t="s">
        <v>3144</v>
      </c>
      <c r="L308" s="2976"/>
      <c r="M308" s="2976"/>
      <c r="N308" s="2976"/>
      <c r="O308" s="2976"/>
      <c r="P308" s="2976"/>
      <c r="Q308" s="2976"/>
      <c r="R308" s="2976"/>
      <c r="S308" s="2976"/>
      <c r="T308" s="2976"/>
      <c r="U308" s="2976"/>
      <c r="V308" s="2976"/>
      <c r="W308" s="2976"/>
      <c r="X308" s="2976"/>
      <c r="Y308" s="2976"/>
      <c r="Z308" s="2976"/>
      <c r="AA308" s="2976"/>
      <c r="AB308" s="2976"/>
      <c r="AC308" s="2976"/>
      <c r="AD308" s="2976"/>
      <c r="AE308" s="2976"/>
      <c r="AF308" s="2976"/>
    </row>
    <row r="309" spans="1:32">
      <c r="A309" s="2972">
        <v>308</v>
      </c>
      <c r="B309" s="2974" t="s">
        <v>3229</v>
      </c>
      <c r="C309" s="2973" t="s">
        <v>3221</v>
      </c>
      <c r="D309" s="2981" t="s">
        <v>3215</v>
      </c>
      <c r="E309" s="2974">
        <v>103</v>
      </c>
      <c r="F309" s="2980">
        <v>56.79</v>
      </c>
      <c r="G309" s="2979">
        <v>12.93</v>
      </c>
      <c r="H309" s="2979">
        <v>69.72</v>
      </c>
      <c r="I309" s="2979" t="s">
        <v>3055</v>
      </c>
      <c r="J309" s="2974" t="s">
        <v>3144</v>
      </c>
      <c r="L309" s="2976"/>
      <c r="M309" s="2976"/>
      <c r="N309" s="2976"/>
      <c r="O309" s="2976"/>
      <c r="P309" s="2976"/>
      <c r="Q309" s="2976"/>
      <c r="R309" s="2976"/>
      <c r="S309" s="2976"/>
      <c r="T309" s="2976"/>
      <c r="U309" s="2976"/>
      <c r="V309" s="2976"/>
      <c r="W309" s="2976"/>
      <c r="X309" s="2976"/>
      <c r="Y309" s="2976"/>
      <c r="Z309" s="2976"/>
      <c r="AA309" s="2976"/>
      <c r="AB309" s="2976"/>
      <c r="AC309" s="2976"/>
      <c r="AD309" s="2976"/>
      <c r="AE309" s="2976"/>
      <c r="AF309" s="2976"/>
    </row>
    <row r="310" spans="1:32">
      <c r="A310" s="2972">
        <v>309</v>
      </c>
      <c r="B310" s="2974" t="s">
        <v>3229</v>
      </c>
      <c r="C310" s="2973" t="s">
        <v>3221</v>
      </c>
      <c r="D310" s="2981" t="s">
        <v>3215</v>
      </c>
      <c r="E310" s="2974">
        <v>105</v>
      </c>
      <c r="F310" s="2980">
        <v>56.66</v>
      </c>
      <c r="G310" s="2979">
        <v>12.9</v>
      </c>
      <c r="H310" s="2979">
        <v>69.56</v>
      </c>
      <c r="I310" s="2979" t="s">
        <v>3055</v>
      </c>
      <c r="J310" s="2974" t="s">
        <v>3144</v>
      </c>
      <c r="L310" s="2976"/>
      <c r="M310" s="2976"/>
      <c r="N310" s="2976"/>
      <c r="O310" s="2976"/>
      <c r="P310" s="2976"/>
      <c r="Q310" s="2976"/>
      <c r="R310" s="2976"/>
      <c r="S310" s="2976"/>
      <c r="T310" s="2976"/>
      <c r="U310" s="2976"/>
      <c r="V310" s="2976"/>
      <c r="W310" s="2976"/>
      <c r="X310" s="2976"/>
      <c r="Y310" s="2976"/>
      <c r="Z310" s="2976"/>
      <c r="AA310" s="2976"/>
      <c r="AB310" s="2976"/>
      <c r="AC310" s="2976"/>
      <c r="AD310" s="2976"/>
      <c r="AE310" s="2976"/>
      <c r="AF310" s="2976"/>
    </row>
    <row r="311" spans="1:32">
      <c r="A311" s="2972">
        <v>310</v>
      </c>
      <c r="B311" s="2974" t="s">
        <v>3229</v>
      </c>
      <c r="C311" s="2973" t="s">
        <v>3221</v>
      </c>
      <c r="D311" s="2981" t="s">
        <v>3215</v>
      </c>
      <c r="E311" s="2974">
        <v>106</v>
      </c>
      <c r="F311" s="2980">
        <v>53.82</v>
      </c>
      <c r="G311" s="2979">
        <v>12.25</v>
      </c>
      <c r="H311" s="2979">
        <v>66.069999999999993</v>
      </c>
      <c r="I311" s="2979" t="s">
        <v>3055</v>
      </c>
      <c r="J311" s="2974" t="s">
        <v>3143</v>
      </c>
      <c r="L311" s="2976"/>
      <c r="M311" s="2976"/>
      <c r="N311" s="2976"/>
      <c r="O311" s="2976"/>
      <c r="P311" s="2976"/>
      <c r="Q311" s="2976"/>
      <c r="R311" s="2976"/>
      <c r="S311" s="2976"/>
      <c r="T311" s="2976"/>
      <c r="U311" s="2976"/>
      <c r="V311" s="2976"/>
      <c r="W311" s="2976"/>
      <c r="X311" s="2976"/>
      <c r="Y311" s="2976"/>
      <c r="Z311" s="2976"/>
      <c r="AA311" s="2976"/>
      <c r="AB311" s="2976"/>
      <c r="AC311" s="2976"/>
      <c r="AD311" s="2976"/>
      <c r="AE311" s="2976"/>
      <c r="AF311" s="2976"/>
    </row>
    <row r="312" spans="1:32">
      <c r="A312" s="2972">
        <v>311</v>
      </c>
      <c r="B312" s="2974" t="s">
        <v>3229</v>
      </c>
      <c r="C312" s="2973" t="s">
        <v>3222</v>
      </c>
      <c r="D312" s="2981" t="s">
        <v>3213</v>
      </c>
      <c r="E312" s="2974">
        <v>201</v>
      </c>
      <c r="F312" s="2980">
        <v>53.82</v>
      </c>
      <c r="G312" s="2979">
        <v>12.25</v>
      </c>
      <c r="H312" s="2979">
        <v>66.069999999999993</v>
      </c>
      <c r="I312" s="2979" t="s">
        <v>3055</v>
      </c>
      <c r="J312" s="2974" t="s">
        <v>3143</v>
      </c>
      <c r="L312" s="2976"/>
      <c r="M312" s="2976"/>
      <c r="N312" s="2976"/>
      <c r="O312" s="2976"/>
      <c r="P312" s="2976"/>
      <c r="Q312" s="2976"/>
      <c r="R312" s="2976"/>
      <c r="S312" s="2976"/>
      <c r="T312" s="2976"/>
      <c r="U312" s="2976"/>
      <c r="V312" s="2976"/>
      <c r="W312" s="2976"/>
      <c r="X312" s="2976"/>
      <c r="Y312" s="2976"/>
      <c r="Z312" s="2976"/>
      <c r="AA312" s="2976"/>
      <c r="AB312" s="2976"/>
      <c r="AC312" s="2976"/>
      <c r="AD312" s="2976"/>
      <c r="AE312" s="2976"/>
      <c r="AF312" s="2976"/>
    </row>
    <row r="313" spans="1:32">
      <c r="A313" s="2972">
        <v>312</v>
      </c>
      <c r="B313" s="2974" t="s">
        <v>3229</v>
      </c>
      <c r="C313" s="2973" t="s">
        <v>3222</v>
      </c>
      <c r="D313" s="2981" t="s">
        <v>3213</v>
      </c>
      <c r="E313" s="2974">
        <v>203</v>
      </c>
      <c r="F313" s="2980">
        <v>56.81</v>
      </c>
      <c r="G313" s="2979">
        <v>12.94</v>
      </c>
      <c r="H313" s="2979">
        <v>69.75</v>
      </c>
      <c r="I313" s="2979" t="s">
        <v>3055</v>
      </c>
      <c r="J313" s="2974" t="s">
        <v>3144</v>
      </c>
      <c r="L313" s="2976"/>
      <c r="M313" s="2976"/>
      <c r="N313" s="2976"/>
      <c r="O313" s="2976"/>
      <c r="P313" s="2976"/>
      <c r="Q313" s="2976"/>
      <c r="R313" s="2976"/>
      <c r="S313" s="2976"/>
      <c r="T313" s="2976"/>
      <c r="U313" s="2976"/>
      <c r="V313" s="2976"/>
      <c r="W313" s="2976"/>
      <c r="X313" s="2976"/>
      <c r="Y313" s="2976"/>
      <c r="Z313" s="2976"/>
      <c r="AA313" s="2976"/>
      <c r="AB313" s="2976"/>
      <c r="AC313" s="2976"/>
      <c r="AD313" s="2976"/>
      <c r="AE313" s="2976"/>
      <c r="AF313" s="2976"/>
    </row>
    <row r="314" spans="1:32">
      <c r="A314" s="2972">
        <v>313</v>
      </c>
      <c r="B314" s="2974" t="s">
        <v>3229</v>
      </c>
      <c r="C314" s="2973" t="s">
        <v>3222</v>
      </c>
      <c r="D314" s="2981" t="s">
        <v>3213</v>
      </c>
      <c r="E314" s="2974">
        <v>205</v>
      </c>
      <c r="F314" s="2980">
        <v>56.81</v>
      </c>
      <c r="G314" s="2979">
        <v>12.94</v>
      </c>
      <c r="H314" s="2979">
        <v>69.75</v>
      </c>
      <c r="I314" s="2979" t="s">
        <v>3055</v>
      </c>
      <c r="J314" s="2974" t="s">
        <v>3144</v>
      </c>
      <c r="L314" s="2976"/>
      <c r="M314" s="2976"/>
      <c r="N314" s="2976"/>
      <c r="O314" s="2976"/>
      <c r="P314" s="2976"/>
      <c r="Q314" s="2976"/>
      <c r="R314" s="2976"/>
      <c r="S314" s="2976"/>
      <c r="T314" s="2976"/>
      <c r="U314" s="2976"/>
      <c r="V314" s="2976"/>
      <c r="W314" s="2976"/>
      <c r="X314" s="2976"/>
      <c r="Y314" s="2976"/>
      <c r="Z314" s="2976"/>
      <c r="AA314" s="2976"/>
      <c r="AB314" s="2976"/>
      <c r="AC314" s="2976"/>
      <c r="AD314" s="2976"/>
      <c r="AE314" s="2976"/>
      <c r="AF314" s="2976"/>
    </row>
    <row r="315" spans="1:32">
      <c r="A315" s="2972">
        <v>314</v>
      </c>
      <c r="B315" s="2974" t="s">
        <v>3229</v>
      </c>
      <c r="C315" s="2973" t="s">
        <v>3222</v>
      </c>
      <c r="D315" s="2981" t="s">
        <v>3213</v>
      </c>
      <c r="E315" s="2974">
        <v>207</v>
      </c>
      <c r="F315" s="2980">
        <v>77.17</v>
      </c>
      <c r="G315" s="2979">
        <v>17.57</v>
      </c>
      <c r="H315" s="2979">
        <v>94.740000000000009</v>
      </c>
      <c r="I315" s="2979" t="s">
        <v>3055</v>
      </c>
      <c r="J315" s="2974" t="s">
        <v>3144</v>
      </c>
      <c r="L315" s="2976"/>
      <c r="M315" s="2976"/>
      <c r="N315" s="2976"/>
      <c r="O315" s="2976"/>
      <c r="P315" s="2976"/>
      <c r="Q315" s="2976"/>
      <c r="R315" s="2976"/>
      <c r="S315" s="2976"/>
      <c r="T315" s="2976"/>
      <c r="U315" s="2976"/>
      <c r="V315" s="2976"/>
      <c r="W315" s="2976"/>
      <c r="X315" s="2976"/>
      <c r="Y315" s="2976"/>
      <c r="Z315" s="2976"/>
      <c r="AA315" s="2976"/>
      <c r="AB315" s="2976"/>
      <c r="AC315" s="2976"/>
      <c r="AD315" s="2976"/>
      <c r="AE315" s="2976"/>
      <c r="AF315" s="2976"/>
    </row>
    <row r="316" spans="1:32">
      <c r="A316" s="2972">
        <v>315</v>
      </c>
      <c r="B316" s="2974" t="s">
        <v>3229</v>
      </c>
      <c r="C316" s="2973" t="s">
        <v>3222</v>
      </c>
      <c r="D316" s="2981" t="s">
        <v>3215</v>
      </c>
      <c r="E316" s="2974">
        <v>203</v>
      </c>
      <c r="F316" s="2980">
        <v>56.81</v>
      </c>
      <c r="G316" s="2979">
        <v>12.94</v>
      </c>
      <c r="H316" s="2979">
        <v>69.75</v>
      </c>
      <c r="I316" s="2979" t="s">
        <v>3055</v>
      </c>
      <c r="J316" s="2974" t="s">
        <v>3144</v>
      </c>
      <c r="L316" s="2976"/>
      <c r="M316" s="2976"/>
      <c r="N316" s="2976"/>
      <c r="O316" s="2976"/>
      <c r="P316" s="2976"/>
      <c r="Q316" s="2976"/>
      <c r="R316" s="2976"/>
      <c r="S316" s="2976"/>
      <c r="T316" s="2976"/>
      <c r="U316" s="2976"/>
      <c r="V316" s="2976"/>
      <c r="W316" s="2976"/>
      <c r="X316" s="2976"/>
      <c r="Y316" s="2976"/>
      <c r="Z316" s="2976"/>
      <c r="AA316" s="2976"/>
      <c r="AB316" s="2976"/>
      <c r="AC316" s="2976"/>
      <c r="AD316" s="2976"/>
      <c r="AE316" s="2976"/>
      <c r="AF316" s="2976"/>
    </row>
    <row r="317" spans="1:32">
      <c r="A317" s="2972">
        <v>316</v>
      </c>
      <c r="B317" s="2974" t="s">
        <v>3229</v>
      </c>
      <c r="C317" s="2973" t="s">
        <v>3222</v>
      </c>
      <c r="D317" s="2981" t="s">
        <v>3215</v>
      </c>
      <c r="E317" s="2974">
        <v>207</v>
      </c>
      <c r="F317" s="2980">
        <v>53.82</v>
      </c>
      <c r="G317" s="2979">
        <v>12.25</v>
      </c>
      <c r="H317" s="2979">
        <v>66.069999999999993</v>
      </c>
      <c r="I317" s="2979" t="s">
        <v>3055</v>
      </c>
      <c r="J317" s="2974" t="s">
        <v>3143</v>
      </c>
      <c r="L317" s="2976"/>
      <c r="M317" s="2976"/>
      <c r="N317" s="2976"/>
      <c r="O317" s="2976"/>
      <c r="P317" s="2976"/>
      <c r="Q317" s="2976"/>
      <c r="R317" s="2976"/>
      <c r="S317" s="2976"/>
      <c r="T317" s="2976"/>
      <c r="U317" s="2976"/>
      <c r="V317" s="2976"/>
      <c r="W317" s="2976"/>
      <c r="X317" s="2976"/>
      <c r="Y317" s="2976"/>
      <c r="Z317" s="2976"/>
      <c r="AA317" s="2976"/>
      <c r="AB317" s="2976"/>
      <c r="AC317" s="2976"/>
      <c r="AD317" s="2976"/>
      <c r="AE317" s="2976"/>
      <c r="AF317" s="2976"/>
    </row>
    <row r="318" spans="1:32">
      <c r="A318" s="2972">
        <v>317</v>
      </c>
      <c r="B318" s="2974" t="s">
        <v>3229</v>
      </c>
      <c r="C318" s="2973" t="s">
        <v>3223</v>
      </c>
      <c r="D318" s="2981" t="s">
        <v>3213</v>
      </c>
      <c r="E318" s="2974">
        <v>303</v>
      </c>
      <c r="F318" s="2980">
        <v>56.81</v>
      </c>
      <c r="G318" s="2979">
        <v>12.94</v>
      </c>
      <c r="H318" s="2979">
        <v>69.75</v>
      </c>
      <c r="I318" s="2979" t="s">
        <v>3055</v>
      </c>
      <c r="J318" s="2974" t="s">
        <v>3144</v>
      </c>
      <c r="L318" s="2976"/>
      <c r="M318" s="2976"/>
      <c r="N318" s="2976"/>
      <c r="O318" s="2976"/>
      <c r="P318" s="2976"/>
      <c r="Q318" s="2976"/>
      <c r="R318" s="2976"/>
      <c r="S318" s="2976"/>
      <c r="T318" s="2976"/>
      <c r="U318" s="2976"/>
      <c r="V318" s="2976"/>
      <c r="W318" s="2976"/>
      <c r="X318" s="2976"/>
      <c r="Y318" s="2976"/>
      <c r="Z318" s="2976"/>
      <c r="AA318" s="2976"/>
      <c r="AB318" s="2976"/>
      <c r="AC318" s="2976"/>
      <c r="AD318" s="2976"/>
      <c r="AE318" s="2976"/>
      <c r="AF318" s="2976"/>
    </row>
    <row r="319" spans="1:32">
      <c r="A319" s="2972">
        <v>318</v>
      </c>
      <c r="B319" s="2974" t="s">
        <v>3229</v>
      </c>
      <c r="C319" s="2973" t="s">
        <v>3223</v>
      </c>
      <c r="D319" s="2981" t="s">
        <v>3213</v>
      </c>
      <c r="E319" s="2974">
        <v>305</v>
      </c>
      <c r="F319" s="2980">
        <v>56.81</v>
      </c>
      <c r="G319" s="2979">
        <v>12.94</v>
      </c>
      <c r="H319" s="2979">
        <v>69.75</v>
      </c>
      <c r="I319" s="2979" t="s">
        <v>3055</v>
      </c>
      <c r="J319" s="2974" t="s">
        <v>3144</v>
      </c>
      <c r="L319" s="2976"/>
      <c r="M319" s="2976"/>
      <c r="N319" s="2976"/>
      <c r="O319" s="2976"/>
      <c r="P319" s="2976"/>
      <c r="Q319" s="2976"/>
      <c r="R319" s="2976"/>
      <c r="S319" s="2976"/>
      <c r="T319" s="2976"/>
      <c r="U319" s="2976"/>
      <c r="V319" s="2976"/>
      <c r="W319" s="2976"/>
      <c r="X319" s="2976"/>
      <c r="Y319" s="2976"/>
      <c r="Z319" s="2976"/>
      <c r="AA319" s="2976"/>
      <c r="AB319" s="2976"/>
      <c r="AC319" s="2976"/>
      <c r="AD319" s="2976"/>
      <c r="AE319" s="2976"/>
      <c r="AF319" s="2976"/>
    </row>
    <row r="320" spans="1:32">
      <c r="A320" s="2972">
        <v>319</v>
      </c>
      <c r="B320" s="2974" t="s">
        <v>3229</v>
      </c>
      <c r="C320" s="2973" t="s">
        <v>3223</v>
      </c>
      <c r="D320" s="2981" t="s">
        <v>3213</v>
      </c>
      <c r="E320" s="2974">
        <v>306</v>
      </c>
      <c r="F320" s="2980">
        <v>56.66</v>
      </c>
      <c r="G320" s="2979">
        <v>12.9</v>
      </c>
      <c r="H320" s="2979">
        <v>69.56</v>
      </c>
      <c r="I320" s="2979" t="s">
        <v>3055</v>
      </c>
      <c r="J320" s="2974" t="s">
        <v>3144</v>
      </c>
      <c r="L320" s="2976"/>
      <c r="M320" s="2976"/>
      <c r="N320" s="2976"/>
      <c r="O320" s="2976"/>
      <c r="P320" s="2976"/>
      <c r="Q320" s="2976"/>
      <c r="R320" s="2976"/>
      <c r="S320" s="2976"/>
      <c r="T320" s="2976"/>
      <c r="U320" s="2976"/>
      <c r="V320" s="2976"/>
      <c r="W320" s="2976"/>
      <c r="X320" s="2976"/>
      <c r="Y320" s="2976"/>
      <c r="Z320" s="2976"/>
      <c r="AA320" s="2976"/>
      <c r="AB320" s="2976"/>
      <c r="AC320" s="2976"/>
      <c r="AD320" s="2976"/>
      <c r="AE320" s="2976"/>
      <c r="AF320" s="2976"/>
    </row>
    <row r="321" spans="1:32">
      <c r="A321" s="2972">
        <v>320</v>
      </c>
      <c r="B321" s="2974" t="s">
        <v>3229</v>
      </c>
      <c r="C321" s="2973" t="s">
        <v>3223</v>
      </c>
      <c r="D321" s="2981" t="s">
        <v>3215</v>
      </c>
      <c r="E321" s="2974">
        <v>303</v>
      </c>
      <c r="F321" s="2980">
        <v>56.81</v>
      </c>
      <c r="G321" s="2979">
        <v>12.94</v>
      </c>
      <c r="H321" s="2979">
        <v>69.75</v>
      </c>
      <c r="I321" s="2979" t="s">
        <v>3055</v>
      </c>
      <c r="J321" s="2974" t="s">
        <v>3144</v>
      </c>
      <c r="L321" s="2976"/>
      <c r="M321" s="2976"/>
      <c r="N321" s="2976"/>
      <c r="O321" s="2976"/>
      <c r="P321" s="2976"/>
      <c r="Q321" s="2976"/>
      <c r="R321" s="2976"/>
      <c r="S321" s="2976"/>
      <c r="T321" s="2976"/>
      <c r="U321" s="2976"/>
      <c r="V321" s="2976"/>
      <c r="W321" s="2976"/>
      <c r="X321" s="2976"/>
      <c r="Y321" s="2976"/>
      <c r="Z321" s="2976"/>
      <c r="AA321" s="2976"/>
      <c r="AB321" s="2976"/>
      <c r="AC321" s="2976"/>
      <c r="AD321" s="2976"/>
      <c r="AE321" s="2976"/>
      <c r="AF321" s="2976"/>
    </row>
    <row r="322" spans="1:32">
      <c r="A322" s="2972">
        <v>321</v>
      </c>
      <c r="B322" s="2974" t="s">
        <v>3229</v>
      </c>
      <c r="C322" s="2973" t="s">
        <v>3223</v>
      </c>
      <c r="D322" s="2981" t="s">
        <v>3215</v>
      </c>
      <c r="E322" s="2974">
        <v>307</v>
      </c>
      <c r="F322" s="2980">
        <v>53.82</v>
      </c>
      <c r="G322" s="2979">
        <v>12.25</v>
      </c>
      <c r="H322" s="2979">
        <v>66.069999999999993</v>
      </c>
      <c r="I322" s="2979" t="s">
        <v>3055</v>
      </c>
      <c r="J322" s="2974" t="s">
        <v>3143</v>
      </c>
      <c r="L322" s="2976"/>
      <c r="M322" s="2976"/>
      <c r="N322" s="2976"/>
      <c r="O322" s="2976"/>
      <c r="P322" s="2976"/>
      <c r="Q322" s="2976"/>
      <c r="R322" s="2976"/>
      <c r="S322" s="2976"/>
      <c r="T322" s="2976"/>
      <c r="U322" s="2976"/>
      <c r="V322" s="2976"/>
      <c r="W322" s="2976"/>
      <c r="X322" s="2976"/>
      <c r="Y322" s="2976"/>
      <c r="Z322" s="2976"/>
      <c r="AA322" s="2976"/>
      <c r="AB322" s="2976"/>
      <c r="AC322" s="2976"/>
      <c r="AD322" s="2976"/>
      <c r="AE322" s="2976"/>
      <c r="AF322" s="2976"/>
    </row>
    <row r="323" spans="1:32">
      <c r="A323" s="2972">
        <v>322</v>
      </c>
      <c r="B323" s="2974" t="s">
        <v>3229</v>
      </c>
      <c r="C323" s="2973" t="s">
        <v>3224</v>
      </c>
      <c r="D323" s="2981" t="s">
        <v>3213</v>
      </c>
      <c r="E323" s="2974" t="s">
        <v>3148</v>
      </c>
      <c r="F323" s="2980">
        <v>56.81</v>
      </c>
      <c r="G323" s="2979">
        <v>12.94</v>
      </c>
      <c r="H323" s="2979">
        <v>69.75</v>
      </c>
      <c r="I323" s="2979" t="s">
        <v>3055</v>
      </c>
      <c r="J323" s="2974" t="s">
        <v>3144</v>
      </c>
      <c r="L323" s="2976"/>
      <c r="M323" s="2976"/>
      <c r="N323" s="2976"/>
      <c r="O323" s="2976"/>
      <c r="P323" s="2976"/>
      <c r="Q323" s="2976"/>
      <c r="R323" s="2976"/>
      <c r="S323" s="2976"/>
      <c r="T323" s="2976"/>
      <c r="U323" s="2976"/>
      <c r="V323" s="2976"/>
      <c r="W323" s="2976"/>
      <c r="X323" s="2976"/>
      <c r="Y323" s="2976"/>
      <c r="Z323" s="2976"/>
      <c r="AA323" s="2976"/>
      <c r="AB323" s="2976"/>
      <c r="AC323" s="2976"/>
      <c r="AD323" s="2976"/>
      <c r="AE323" s="2976"/>
      <c r="AF323" s="2976"/>
    </row>
    <row r="324" spans="1:32">
      <c r="A324" s="2972">
        <v>323</v>
      </c>
      <c r="B324" s="2974" t="s">
        <v>3229</v>
      </c>
      <c r="C324" s="2973" t="s">
        <v>3224</v>
      </c>
      <c r="D324" s="2981" t="s">
        <v>3213</v>
      </c>
      <c r="E324" s="2974" t="s">
        <v>3150</v>
      </c>
      <c r="F324" s="2980">
        <v>77.17</v>
      </c>
      <c r="G324" s="2979">
        <v>17.57</v>
      </c>
      <c r="H324" s="2979">
        <v>94.740000000000009</v>
      </c>
      <c r="I324" s="2979" t="s">
        <v>3055</v>
      </c>
      <c r="J324" s="2974" t="s">
        <v>3144</v>
      </c>
      <c r="L324" s="2976"/>
      <c r="M324" s="2976"/>
      <c r="N324" s="2976"/>
      <c r="O324" s="2976"/>
      <c r="P324" s="2976"/>
      <c r="Q324" s="2976"/>
      <c r="R324" s="2976"/>
      <c r="S324" s="2976"/>
      <c r="T324" s="2976"/>
      <c r="U324" s="2976"/>
      <c r="V324" s="2976"/>
      <c r="W324" s="2976"/>
      <c r="X324" s="2976"/>
      <c r="Y324" s="2976"/>
      <c r="Z324" s="2976"/>
      <c r="AA324" s="2976"/>
      <c r="AB324" s="2976"/>
      <c r="AC324" s="2976"/>
      <c r="AD324" s="2976"/>
      <c r="AE324" s="2976"/>
      <c r="AF324" s="2976"/>
    </row>
    <row r="325" spans="1:32">
      <c r="A325" s="2972">
        <v>324</v>
      </c>
      <c r="B325" s="2974" t="s">
        <v>3229</v>
      </c>
      <c r="C325" s="2973" t="s">
        <v>3224</v>
      </c>
      <c r="D325" s="2981" t="s">
        <v>3215</v>
      </c>
      <c r="E325" s="2974" t="s">
        <v>3146</v>
      </c>
      <c r="F325" s="2980">
        <v>56.66</v>
      </c>
      <c r="G325" s="2979">
        <v>12.9</v>
      </c>
      <c r="H325" s="2979">
        <v>69.56</v>
      </c>
      <c r="I325" s="2979" t="s">
        <v>3055</v>
      </c>
      <c r="J325" s="2974" t="s">
        <v>3144</v>
      </c>
      <c r="L325" s="2976"/>
      <c r="M325" s="2976"/>
      <c r="N325" s="2976"/>
      <c r="O325" s="2976"/>
      <c r="P325" s="2976"/>
      <c r="Q325" s="2976"/>
      <c r="R325" s="2976"/>
      <c r="S325" s="2976"/>
      <c r="T325" s="2976"/>
      <c r="U325" s="2976"/>
      <c r="V325" s="2976"/>
      <c r="W325" s="2976"/>
      <c r="X325" s="2976"/>
      <c r="Y325" s="2976"/>
      <c r="Z325" s="2976"/>
      <c r="AA325" s="2976"/>
      <c r="AB325" s="2976"/>
      <c r="AC325" s="2976"/>
      <c r="AD325" s="2976"/>
      <c r="AE325" s="2976"/>
      <c r="AF325" s="2976"/>
    </row>
    <row r="326" spans="1:32">
      <c r="A326" s="2972">
        <v>325</v>
      </c>
      <c r="B326" s="2974" t="s">
        <v>3229</v>
      </c>
      <c r="C326" s="2973" t="s">
        <v>3224</v>
      </c>
      <c r="D326" s="2981" t="s">
        <v>3215</v>
      </c>
      <c r="E326" s="2974" t="s">
        <v>3147</v>
      </c>
      <c r="F326" s="2980">
        <v>56.81</v>
      </c>
      <c r="G326" s="2979">
        <v>12.94</v>
      </c>
      <c r="H326" s="2979">
        <v>69.75</v>
      </c>
      <c r="I326" s="2979" t="s">
        <v>3055</v>
      </c>
      <c r="J326" s="2974" t="s">
        <v>3144</v>
      </c>
      <c r="L326" s="2976"/>
      <c r="M326" s="2976"/>
      <c r="N326" s="2976"/>
      <c r="O326" s="2976"/>
      <c r="P326" s="2976"/>
      <c r="Q326" s="2976"/>
      <c r="R326" s="2976"/>
      <c r="S326" s="2976"/>
      <c r="T326" s="2976"/>
      <c r="U326" s="2976"/>
      <c r="V326" s="2976"/>
      <c r="W326" s="2976"/>
      <c r="X326" s="2976"/>
      <c r="Y326" s="2976"/>
      <c r="Z326" s="2976"/>
      <c r="AA326" s="2976"/>
      <c r="AB326" s="2976"/>
      <c r="AC326" s="2976"/>
      <c r="AD326" s="2976"/>
      <c r="AE326" s="2976"/>
      <c r="AF326" s="2976"/>
    </row>
    <row r="327" spans="1:32">
      <c r="A327" s="2972">
        <v>326</v>
      </c>
      <c r="B327" s="2974" t="s">
        <v>3229</v>
      </c>
      <c r="C327" s="2973" t="s">
        <v>3224</v>
      </c>
      <c r="D327" s="2981" t="s">
        <v>3215</v>
      </c>
      <c r="E327" s="2974" t="s">
        <v>3149</v>
      </c>
      <c r="F327" s="2980">
        <v>56.66</v>
      </c>
      <c r="G327" s="2979">
        <v>12.9</v>
      </c>
      <c r="H327" s="2979">
        <v>69.56</v>
      </c>
      <c r="I327" s="2979" t="s">
        <v>3055</v>
      </c>
      <c r="J327" s="2974" t="s">
        <v>3144</v>
      </c>
      <c r="L327" s="2976"/>
      <c r="M327" s="2976"/>
      <c r="N327" s="2976"/>
      <c r="O327" s="2976"/>
      <c r="P327" s="2976"/>
      <c r="Q327" s="2976"/>
      <c r="R327" s="2976"/>
      <c r="S327" s="2976"/>
      <c r="T327" s="2976"/>
      <c r="U327" s="2976"/>
      <c r="V327" s="2976"/>
      <c r="W327" s="2976"/>
      <c r="X327" s="2976"/>
      <c r="Y327" s="2976"/>
      <c r="Z327" s="2976"/>
      <c r="AA327" s="2976"/>
      <c r="AB327" s="2976"/>
      <c r="AC327" s="2976"/>
      <c r="AD327" s="2976"/>
      <c r="AE327" s="2976"/>
      <c r="AF327" s="2976"/>
    </row>
    <row r="328" spans="1:32">
      <c r="A328" s="2972">
        <v>327</v>
      </c>
      <c r="B328" s="2974" t="s">
        <v>3229</v>
      </c>
      <c r="C328" s="2973" t="s">
        <v>3225</v>
      </c>
      <c r="D328" s="2981" t="s">
        <v>3213</v>
      </c>
      <c r="E328" s="2974">
        <v>503</v>
      </c>
      <c r="F328" s="2980">
        <v>56.81</v>
      </c>
      <c r="G328" s="2979">
        <v>12.94</v>
      </c>
      <c r="H328" s="2979">
        <v>69.75</v>
      </c>
      <c r="I328" s="2979" t="s">
        <v>3055</v>
      </c>
      <c r="J328" s="2974" t="s">
        <v>3144</v>
      </c>
      <c r="L328" s="2976"/>
      <c r="M328" s="2976"/>
      <c r="N328" s="2976"/>
      <c r="O328" s="2976"/>
      <c r="P328" s="2976"/>
      <c r="Q328" s="2976"/>
      <c r="R328" s="2976"/>
      <c r="S328" s="2976"/>
      <c r="T328" s="2976"/>
      <c r="U328" s="2976"/>
      <c r="V328" s="2976"/>
      <c r="W328" s="2976"/>
      <c r="X328" s="2976"/>
      <c r="Y328" s="2976"/>
      <c r="Z328" s="2976"/>
      <c r="AA328" s="2976"/>
      <c r="AB328" s="2976"/>
      <c r="AC328" s="2976"/>
      <c r="AD328" s="2976"/>
      <c r="AE328" s="2976"/>
      <c r="AF328" s="2976"/>
    </row>
    <row r="329" spans="1:32">
      <c r="A329" s="2972">
        <v>328</v>
      </c>
      <c r="B329" s="2974" t="s">
        <v>3229</v>
      </c>
      <c r="C329" s="2973" t="s">
        <v>3225</v>
      </c>
      <c r="D329" s="2981" t="s">
        <v>3213</v>
      </c>
      <c r="E329" s="2974">
        <v>505</v>
      </c>
      <c r="F329" s="2980">
        <v>56.81</v>
      </c>
      <c r="G329" s="2979">
        <v>12.94</v>
      </c>
      <c r="H329" s="2979">
        <v>69.75</v>
      </c>
      <c r="I329" s="2979" t="s">
        <v>3055</v>
      </c>
      <c r="J329" s="2974" t="s">
        <v>3144</v>
      </c>
      <c r="L329" s="2976"/>
      <c r="M329" s="2976"/>
      <c r="N329" s="2976"/>
      <c r="O329" s="2976"/>
      <c r="P329" s="2976"/>
      <c r="Q329" s="2976"/>
      <c r="R329" s="2976"/>
      <c r="S329" s="2976"/>
      <c r="T329" s="2976"/>
      <c r="U329" s="2976"/>
      <c r="V329" s="2976"/>
      <c r="W329" s="2976"/>
      <c r="X329" s="2976"/>
      <c r="Y329" s="2976"/>
      <c r="Z329" s="2976"/>
      <c r="AA329" s="2976"/>
      <c r="AB329" s="2976"/>
      <c r="AC329" s="2976"/>
      <c r="AD329" s="2976"/>
      <c r="AE329" s="2976"/>
      <c r="AF329" s="2976"/>
    </row>
    <row r="330" spans="1:32">
      <c r="A330" s="2972">
        <v>329</v>
      </c>
      <c r="B330" s="2974" t="s">
        <v>3229</v>
      </c>
      <c r="C330" s="2973" t="s">
        <v>3225</v>
      </c>
      <c r="D330" s="2981" t="s">
        <v>3213</v>
      </c>
      <c r="E330" s="2974">
        <v>506</v>
      </c>
      <c r="F330" s="2980">
        <v>56.66</v>
      </c>
      <c r="G330" s="2979">
        <v>12.9</v>
      </c>
      <c r="H330" s="2979">
        <v>69.56</v>
      </c>
      <c r="I330" s="2979" t="s">
        <v>3055</v>
      </c>
      <c r="J330" s="2974" t="s">
        <v>3144</v>
      </c>
      <c r="L330" s="2976"/>
      <c r="M330" s="2976"/>
      <c r="N330" s="2976"/>
      <c r="O330" s="2976"/>
      <c r="P330" s="2976"/>
      <c r="Q330" s="2976"/>
      <c r="R330" s="2976"/>
      <c r="S330" s="2976"/>
      <c r="T330" s="2976"/>
      <c r="U330" s="2976"/>
      <c r="V330" s="2976"/>
      <c r="W330" s="2976"/>
      <c r="X330" s="2976"/>
      <c r="Y330" s="2976"/>
      <c r="Z330" s="2976"/>
      <c r="AA330" s="2976"/>
      <c r="AB330" s="2976"/>
      <c r="AC330" s="2976"/>
      <c r="AD330" s="2976"/>
      <c r="AE330" s="2976"/>
      <c r="AF330" s="2976"/>
    </row>
    <row r="331" spans="1:32">
      <c r="A331" s="2972">
        <v>330</v>
      </c>
      <c r="B331" s="2974" t="s">
        <v>3229</v>
      </c>
      <c r="C331" s="2973" t="s">
        <v>3225</v>
      </c>
      <c r="D331" s="2981" t="s">
        <v>3213</v>
      </c>
      <c r="E331" s="2974">
        <v>507</v>
      </c>
      <c r="F331" s="2980">
        <v>77.17</v>
      </c>
      <c r="G331" s="2979">
        <v>17.57</v>
      </c>
      <c r="H331" s="2979">
        <v>94.740000000000009</v>
      </c>
      <c r="I331" s="2979" t="s">
        <v>3055</v>
      </c>
      <c r="J331" s="2974" t="s">
        <v>3144</v>
      </c>
      <c r="L331" s="2976"/>
      <c r="M331" s="2976"/>
      <c r="N331" s="2976"/>
      <c r="O331" s="2976"/>
      <c r="P331" s="2976"/>
      <c r="Q331" s="2976"/>
      <c r="R331" s="2976"/>
      <c r="S331" s="2976"/>
      <c r="T331" s="2976"/>
      <c r="U331" s="2976"/>
      <c r="V331" s="2976"/>
      <c r="W331" s="2976"/>
      <c r="X331" s="2976"/>
      <c r="Y331" s="2976"/>
      <c r="Z331" s="2976"/>
      <c r="AA331" s="2976"/>
      <c r="AB331" s="2976"/>
      <c r="AC331" s="2976"/>
      <c r="AD331" s="2976"/>
      <c r="AE331" s="2976"/>
      <c r="AF331" s="2976"/>
    </row>
    <row r="332" spans="1:32">
      <c r="A332" s="2972">
        <v>331</v>
      </c>
      <c r="B332" s="2974" t="s">
        <v>3229</v>
      </c>
      <c r="C332" s="2973" t="s">
        <v>3225</v>
      </c>
      <c r="D332" s="2981" t="s">
        <v>3215</v>
      </c>
      <c r="E332" s="2974">
        <v>502</v>
      </c>
      <c r="F332" s="2980">
        <v>56.66</v>
      </c>
      <c r="G332" s="2979">
        <v>12.9</v>
      </c>
      <c r="H332" s="2979">
        <v>69.56</v>
      </c>
      <c r="I332" s="2979" t="s">
        <v>3055</v>
      </c>
      <c r="J332" s="2974" t="s">
        <v>3144</v>
      </c>
      <c r="L332" s="2976"/>
      <c r="M332" s="2976"/>
      <c r="N332" s="2976"/>
      <c r="O332" s="2976"/>
      <c r="P332" s="2976"/>
      <c r="Q332" s="2976"/>
      <c r="R332" s="2976"/>
      <c r="S332" s="2976"/>
      <c r="T332" s="2976"/>
      <c r="U332" s="2976"/>
      <c r="V332" s="2976"/>
      <c r="W332" s="2976"/>
      <c r="X332" s="2976"/>
      <c r="Y332" s="2976"/>
      <c r="Z332" s="2976"/>
      <c r="AA332" s="2976"/>
      <c r="AB332" s="2976"/>
      <c r="AC332" s="2976"/>
      <c r="AD332" s="2976"/>
      <c r="AE332" s="2976"/>
      <c r="AF332" s="2976"/>
    </row>
    <row r="333" spans="1:32">
      <c r="A333" s="2972">
        <v>332</v>
      </c>
      <c r="B333" s="2974" t="s">
        <v>3229</v>
      </c>
      <c r="C333" s="2973" t="s">
        <v>3225</v>
      </c>
      <c r="D333" s="2981" t="s">
        <v>3215</v>
      </c>
      <c r="E333" s="2974">
        <v>503</v>
      </c>
      <c r="F333" s="2980">
        <v>56.81</v>
      </c>
      <c r="G333" s="2979">
        <v>12.94</v>
      </c>
      <c r="H333" s="2979">
        <v>69.75</v>
      </c>
      <c r="I333" s="2979" t="s">
        <v>3055</v>
      </c>
      <c r="J333" s="2974" t="s">
        <v>3144</v>
      </c>
      <c r="L333" s="2976"/>
      <c r="M333" s="2976"/>
      <c r="N333" s="2976"/>
      <c r="O333" s="2976"/>
      <c r="P333" s="2976"/>
      <c r="Q333" s="2976"/>
      <c r="R333" s="2976"/>
      <c r="S333" s="2976"/>
      <c r="T333" s="2976"/>
      <c r="U333" s="2976"/>
      <c r="V333" s="2976"/>
      <c r="W333" s="2976"/>
      <c r="X333" s="2976"/>
      <c r="Y333" s="2976"/>
      <c r="Z333" s="2976"/>
      <c r="AA333" s="2976"/>
      <c r="AB333" s="2976"/>
      <c r="AC333" s="2976"/>
      <c r="AD333" s="2976"/>
      <c r="AE333" s="2976"/>
      <c r="AF333" s="2976"/>
    </row>
    <row r="334" spans="1:32">
      <c r="A334" s="2972">
        <v>333</v>
      </c>
      <c r="B334" s="2974" t="s">
        <v>3229</v>
      </c>
      <c r="C334" s="2973" t="s">
        <v>3225</v>
      </c>
      <c r="D334" s="2981" t="s">
        <v>3215</v>
      </c>
      <c r="E334" s="2974">
        <v>505</v>
      </c>
      <c r="F334" s="2980">
        <v>56.81</v>
      </c>
      <c r="G334" s="2979">
        <v>12.94</v>
      </c>
      <c r="H334" s="2979">
        <v>69.75</v>
      </c>
      <c r="I334" s="2979" t="s">
        <v>3055</v>
      </c>
      <c r="J334" s="2974" t="s">
        <v>3144</v>
      </c>
      <c r="L334" s="2976"/>
      <c r="M334" s="2976"/>
      <c r="N334" s="2976"/>
      <c r="O334" s="2976"/>
      <c r="P334" s="2976"/>
      <c r="Q334" s="2976"/>
      <c r="R334" s="2976"/>
      <c r="S334" s="2976"/>
      <c r="T334" s="2976"/>
      <c r="U334" s="2976"/>
      <c r="V334" s="2976"/>
      <c r="W334" s="2976"/>
      <c r="X334" s="2976"/>
      <c r="Y334" s="2976"/>
      <c r="Z334" s="2976"/>
      <c r="AA334" s="2976"/>
      <c r="AB334" s="2976"/>
      <c r="AC334" s="2976"/>
      <c r="AD334" s="2976"/>
      <c r="AE334" s="2976"/>
      <c r="AF334" s="2976"/>
    </row>
    <row r="335" spans="1:32">
      <c r="A335" s="2972">
        <v>334</v>
      </c>
      <c r="B335" s="2974" t="s">
        <v>3229</v>
      </c>
      <c r="C335" s="2973" t="s">
        <v>3225</v>
      </c>
      <c r="D335" s="2981" t="s">
        <v>3215</v>
      </c>
      <c r="E335" s="2974">
        <v>506</v>
      </c>
      <c r="F335" s="2980">
        <v>56.66</v>
      </c>
      <c r="G335" s="2979">
        <v>12.9</v>
      </c>
      <c r="H335" s="2979">
        <v>69.56</v>
      </c>
      <c r="I335" s="2979" t="s">
        <v>3055</v>
      </c>
      <c r="J335" s="2974" t="s">
        <v>3144</v>
      </c>
      <c r="L335" s="2976"/>
      <c r="M335" s="2976"/>
      <c r="N335" s="2976"/>
      <c r="O335" s="2976"/>
      <c r="P335" s="2976"/>
      <c r="Q335" s="2976"/>
      <c r="R335" s="2976"/>
      <c r="S335" s="2976"/>
      <c r="T335" s="2976"/>
      <c r="U335" s="2976"/>
      <c r="V335" s="2976"/>
      <c r="W335" s="2976"/>
      <c r="X335" s="2976"/>
      <c r="Y335" s="2976"/>
      <c r="Z335" s="2976"/>
      <c r="AA335" s="2976"/>
      <c r="AB335" s="2976"/>
      <c r="AC335" s="2976"/>
      <c r="AD335" s="2976"/>
      <c r="AE335" s="2976"/>
      <c r="AF335" s="2976"/>
    </row>
    <row r="336" spans="1:32">
      <c r="A336" s="2972">
        <v>335</v>
      </c>
      <c r="B336" s="2974" t="s">
        <v>3229</v>
      </c>
      <c r="C336" s="2973" t="s">
        <v>3225</v>
      </c>
      <c r="D336" s="2981" t="s">
        <v>3215</v>
      </c>
      <c r="E336" s="2974">
        <v>507</v>
      </c>
      <c r="F336" s="2980">
        <v>53.82</v>
      </c>
      <c r="G336" s="2979">
        <v>12.25</v>
      </c>
      <c r="H336" s="2979">
        <v>66.069999999999993</v>
      </c>
      <c r="I336" s="2979" t="s">
        <v>3055</v>
      </c>
      <c r="J336" s="2974" t="s">
        <v>3143</v>
      </c>
      <c r="L336" s="2976"/>
      <c r="M336" s="2976"/>
      <c r="N336" s="2976"/>
      <c r="O336" s="2976"/>
      <c r="P336" s="2976"/>
      <c r="Q336" s="2976"/>
      <c r="R336" s="2976"/>
      <c r="S336" s="2976"/>
      <c r="T336" s="2976"/>
      <c r="U336" s="2976"/>
      <c r="V336" s="2976"/>
      <c r="W336" s="2976"/>
      <c r="X336" s="2976"/>
      <c r="Y336" s="2976"/>
      <c r="Z336" s="2976"/>
      <c r="AA336" s="2976"/>
      <c r="AB336" s="2976"/>
      <c r="AC336" s="2976"/>
      <c r="AD336" s="2976"/>
      <c r="AE336" s="2976"/>
      <c r="AF336" s="2976"/>
    </row>
    <row r="337" spans="1:32">
      <c r="A337" s="2972">
        <v>336</v>
      </c>
      <c r="B337" s="2974" t="s">
        <v>3229</v>
      </c>
      <c r="C337" s="2973" t="s">
        <v>3226</v>
      </c>
      <c r="D337" s="2981" t="s">
        <v>3213</v>
      </c>
      <c r="E337" s="2974">
        <v>606</v>
      </c>
      <c r="F337" s="2980">
        <v>56.66</v>
      </c>
      <c r="G337" s="2979">
        <v>12.9</v>
      </c>
      <c r="H337" s="2979">
        <v>69.56</v>
      </c>
      <c r="I337" s="2979" t="s">
        <v>3055</v>
      </c>
      <c r="J337" s="2974" t="s">
        <v>3144</v>
      </c>
      <c r="L337" s="2976"/>
      <c r="M337" s="2976"/>
      <c r="N337" s="2976"/>
      <c r="O337" s="2976"/>
      <c r="P337" s="2976"/>
      <c r="Q337" s="2976"/>
      <c r="R337" s="2976"/>
      <c r="S337" s="2976"/>
      <c r="T337" s="2976"/>
      <c r="U337" s="2976"/>
      <c r="V337" s="2976"/>
      <c r="W337" s="2976"/>
      <c r="X337" s="2976"/>
      <c r="Y337" s="2976"/>
      <c r="Z337" s="2976"/>
      <c r="AA337" s="2976"/>
      <c r="AB337" s="2976"/>
      <c r="AC337" s="2976"/>
      <c r="AD337" s="2976"/>
      <c r="AE337" s="2976"/>
      <c r="AF337" s="2976"/>
    </row>
    <row r="338" spans="1:32">
      <c r="A338" s="2972">
        <v>337</v>
      </c>
      <c r="B338" s="2974" t="s">
        <v>3230</v>
      </c>
      <c r="C338" s="2973" t="s">
        <v>3221</v>
      </c>
      <c r="D338" s="2981" t="s">
        <v>3213</v>
      </c>
      <c r="E338" s="2974">
        <v>101</v>
      </c>
      <c r="F338" s="2980">
        <v>53.97</v>
      </c>
      <c r="G338" s="2979">
        <v>11.7</v>
      </c>
      <c r="H338" s="2979">
        <v>65.67</v>
      </c>
      <c r="I338" s="2979" t="s">
        <v>3055</v>
      </c>
      <c r="J338" s="2974" t="s">
        <v>3143</v>
      </c>
      <c r="L338" s="2976"/>
      <c r="M338" s="2976"/>
      <c r="N338" s="2976"/>
      <c r="O338" s="2976"/>
      <c r="P338" s="2976"/>
      <c r="Q338" s="2976"/>
      <c r="R338" s="2976"/>
      <c r="S338" s="2976"/>
      <c r="T338" s="2976"/>
      <c r="U338" s="2976"/>
      <c r="V338" s="2976"/>
      <c r="W338" s="2976"/>
      <c r="X338" s="2976"/>
      <c r="Y338" s="2976"/>
      <c r="Z338" s="2976"/>
      <c r="AA338" s="2976"/>
      <c r="AB338" s="2976"/>
      <c r="AC338" s="2976"/>
      <c r="AD338" s="2976"/>
      <c r="AE338" s="2976"/>
      <c r="AF338" s="2976"/>
    </row>
    <row r="339" spans="1:32">
      <c r="A339" s="2972">
        <v>338</v>
      </c>
      <c r="B339" s="2974" t="s">
        <v>3230</v>
      </c>
      <c r="C339" s="2973" t="s">
        <v>3221</v>
      </c>
      <c r="D339" s="2981" t="s">
        <v>3213</v>
      </c>
      <c r="E339" s="2974">
        <v>102</v>
      </c>
      <c r="F339" s="2980">
        <v>56.66</v>
      </c>
      <c r="G339" s="2979">
        <v>12.28</v>
      </c>
      <c r="H339" s="2979">
        <v>68.94</v>
      </c>
      <c r="I339" s="2979" t="s">
        <v>3055</v>
      </c>
      <c r="J339" s="2974" t="s">
        <v>3144</v>
      </c>
      <c r="L339" s="2976"/>
      <c r="M339" s="2976"/>
      <c r="N339" s="2976"/>
      <c r="O339" s="2976"/>
      <c r="P339" s="2976"/>
      <c r="Q339" s="2976"/>
      <c r="R339" s="2976"/>
      <c r="S339" s="2976"/>
      <c r="T339" s="2976"/>
      <c r="U339" s="2976"/>
      <c r="V339" s="2976"/>
      <c r="W339" s="2976"/>
      <c r="X339" s="2976"/>
      <c r="Y339" s="2976"/>
      <c r="Z339" s="2976"/>
      <c r="AA339" s="2976"/>
      <c r="AB339" s="2976"/>
      <c r="AC339" s="2976"/>
      <c r="AD339" s="2976"/>
      <c r="AE339" s="2976"/>
      <c r="AF339" s="2976"/>
    </row>
    <row r="340" spans="1:32">
      <c r="A340" s="2972">
        <v>339</v>
      </c>
      <c r="B340" s="2974" t="s">
        <v>3230</v>
      </c>
      <c r="C340" s="2973" t="s">
        <v>3221</v>
      </c>
      <c r="D340" s="2981" t="s">
        <v>3213</v>
      </c>
      <c r="E340" s="2974">
        <v>103</v>
      </c>
      <c r="F340" s="2980">
        <v>56.95</v>
      </c>
      <c r="G340" s="2979">
        <v>12.34</v>
      </c>
      <c r="H340" s="2979">
        <v>69.290000000000006</v>
      </c>
      <c r="I340" s="2979" t="s">
        <v>3055</v>
      </c>
      <c r="J340" s="2974" t="s">
        <v>3144</v>
      </c>
      <c r="L340" s="2976"/>
      <c r="M340" s="2976"/>
      <c r="N340" s="2976"/>
      <c r="O340" s="2976"/>
      <c r="P340" s="2976"/>
      <c r="Q340" s="2976"/>
      <c r="R340" s="2976"/>
      <c r="S340" s="2976"/>
      <c r="T340" s="2976"/>
      <c r="U340" s="2976"/>
      <c r="V340" s="2976"/>
      <c r="W340" s="2976"/>
      <c r="X340" s="2976"/>
      <c r="Y340" s="2976"/>
      <c r="Z340" s="2976"/>
      <c r="AA340" s="2976"/>
      <c r="AB340" s="2976"/>
      <c r="AC340" s="2976"/>
      <c r="AD340" s="2976"/>
      <c r="AE340" s="2976"/>
      <c r="AF340" s="2976"/>
    </row>
    <row r="341" spans="1:32">
      <c r="A341" s="2972">
        <v>340</v>
      </c>
      <c r="B341" s="2974" t="s">
        <v>3230</v>
      </c>
      <c r="C341" s="2973" t="s">
        <v>3221</v>
      </c>
      <c r="D341" s="2981" t="s">
        <v>3213</v>
      </c>
      <c r="E341" s="2974">
        <v>105</v>
      </c>
      <c r="F341" s="2980">
        <v>56.95</v>
      </c>
      <c r="G341" s="2979">
        <v>12.34</v>
      </c>
      <c r="H341" s="2979">
        <v>69.290000000000006</v>
      </c>
      <c r="I341" s="2979" t="s">
        <v>3055</v>
      </c>
      <c r="J341" s="2974" t="s">
        <v>3144</v>
      </c>
      <c r="L341" s="2976"/>
      <c r="M341" s="2976"/>
      <c r="N341" s="2976"/>
      <c r="O341" s="2976"/>
      <c r="P341" s="2976"/>
      <c r="Q341" s="2976"/>
      <c r="R341" s="2976"/>
      <c r="S341" s="2976"/>
      <c r="T341" s="2976"/>
      <c r="U341" s="2976"/>
      <c r="V341" s="2976"/>
      <c r="W341" s="2976"/>
      <c r="X341" s="2976"/>
      <c r="Y341" s="2976"/>
      <c r="Z341" s="2976"/>
      <c r="AA341" s="2976"/>
      <c r="AB341" s="2976"/>
      <c r="AC341" s="2976"/>
      <c r="AD341" s="2976"/>
      <c r="AE341" s="2976"/>
      <c r="AF341" s="2976"/>
    </row>
    <row r="342" spans="1:32">
      <c r="A342" s="2972">
        <v>341</v>
      </c>
      <c r="B342" s="2974" t="s">
        <v>3230</v>
      </c>
      <c r="C342" s="2973" t="s">
        <v>3221</v>
      </c>
      <c r="D342" s="2981" t="s">
        <v>3213</v>
      </c>
      <c r="E342" s="2974">
        <v>106</v>
      </c>
      <c r="F342" s="2980">
        <v>56.66</v>
      </c>
      <c r="G342" s="2979">
        <v>12.28</v>
      </c>
      <c r="H342" s="2979">
        <v>68.94</v>
      </c>
      <c r="I342" s="2979" t="s">
        <v>3055</v>
      </c>
      <c r="J342" s="2974" t="s">
        <v>3144</v>
      </c>
      <c r="L342" s="2976"/>
      <c r="M342" s="2976"/>
      <c r="N342" s="2976"/>
      <c r="O342" s="2976"/>
      <c r="P342" s="2976"/>
      <c r="Q342" s="2976"/>
      <c r="R342" s="2976"/>
      <c r="S342" s="2976"/>
      <c r="T342" s="2976"/>
      <c r="U342" s="2976"/>
      <c r="V342" s="2976"/>
      <c r="W342" s="2976"/>
      <c r="X342" s="2976"/>
      <c r="Y342" s="2976"/>
      <c r="Z342" s="2976"/>
      <c r="AA342" s="2976"/>
      <c r="AB342" s="2976"/>
      <c r="AC342" s="2976"/>
      <c r="AD342" s="2976"/>
      <c r="AE342" s="2976"/>
      <c r="AF342" s="2976"/>
    </row>
    <row r="343" spans="1:32">
      <c r="A343" s="2972">
        <v>342</v>
      </c>
      <c r="B343" s="2974" t="s">
        <v>3230</v>
      </c>
      <c r="C343" s="2973" t="s">
        <v>3221</v>
      </c>
      <c r="D343" s="2981" t="s">
        <v>3213</v>
      </c>
      <c r="E343" s="2974">
        <v>107</v>
      </c>
      <c r="F343" s="2980">
        <v>77.36</v>
      </c>
      <c r="G343" s="2979">
        <v>16.77</v>
      </c>
      <c r="H343" s="2979">
        <v>94.13</v>
      </c>
      <c r="I343" s="2979" t="s">
        <v>3055</v>
      </c>
      <c r="J343" s="2974" t="s">
        <v>3144</v>
      </c>
      <c r="L343" s="2976"/>
      <c r="M343" s="2976"/>
      <c r="N343" s="2976"/>
      <c r="O343" s="2976"/>
      <c r="P343" s="2976"/>
      <c r="Q343" s="2976"/>
      <c r="R343" s="2976"/>
      <c r="S343" s="2976"/>
      <c r="T343" s="2976"/>
      <c r="U343" s="2976"/>
      <c r="V343" s="2976"/>
      <c r="W343" s="2976"/>
      <c r="X343" s="2976"/>
      <c r="Y343" s="2976"/>
      <c r="Z343" s="2976"/>
      <c r="AA343" s="2976"/>
      <c r="AB343" s="2976"/>
      <c r="AC343" s="2976"/>
      <c r="AD343" s="2976"/>
      <c r="AE343" s="2976"/>
      <c r="AF343" s="2976"/>
    </row>
    <row r="344" spans="1:32">
      <c r="A344" s="2972">
        <v>343</v>
      </c>
      <c r="B344" s="2974" t="s">
        <v>3230</v>
      </c>
      <c r="C344" s="2973" t="s">
        <v>3221</v>
      </c>
      <c r="D344" s="2981" t="s">
        <v>3215</v>
      </c>
      <c r="E344" s="2974">
        <v>101</v>
      </c>
      <c r="F344" s="2980">
        <v>77.36</v>
      </c>
      <c r="G344" s="2979">
        <v>16.77</v>
      </c>
      <c r="H344" s="2979">
        <v>94.13</v>
      </c>
      <c r="I344" s="2979" t="s">
        <v>3055</v>
      </c>
      <c r="J344" s="2974" t="s">
        <v>3144</v>
      </c>
      <c r="L344" s="2976"/>
      <c r="M344" s="2976"/>
      <c r="N344" s="2976"/>
      <c r="O344" s="2976"/>
      <c r="P344" s="2976"/>
      <c r="Q344" s="2976"/>
      <c r="R344" s="2976"/>
      <c r="S344" s="2976"/>
      <c r="T344" s="2976"/>
      <c r="U344" s="2976"/>
      <c r="V344" s="2976"/>
      <c r="W344" s="2976"/>
      <c r="X344" s="2976"/>
      <c r="Y344" s="2976"/>
      <c r="Z344" s="2976"/>
      <c r="AA344" s="2976"/>
      <c r="AB344" s="2976"/>
      <c r="AC344" s="2976"/>
      <c r="AD344" s="2976"/>
      <c r="AE344" s="2976"/>
      <c r="AF344" s="2976"/>
    </row>
    <row r="345" spans="1:32">
      <c r="A345" s="2972">
        <v>344</v>
      </c>
      <c r="B345" s="2974" t="s">
        <v>3230</v>
      </c>
      <c r="C345" s="2973" t="s">
        <v>3221</v>
      </c>
      <c r="D345" s="2981" t="s">
        <v>3215</v>
      </c>
      <c r="E345" s="2974">
        <v>103</v>
      </c>
      <c r="F345" s="2980">
        <v>56.95</v>
      </c>
      <c r="G345" s="2979">
        <v>12.34</v>
      </c>
      <c r="H345" s="2979">
        <v>69.290000000000006</v>
      </c>
      <c r="I345" s="2979" t="s">
        <v>3055</v>
      </c>
      <c r="J345" s="2974" t="s">
        <v>3144</v>
      </c>
      <c r="L345" s="2976"/>
      <c r="M345" s="2976"/>
      <c r="N345" s="2976"/>
      <c r="O345" s="2976"/>
      <c r="P345" s="2976"/>
      <c r="Q345" s="2976"/>
      <c r="R345" s="2976"/>
      <c r="S345" s="2976"/>
      <c r="T345" s="2976"/>
      <c r="U345" s="2976"/>
      <c r="V345" s="2976"/>
      <c r="W345" s="2976"/>
      <c r="X345" s="2976"/>
      <c r="Y345" s="2976"/>
      <c r="Z345" s="2976"/>
      <c r="AA345" s="2976"/>
      <c r="AB345" s="2976"/>
      <c r="AC345" s="2976"/>
      <c r="AD345" s="2976"/>
      <c r="AE345" s="2976"/>
      <c r="AF345" s="2976"/>
    </row>
    <row r="346" spans="1:32">
      <c r="A346" s="2972">
        <v>345</v>
      </c>
      <c r="B346" s="2974" t="s">
        <v>3230</v>
      </c>
      <c r="C346" s="2973" t="s">
        <v>3221</v>
      </c>
      <c r="D346" s="2981" t="s">
        <v>3215</v>
      </c>
      <c r="E346" s="2974">
        <v>105</v>
      </c>
      <c r="F346" s="2980">
        <v>56.95</v>
      </c>
      <c r="G346" s="2979">
        <v>12.34</v>
      </c>
      <c r="H346" s="2979">
        <v>69.290000000000006</v>
      </c>
      <c r="I346" s="2979" t="s">
        <v>3055</v>
      </c>
      <c r="J346" s="2974" t="s">
        <v>3144</v>
      </c>
      <c r="L346" s="2976"/>
      <c r="M346" s="2976"/>
      <c r="N346" s="2976"/>
      <c r="O346" s="2976"/>
      <c r="P346" s="2976"/>
      <c r="Q346" s="2976"/>
      <c r="R346" s="2976"/>
      <c r="S346" s="2976"/>
      <c r="T346" s="2976"/>
      <c r="U346" s="2976"/>
      <c r="V346" s="2976"/>
      <c r="W346" s="2976"/>
      <c r="X346" s="2976"/>
      <c r="Y346" s="2976"/>
      <c r="Z346" s="2976"/>
      <c r="AA346" s="2976"/>
      <c r="AB346" s="2976"/>
      <c r="AC346" s="2976"/>
      <c r="AD346" s="2976"/>
      <c r="AE346" s="2976"/>
      <c r="AF346" s="2976"/>
    </row>
    <row r="347" spans="1:32">
      <c r="A347" s="2972">
        <v>346</v>
      </c>
      <c r="B347" s="2974" t="s">
        <v>3230</v>
      </c>
      <c r="C347" s="2973" t="s">
        <v>3221</v>
      </c>
      <c r="D347" s="2981" t="s">
        <v>3215</v>
      </c>
      <c r="E347" s="2974">
        <v>106</v>
      </c>
      <c r="F347" s="2980">
        <v>56.66</v>
      </c>
      <c r="G347" s="2979">
        <v>12.28</v>
      </c>
      <c r="H347" s="2979">
        <v>68.94</v>
      </c>
      <c r="I347" s="2979" t="s">
        <v>3055</v>
      </c>
      <c r="J347" s="2974" t="s">
        <v>3144</v>
      </c>
      <c r="L347" s="2976"/>
      <c r="M347" s="2976"/>
      <c r="N347" s="2976"/>
      <c r="O347" s="2976"/>
      <c r="P347" s="2976"/>
      <c r="Q347" s="2976"/>
      <c r="R347" s="2976"/>
      <c r="S347" s="2976"/>
      <c r="T347" s="2976"/>
      <c r="U347" s="2976"/>
      <c r="V347" s="2976"/>
      <c r="W347" s="2976"/>
      <c r="X347" s="2976"/>
      <c r="Y347" s="2976"/>
      <c r="Z347" s="2976"/>
      <c r="AA347" s="2976"/>
      <c r="AB347" s="2976"/>
      <c r="AC347" s="2976"/>
      <c r="AD347" s="2976"/>
      <c r="AE347" s="2976"/>
      <c r="AF347" s="2976"/>
    </row>
    <row r="348" spans="1:32">
      <c r="A348" s="2972">
        <v>347</v>
      </c>
      <c r="B348" s="2974" t="s">
        <v>3230</v>
      </c>
      <c r="C348" s="2973" t="s">
        <v>3221</v>
      </c>
      <c r="D348" s="2981" t="s">
        <v>3215</v>
      </c>
      <c r="E348" s="2974">
        <v>107</v>
      </c>
      <c r="F348" s="2980">
        <v>53.97</v>
      </c>
      <c r="G348" s="2979">
        <v>11.7</v>
      </c>
      <c r="H348" s="2979">
        <v>65.67</v>
      </c>
      <c r="I348" s="2979" t="s">
        <v>3055</v>
      </c>
      <c r="J348" s="2974" t="s">
        <v>3143</v>
      </c>
      <c r="L348" s="2976"/>
      <c r="M348" s="2976"/>
      <c r="N348" s="2976"/>
      <c r="O348" s="2976"/>
      <c r="P348" s="2976"/>
      <c r="Q348" s="2976"/>
      <c r="R348" s="2976"/>
      <c r="S348" s="2976"/>
      <c r="T348" s="2976"/>
      <c r="U348" s="2976"/>
      <c r="V348" s="2976"/>
      <c r="W348" s="2976"/>
      <c r="X348" s="2976"/>
      <c r="Y348" s="2976"/>
      <c r="Z348" s="2976"/>
      <c r="AA348" s="2976"/>
      <c r="AB348" s="2976"/>
      <c r="AC348" s="2976"/>
      <c r="AD348" s="2976"/>
      <c r="AE348" s="2976"/>
      <c r="AF348" s="2976"/>
    </row>
    <row r="349" spans="1:32">
      <c r="A349" s="2972">
        <v>348</v>
      </c>
      <c r="B349" s="2974" t="s">
        <v>3230</v>
      </c>
      <c r="C349" s="2973" t="s">
        <v>3222</v>
      </c>
      <c r="D349" s="2981" t="s">
        <v>3213</v>
      </c>
      <c r="E349" s="2974">
        <v>201</v>
      </c>
      <c r="F349" s="2980">
        <v>53.84</v>
      </c>
      <c r="G349" s="2979">
        <v>11.67</v>
      </c>
      <c r="H349" s="2979">
        <v>65.510000000000005</v>
      </c>
      <c r="I349" s="2979" t="s">
        <v>3055</v>
      </c>
      <c r="J349" s="2974" t="s">
        <v>3143</v>
      </c>
      <c r="L349" s="2976"/>
      <c r="M349" s="2976"/>
      <c r="N349" s="2976"/>
      <c r="O349" s="2976"/>
      <c r="P349" s="2976"/>
      <c r="Q349" s="2976"/>
      <c r="R349" s="2976"/>
      <c r="S349" s="2976"/>
      <c r="T349" s="2976"/>
      <c r="U349" s="2976"/>
      <c r="V349" s="2976"/>
      <c r="W349" s="2976"/>
      <c r="X349" s="2976"/>
      <c r="Y349" s="2976"/>
      <c r="Z349" s="2976"/>
      <c r="AA349" s="2976"/>
      <c r="AB349" s="2976"/>
      <c r="AC349" s="2976"/>
      <c r="AD349" s="2976"/>
      <c r="AE349" s="2976"/>
      <c r="AF349" s="2976"/>
    </row>
    <row r="350" spans="1:32">
      <c r="A350" s="2972">
        <v>349</v>
      </c>
      <c r="B350" s="2974" t="s">
        <v>3230</v>
      </c>
      <c r="C350" s="2973" t="s">
        <v>3222</v>
      </c>
      <c r="D350" s="2981" t="s">
        <v>3215</v>
      </c>
      <c r="E350" s="2974">
        <v>207</v>
      </c>
      <c r="F350" s="2980">
        <v>53.84</v>
      </c>
      <c r="G350" s="2979">
        <v>11.67</v>
      </c>
      <c r="H350" s="2979">
        <v>65.510000000000005</v>
      </c>
      <c r="I350" s="2979" t="s">
        <v>3055</v>
      </c>
      <c r="J350" s="2974" t="s">
        <v>3143</v>
      </c>
      <c r="L350" s="2976"/>
      <c r="M350" s="2976"/>
      <c r="N350" s="2976"/>
      <c r="O350" s="2976"/>
      <c r="P350" s="2976"/>
      <c r="Q350" s="2976"/>
      <c r="R350" s="2976"/>
      <c r="S350" s="2976"/>
      <c r="T350" s="2976"/>
      <c r="U350" s="2976"/>
      <c r="V350" s="2976"/>
      <c r="W350" s="2976"/>
      <c r="X350" s="2976"/>
      <c r="Y350" s="2976"/>
      <c r="Z350" s="2976"/>
      <c r="AA350" s="2976"/>
      <c r="AB350" s="2976"/>
      <c r="AC350" s="2976"/>
      <c r="AD350" s="2976"/>
      <c r="AE350" s="2976"/>
      <c r="AF350" s="2976"/>
    </row>
    <row r="351" spans="1:32">
      <c r="A351" s="2972">
        <v>350</v>
      </c>
      <c r="B351" s="2974" t="s">
        <v>3230</v>
      </c>
      <c r="C351" s="2973" t="s">
        <v>3223</v>
      </c>
      <c r="D351" s="2981" t="s">
        <v>3213</v>
      </c>
      <c r="E351" s="2974">
        <v>301</v>
      </c>
      <c r="F351" s="2980">
        <v>53.84</v>
      </c>
      <c r="G351" s="2979">
        <v>11.67</v>
      </c>
      <c r="H351" s="2979">
        <v>65.510000000000005</v>
      </c>
      <c r="I351" s="2979" t="s">
        <v>3055</v>
      </c>
      <c r="J351" s="2974" t="s">
        <v>3143</v>
      </c>
      <c r="L351" s="2976"/>
      <c r="M351" s="2976"/>
      <c r="N351" s="2976"/>
      <c r="O351" s="2976"/>
      <c r="P351" s="2976"/>
      <c r="Q351" s="2976"/>
      <c r="R351" s="2976"/>
      <c r="S351" s="2976"/>
      <c r="T351" s="2976"/>
      <c r="U351" s="2976"/>
      <c r="V351" s="2976"/>
      <c r="W351" s="2976"/>
      <c r="X351" s="2976"/>
      <c r="Y351" s="2976"/>
      <c r="Z351" s="2976"/>
      <c r="AA351" s="2976"/>
      <c r="AB351" s="2976"/>
      <c r="AC351" s="2976"/>
      <c r="AD351" s="2976"/>
      <c r="AE351" s="2976"/>
      <c r="AF351" s="2976"/>
    </row>
    <row r="352" spans="1:32">
      <c r="A352" s="2972">
        <v>351</v>
      </c>
      <c r="B352" s="2974" t="s">
        <v>3230</v>
      </c>
      <c r="C352" s="2973" t="s">
        <v>3223</v>
      </c>
      <c r="D352" s="2981" t="s">
        <v>3213</v>
      </c>
      <c r="E352" s="2974">
        <v>302</v>
      </c>
      <c r="F352" s="2980">
        <v>56.66</v>
      </c>
      <c r="G352" s="2979">
        <v>12.28</v>
      </c>
      <c r="H352" s="2979">
        <v>68.94</v>
      </c>
      <c r="I352" s="2979" t="s">
        <v>3055</v>
      </c>
      <c r="J352" s="2974" t="s">
        <v>3144</v>
      </c>
      <c r="L352" s="2976"/>
      <c r="M352" s="2976"/>
      <c r="N352" s="2976"/>
      <c r="O352" s="2976"/>
      <c r="P352" s="2976"/>
      <c r="Q352" s="2976"/>
      <c r="R352" s="2976"/>
      <c r="S352" s="2976"/>
      <c r="T352" s="2976"/>
      <c r="U352" s="2976"/>
      <c r="V352" s="2976"/>
      <c r="W352" s="2976"/>
      <c r="X352" s="2976"/>
      <c r="Y352" s="2976"/>
      <c r="Z352" s="2976"/>
      <c r="AA352" s="2976"/>
      <c r="AB352" s="2976"/>
      <c r="AC352" s="2976"/>
      <c r="AD352" s="2976"/>
      <c r="AE352" s="2976"/>
      <c r="AF352" s="2976"/>
    </row>
    <row r="353" spans="1:32">
      <c r="A353" s="2972">
        <v>352</v>
      </c>
      <c r="B353" s="2974" t="s">
        <v>3230</v>
      </c>
      <c r="C353" s="2973" t="s">
        <v>3223</v>
      </c>
      <c r="D353" s="2981" t="s">
        <v>3215</v>
      </c>
      <c r="E353" s="2974">
        <v>306</v>
      </c>
      <c r="F353" s="2980">
        <v>56.66</v>
      </c>
      <c r="G353" s="2979">
        <v>12.28</v>
      </c>
      <c r="H353" s="2979">
        <v>68.94</v>
      </c>
      <c r="I353" s="2979" t="s">
        <v>3055</v>
      </c>
      <c r="J353" s="2974" t="s">
        <v>3144</v>
      </c>
      <c r="L353" s="2976"/>
      <c r="M353" s="2976"/>
      <c r="N353" s="2976"/>
      <c r="O353" s="2976"/>
      <c r="P353" s="2976"/>
      <c r="Q353" s="2976"/>
      <c r="R353" s="2976"/>
      <c r="S353" s="2976"/>
      <c r="T353" s="2976"/>
      <c r="U353" s="2976"/>
      <c r="V353" s="2976"/>
      <c r="W353" s="2976"/>
      <c r="X353" s="2976"/>
      <c r="Y353" s="2976"/>
      <c r="Z353" s="2976"/>
      <c r="AA353" s="2976"/>
      <c r="AB353" s="2976"/>
      <c r="AC353" s="2976"/>
      <c r="AD353" s="2976"/>
      <c r="AE353" s="2976"/>
      <c r="AF353" s="2976"/>
    </row>
    <row r="354" spans="1:32">
      <c r="A354" s="2972">
        <v>353</v>
      </c>
      <c r="B354" s="2974" t="s">
        <v>3230</v>
      </c>
      <c r="C354" s="2973" t="s">
        <v>3224</v>
      </c>
      <c r="D354" s="2981" t="s">
        <v>3213</v>
      </c>
      <c r="E354" s="2974" t="s">
        <v>3150</v>
      </c>
      <c r="F354" s="2980">
        <v>77.180000000000007</v>
      </c>
      <c r="G354" s="2979">
        <v>16.73</v>
      </c>
      <c r="H354" s="2979">
        <v>93.910000000000011</v>
      </c>
      <c r="I354" s="2979" t="s">
        <v>3055</v>
      </c>
      <c r="J354" s="2974" t="s">
        <v>3144</v>
      </c>
      <c r="L354" s="2976"/>
      <c r="M354" s="2976"/>
      <c r="N354" s="2976"/>
      <c r="O354" s="2976"/>
      <c r="P354" s="2976"/>
      <c r="Q354" s="2976"/>
      <c r="R354" s="2976"/>
      <c r="S354" s="2976"/>
      <c r="T354" s="2976"/>
      <c r="U354" s="2976"/>
      <c r="V354" s="2976"/>
      <c r="W354" s="2976"/>
      <c r="X354" s="2976"/>
      <c r="Y354" s="2976"/>
      <c r="Z354" s="2976"/>
      <c r="AA354" s="2976"/>
      <c r="AB354" s="2976"/>
      <c r="AC354" s="2976"/>
      <c r="AD354" s="2976"/>
      <c r="AE354" s="2976"/>
      <c r="AF354" s="2976"/>
    </row>
    <row r="355" spans="1:32">
      <c r="A355" s="2972">
        <v>354</v>
      </c>
      <c r="B355" s="2974" t="s">
        <v>3230</v>
      </c>
      <c r="C355" s="2973" t="s">
        <v>3224</v>
      </c>
      <c r="D355" s="2981" t="s">
        <v>3215</v>
      </c>
      <c r="E355" s="2974" t="s">
        <v>3150</v>
      </c>
      <c r="F355" s="2980">
        <v>53.84</v>
      </c>
      <c r="G355" s="2979">
        <v>11.67</v>
      </c>
      <c r="H355" s="2979">
        <v>65.510000000000005</v>
      </c>
      <c r="I355" s="2979" t="s">
        <v>3055</v>
      </c>
      <c r="J355" s="2974" t="s">
        <v>3143</v>
      </c>
      <c r="L355" s="2976"/>
      <c r="M355" s="2976"/>
      <c r="N355" s="2976"/>
      <c r="O355" s="2976"/>
      <c r="P355" s="2976"/>
      <c r="Q355" s="2976"/>
      <c r="R355" s="2976"/>
      <c r="S355" s="2976"/>
      <c r="T355" s="2976"/>
      <c r="U355" s="2976"/>
      <c r="V355" s="2976"/>
      <c r="W355" s="2976"/>
      <c r="X355" s="2976"/>
      <c r="Y355" s="2976"/>
      <c r="Z355" s="2976"/>
      <c r="AA355" s="2976"/>
      <c r="AB355" s="2976"/>
      <c r="AC355" s="2976"/>
      <c r="AD355" s="2976"/>
      <c r="AE355" s="2976"/>
      <c r="AF355" s="2976"/>
    </row>
    <row r="356" spans="1:32">
      <c r="A356" s="2972">
        <v>355</v>
      </c>
      <c r="B356" s="2974" t="s">
        <v>3230</v>
      </c>
      <c r="C356" s="2973" t="s">
        <v>3225</v>
      </c>
      <c r="D356" s="2981" t="s">
        <v>3213</v>
      </c>
      <c r="E356" s="2974">
        <v>507</v>
      </c>
      <c r="F356" s="2980">
        <v>77.180000000000007</v>
      </c>
      <c r="G356" s="2979">
        <v>16.73</v>
      </c>
      <c r="H356" s="2979">
        <v>93.910000000000011</v>
      </c>
      <c r="I356" s="2979" t="s">
        <v>3055</v>
      </c>
      <c r="J356" s="2974" t="s">
        <v>3144</v>
      </c>
      <c r="L356" s="2976"/>
      <c r="M356" s="2976"/>
      <c r="N356" s="2976"/>
      <c r="O356" s="2976"/>
      <c r="P356" s="2976"/>
      <c r="Q356" s="2976"/>
      <c r="R356" s="2976"/>
      <c r="S356" s="2976"/>
      <c r="T356" s="2976"/>
      <c r="U356" s="2976"/>
      <c r="V356" s="2976"/>
      <c r="W356" s="2976"/>
      <c r="X356" s="2976"/>
      <c r="Y356" s="2976"/>
      <c r="Z356" s="2976"/>
      <c r="AA356" s="2976"/>
      <c r="AB356" s="2976"/>
      <c r="AC356" s="2976"/>
      <c r="AD356" s="2976"/>
      <c r="AE356" s="2976"/>
      <c r="AF356" s="2976"/>
    </row>
    <row r="357" spans="1:32">
      <c r="A357" s="2972">
        <v>356</v>
      </c>
      <c r="B357" s="2974" t="s">
        <v>3230</v>
      </c>
      <c r="C357" s="2973" t="s">
        <v>3225</v>
      </c>
      <c r="D357" s="2981" t="s">
        <v>3215</v>
      </c>
      <c r="E357" s="2974">
        <v>501</v>
      </c>
      <c r="F357" s="2980">
        <v>77.180000000000007</v>
      </c>
      <c r="G357" s="2979">
        <v>16.73</v>
      </c>
      <c r="H357" s="2979">
        <v>93.910000000000011</v>
      </c>
      <c r="I357" s="2979" t="s">
        <v>3055</v>
      </c>
      <c r="J357" s="2974" t="s">
        <v>3144</v>
      </c>
      <c r="L357" s="2976"/>
      <c r="M357" s="2976"/>
      <c r="N357" s="2976"/>
      <c r="O357" s="2976"/>
      <c r="P357" s="2976"/>
      <c r="Q357" s="2976"/>
      <c r="R357" s="2976"/>
      <c r="S357" s="2976"/>
      <c r="T357" s="2976"/>
      <c r="U357" s="2976"/>
      <c r="V357" s="2976"/>
      <c r="W357" s="2976"/>
      <c r="X357" s="2976"/>
      <c r="Y357" s="2976"/>
      <c r="Z357" s="2976"/>
      <c r="AA357" s="2976"/>
      <c r="AB357" s="2976"/>
      <c r="AC357" s="2976"/>
      <c r="AD357" s="2976"/>
      <c r="AE357" s="2976"/>
      <c r="AF357" s="2976"/>
    </row>
    <row r="358" spans="1:32">
      <c r="A358" s="2972">
        <v>357</v>
      </c>
      <c r="B358" s="2974" t="s">
        <v>3230</v>
      </c>
      <c r="C358" s="2973" t="s">
        <v>3225</v>
      </c>
      <c r="D358" s="2981" t="s">
        <v>3215</v>
      </c>
      <c r="E358" s="2974">
        <v>506</v>
      </c>
      <c r="F358" s="2980">
        <v>56.66</v>
      </c>
      <c r="G358" s="2979">
        <v>12.28</v>
      </c>
      <c r="H358" s="2979">
        <v>68.94</v>
      </c>
      <c r="I358" s="2979" t="s">
        <v>3055</v>
      </c>
      <c r="J358" s="2974" t="s">
        <v>3144</v>
      </c>
      <c r="L358" s="2976"/>
      <c r="M358" s="2976"/>
      <c r="N358" s="2976"/>
      <c r="O358" s="2976"/>
      <c r="P358" s="2976"/>
      <c r="Q358" s="2976"/>
      <c r="R358" s="2976"/>
      <c r="S358" s="2976"/>
      <c r="T358" s="2976"/>
      <c r="U358" s="2976"/>
      <c r="V358" s="2976"/>
      <c r="W358" s="2976"/>
      <c r="X358" s="2976"/>
      <c r="Y358" s="2976"/>
      <c r="Z358" s="2976"/>
      <c r="AA358" s="2976"/>
      <c r="AB358" s="2976"/>
      <c r="AC358" s="2976"/>
      <c r="AD358" s="2976"/>
      <c r="AE358" s="2976"/>
      <c r="AF358" s="2976"/>
    </row>
    <row r="359" spans="1:32">
      <c r="A359" s="2972">
        <v>358</v>
      </c>
      <c r="B359" s="2974" t="s">
        <v>3230</v>
      </c>
      <c r="C359" s="2973" t="s">
        <v>3225</v>
      </c>
      <c r="D359" s="2981" t="s">
        <v>3215</v>
      </c>
      <c r="E359" s="2974">
        <v>507</v>
      </c>
      <c r="F359" s="2980">
        <v>53.84</v>
      </c>
      <c r="G359" s="2979">
        <v>11.67</v>
      </c>
      <c r="H359" s="2979">
        <v>65.510000000000005</v>
      </c>
      <c r="I359" s="2979" t="s">
        <v>3055</v>
      </c>
      <c r="J359" s="2974" t="s">
        <v>3143</v>
      </c>
      <c r="L359" s="2976"/>
      <c r="M359" s="2976"/>
      <c r="N359" s="2976"/>
      <c r="O359" s="2976"/>
      <c r="P359" s="2976"/>
      <c r="Q359" s="2976"/>
      <c r="R359" s="2976"/>
      <c r="S359" s="2976"/>
      <c r="T359" s="2976"/>
      <c r="U359" s="2976"/>
      <c r="V359" s="2976"/>
      <c r="W359" s="2976"/>
      <c r="X359" s="2976"/>
      <c r="Y359" s="2976"/>
      <c r="Z359" s="2976"/>
      <c r="AA359" s="2976"/>
      <c r="AB359" s="2976"/>
      <c r="AC359" s="2976"/>
      <c r="AD359" s="2976"/>
      <c r="AE359" s="2976"/>
      <c r="AF359" s="2976"/>
    </row>
    <row r="360" spans="1:32">
      <c r="A360" s="2972">
        <v>359</v>
      </c>
      <c r="B360" s="2974" t="s">
        <v>3230</v>
      </c>
      <c r="C360" s="2973" t="s">
        <v>3226</v>
      </c>
      <c r="D360" s="2981" t="s">
        <v>3213</v>
      </c>
      <c r="E360" s="2974">
        <v>602</v>
      </c>
      <c r="F360" s="2980">
        <v>56.66</v>
      </c>
      <c r="G360" s="2979">
        <v>12.28</v>
      </c>
      <c r="H360" s="2979">
        <v>68.94</v>
      </c>
      <c r="I360" s="2979" t="s">
        <v>3055</v>
      </c>
      <c r="J360" s="2974" t="s">
        <v>3144</v>
      </c>
      <c r="L360" s="2976"/>
      <c r="M360" s="2976"/>
      <c r="N360" s="2976"/>
      <c r="O360" s="2976"/>
      <c r="P360" s="2976"/>
      <c r="Q360" s="2976"/>
      <c r="R360" s="2976"/>
      <c r="S360" s="2976"/>
      <c r="T360" s="2976"/>
      <c r="U360" s="2976"/>
      <c r="V360" s="2976"/>
      <c r="W360" s="2976"/>
      <c r="X360" s="2976"/>
      <c r="Y360" s="2976"/>
      <c r="Z360" s="2976"/>
      <c r="AA360" s="2976"/>
      <c r="AB360" s="2976"/>
      <c r="AC360" s="2976"/>
      <c r="AD360" s="2976"/>
      <c r="AE360" s="2976"/>
      <c r="AF360" s="2976"/>
    </row>
    <row r="361" spans="1:32">
      <c r="A361" s="2972">
        <v>360</v>
      </c>
      <c r="B361" s="2974" t="s">
        <v>3230</v>
      </c>
      <c r="C361" s="2973" t="s">
        <v>3226</v>
      </c>
      <c r="D361" s="2981" t="s">
        <v>3213</v>
      </c>
      <c r="E361" s="2974">
        <v>603</v>
      </c>
      <c r="F361" s="2980">
        <v>56.95</v>
      </c>
      <c r="G361" s="2979">
        <v>12.34</v>
      </c>
      <c r="H361" s="2979">
        <v>69.290000000000006</v>
      </c>
      <c r="I361" s="2979" t="s">
        <v>3055</v>
      </c>
      <c r="J361" s="2974" t="s">
        <v>3144</v>
      </c>
      <c r="L361" s="2976"/>
      <c r="M361" s="2976"/>
      <c r="N361" s="2976"/>
      <c r="O361" s="2976"/>
      <c r="P361" s="2976"/>
      <c r="Q361" s="2976"/>
      <c r="R361" s="2976"/>
      <c r="S361" s="2976"/>
      <c r="T361" s="2976"/>
      <c r="U361" s="2976"/>
      <c r="V361" s="2976"/>
      <c r="W361" s="2976"/>
      <c r="X361" s="2976"/>
      <c r="Y361" s="2976"/>
      <c r="Z361" s="2976"/>
      <c r="AA361" s="2976"/>
      <c r="AB361" s="2976"/>
      <c r="AC361" s="2976"/>
      <c r="AD361" s="2976"/>
      <c r="AE361" s="2976"/>
      <c r="AF361" s="2976"/>
    </row>
    <row r="362" spans="1:32">
      <c r="A362" s="2972">
        <v>361</v>
      </c>
      <c r="B362" s="2974" t="s">
        <v>3230</v>
      </c>
      <c r="C362" s="2973" t="s">
        <v>3226</v>
      </c>
      <c r="D362" s="2981" t="s">
        <v>3213</v>
      </c>
      <c r="E362" s="2974">
        <v>605</v>
      </c>
      <c r="F362" s="2980">
        <v>56.95</v>
      </c>
      <c r="G362" s="2979">
        <v>12.34</v>
      </c>
      <c r="H362" s="2979">
        <v>69.290000000000006</v>
      </c>
      <c r="I362" s="2979" t="s">
        <v>3055</v>
      </c>
      <c r="J362" s="2974" t="s">
        <v>3144</v>
      </c>
      <c r="L362" s="2976"/>
      <c r="M362" s="2976"/>
      <c r="N362" s="2976"/>
      <c r="O362" s="2976"/>
      <c r="P362" s="2976"/>
      <c r="Q362" s="2976"/>
      <c r="R362" s="2976"/>
      <c r="S362" s="2976"/>
      <c r="T362" s="2976"/>
      <c r="U362" s="2976"/>
      <c r="V362" s="2976"/>
      <c r="W362" s="2976"/>
      <c r="X362" s="2976"/>
      <c r="Y362" s="2976"/>
      <c r="Z362" s="2976"/>
      <c r="AA362" s="2976"/>
      <c r="AB362" s="2976"/>
      <c r="AC362" s="2976"/>
      <c r="AD362" s="2976"/>
      <c r="AE362" s="2976"/>
      <c r="AF362" s="2976"/>
    </row>
    <row r="363" spans="1:32">
      <c r="A363" s="2972">
        <v>362</v>
      </c>
      <c r="B363" s="2974" t="s">
        <v>3230</v>
      </c>
      <c r="C363" s="2973" t="s">
        <v>3226</v>
      </c>
      <c r="D363" s="2981" t="s">
        <v>3215</v>
      </c>
      <c r="E363" s="2974">
        <v>602</v>
      </c>
      <c r="F363" s="2980">
        <v>56.66</v>
      </c>
      <c r="G363" s="2979">
        <v>12.28</v>
      </c>
      <c r="H363" s="2979">
        <v>68.94</v>
      </c>
      <c r="I363" s="2979" t="s">
        <v>3055</v>
      </c>
      <c r="J363" s="2974" t="s">
        <v>3144</v>
      </c>
      <c r="L363" s="2976"/>
      <c r="M363" s="2976"/>
      <c r="N363" s="2976"/>
      <c r="O363" s="2976"/>
      <c r="P363" s="2976"/>
      <c r="Q363" s="2976"/>
      <c r="R363" s="2976"/>
      <c r="S363" s="2976"/>
      <c r="T363" s="2976"/>
      <c r="U363" s="2976"/>
      <c r="V363" s="2976"/>
      <c r="W363" s="2976"/>
      <c r="X363" s="2976"/>
      <c r="Y363" s="2976"/>
      <c r="Z363" s="2976"/>
      <c r="AA363" s="2976"/>
      <c r="AB363" s="2976"/>
      <c r="AC363" s="2976"/>
      <c r="AD363" s="2976"/>
      <c r="AE363" s="2976"/>
      <c r="AF363" s="2976"/>
    </row>
    <row r="364" spans="1:32">
      <c r="A364" s="2972">
        <v>363</v>
      </c>
      <c r="B364" s="2974" t="s">
        <v>3230</v>
      </c>
      <c r="C364" s="2973" t="s">
        <v>3226</v>
      </c>
      <c r="D364" s="2981" t="s">
        <v>3215</v>
      </c>
      <c r="E364" s="2974">
        <v>603</v>
      </c>
      <c r="F364" s="2980">
        <v>56.95</v>
      </c>
      <c r="G364" s="2979">
        <v>12.34</v>
      </c>
      <c r="H364" s="2979">
        <v>69.290000000000006</v>
      </c>
      <c r="I364" s="2979" t="s">
        <v>3055</v>
      </c>
      <c r="J364" s="2974" t="s">
        <v>3144</v>
      </c>
      <c r="L364" s="2976"/>
      <c r="M364" s="2976"/>
      <c r="N364" s="2976"/>
      <c r="O364" s="2976"/>
      <c r="P364" s="2976"/>
      <c r="Q364" s="2976"/>
      <c r="R364" s="2976"/>
      <c r="S364" s="2976"/>
      <c r="T364" s="2976"/>
      <c r="U364" s="2976"/>
      <c r="V364" s="2976"/>
      <c r="W364" s="2976"/>
      <c r="X364" s="2976"/>
      <c r="Y364" s="2976"/>
      <c r="Z364" s="2976"/>
      <c r="AA364" s="2976"/>
      <c r="AB364" s="2976"/>
      <c r="AC364" s="2976"/>
      <c r="AD364" s="2976"/>
      <c r="AE364" s="2976"/>
      <c r="AF364" s="2976"/>
    </row>
    <row r="365" spans="1:32">
      <c r="A365" s="2972">
        <v>364</v>
      </c>
      <c r="B365" s="2974" t="s">
        <v>3230</v>
      </c>
      <c r="C365" s="2973" t="s">
        <v>3226</v>
      </c>
      <c r="D365" s="2981" t="s">
        <v>3215</v>
      </c>
      <c r="E365" s="2974">
        <v>605</v>
      </c>
      <c r="F365" s="2980">
        <v>56.95</v>
      </c>
      <c r="G365" s="2979">
        <v>12.34</v>
      </c>
      <c r="H365" s="2979">
        <v>69.290000000000006</v>
      </c>
      <c r="I365" s="2979" t="s">
        <v>3055</v>
      </c>
      <c r="J365" s="2974" t="s">
        <v>3144</v>
      </c>
      <c r="L365" s="2976"/>
      <c r="M365" s="2976"/>
      <c r="N365" s="2976"/>
      <c r="O365" s="2976"/>
      <c r="P365" s="2976"/>
      <c r="Q365" s="2976"/>
      <c r="R365" s="2976"/>
      <c r="S365" s="2976"/>
      <c r="T365" s="2976"/>
      <c r="U365" s="2976"/>
      <c r="V365" s="2976"/>
      <c r="W365" s="2976"/>
      <c r="X365" s="2976"/>
      <c r="Y365" s="2976"/>
      <c r="Z365" s="2976"/>
      <c r="AA365" s="2976"/>
      <c r="AB365" s="2976"/>
      <c r="AC365" s="2976"/>
      <c r="AD365" s="2976"/>
      <c r="AE365" s="2976"/>
      <c r="AF365" s="2976"/>
    </row>
    <row r="366" spans="1:32">
      <c r="A366" s="2972">
        <v>365</v>
      </c>
      <c r="B366" s="2974" t="s">
        <v>3230</v>
      </c>
      <c r="C366" s="2973" t="s">
        <v>3226</v>
      </c>
      <c r="D366" s="2981" t="s">
        <v>3215</v>
      </c>
      <c r="E366" s="2974">
        <v>606</v>
      </c>
      <c r="F366" s="2980">
        <v>56.66</v>
      </c>
      <c r="G366" s="2979">
        <v>12.28</v>
      </c>
      <c r="H366" s="2979">
        <v>68.94</v>
      </c>
      <c r="I366" s="2979" t="s">
        <v>3055</v>
      </c>
      <c r="J366" s="2974" t="s">
        <v>3144</v>
      </c>
      <c r="L366" s="2976"/>
      <c r="M366" s="2976"/>
      <c r="N366" s="2976"/>
      <c r="O366" s="2976"/>
      <c r="P366" s="2976"/>
      <c r="Q366" s="2976"/>
      <c r="R366" s="2976"/>
      <c r="S366" s="2976"/>
      <c r="T366" s="2976"/>
      <c r="U366" s="2976"/>
      <c r="V366" s="2976"/>
      <c r="W366" s="2976"/>
      <c r="X366" s="2976"/>
      <c r="Y366" s="2976"/>
      <c r="Z366" s="2976"/>
      <c r="AA366" s="2976"/>
      <c r="AB366" s="2976"/>
      <c r="AC366" s="2976"/>
      <c r="AD366" s="2976"/>
      <c r="AE366" s="2976"/>
      <c r="AF366" s="2976"/>
    </row>
    <row r="367" spans="1:32">
      <c r="A367" s="2972">
        <v>366</v>
      </c>
      <c r="B367" s="2974" t="s">
        <v>3231</v>
      </c>
      <c r="C367" s="2973" t="s">
        <v>3221</v>
      </c>
      <c r="D367" s="2972" t="s">
        <v>3183</v>
      </c>
      <c r="E367" s="2974">
        <v>101</v>
      </c>
      <c r="F367" s="2980">
        <v>77.180000000000007</v>
      </c>
      <c r="G367" s="2979">
        <v>16.75</v>
      </c>
      <c r="H367" s="2979">
        <v>93.93</v>
      </c>
      <c r="I367" s="2979" t="s">
        <v>3055</v>
      </c>
      <c r="J367" s="2974" t="s">
        <v>3144</v>
      </c>
      <c r="L367" s="2976"/>
      <c r="M367" s="2976"/>
      <c r="N367" s="2976"/>
      <c r="O367" s="2976"/>
      <c r="P367" s="2976"/>
      <c r="Q367" s="2976"/>
      <c r="R367" s="2976"/>
      <c r="S367" s="2976"/>
      <c r="T367" s="2976"/>
      <c r="U367" s="2976"/>
      <c r="V367" s="2976"/>
      <c r="W367" s="2976"/>
      <c r="X367" s="2976"/>
      <c r="Y367" s="2976"/>
      <c r="Z367" s="2976"/>
      <c r="AA367" s="2976"/>
      <c r="AB367" s="2976"/>
      <c r="AC367" s="2976"/>
      <c r="AD367" s="2976"/>
      <c r="AE367" s="2976"/>
      <c r="AF367" s="2976"/>
    </row>
    <row r="368" spans="1:32">
      <c r="A368" s="2972">
        <v>367</v>
      </c>
      <c r="B368" s="2974" t="s">
        <v>3231</v>
      </c>
      <c r="C368" s="2973" t="s">
        <v>3221</v>
      </c>
      <c r="D368" s="2972" t="s">
        <v>3183</v>
      </c>
      <c r="E368" s="2974">
        <v>102</v>
      </c>
      <c r="F368" s="2980">
        <v>56.84</v>
      </c>
      <c r="G368" s="2979">
        <v>12.33</v>
      </c>
      <c r="H368" s="2979">
        <v>69.17</v>
      </c>
      <c r="I368" s="2979" t="s">
        <v>3055</v>
      </c>
      <c r="J368" s="2974" t="s">
        <v>3144</v>
      </c>
      <c r="L368" s="2976"/>
      <c r="M368" s="2976"/>
      <c r="N368" s="2976"/>
      <c r="O368" s="2976"/>
      <c r="P368" s="2976"/>
      <c r="Q368" s="2976"/>
      <c r="R368" s="2976"/>
      <c r="S368" s="2976"/>
      <c r="T368" s="2976"/>
      <c r="U368" s="2976"/>
      <c r="V368" s="2976"/>
      <c r="W368" s="2976"/>
      <c r="X368" s="2976"/>
      <c r="Y368" s="2976"/>
      <c r="Z368" s="2976"/>
      <c r="AA368" s="2976"/>
      <c r="AB368" s="2976"/>
      <c r="AC368" s="2976"/>
      <c r="AD368" s="2976"/>
      <c r="AE368" s="2976"/>
      <c r="AF368" s="2976"/>
    </row>
    <row r="369" spans="1:32">
      <c r="A369" s="2972">
        <v>368</v>
      </c>
      <c r="B369" s="2974" t="s">
        <v>3231</v>
      </c>
      <c r="C369" s="2973" t="s">
        <v>3221</v>
      </c>
      <c r="D369" s="2972" t="s">
        <v>3183</v>
      </c>
      <c r="E369" s="2974">
        <v>103</v>
      </c>
      <c r="F369" s="2980">
        <v>56.92</v>
      </c>
      <c r="G369" s="2979">
        <v>12.35</v>
      </c>
      <c r="H369" s="2979">
        <v>69.27</v>
      </c>
      <c r="I369" s="2979" t="s">
        <v>3055</v>
      </c>
      <c r="J369" s="2974" t="s">
        <v>3144</v>
      </c>
      <c r="L369" s="2976"/>
      <c r="M369" s="2976"/>
      <c r="N369" s="2976"/>
      <c r="O369" s="2976"/>
      <c r="P369" s="2976"/>
      <c r="Q369" s="2976"/>
      <c r="R369" s="2976"/>
      <c r="S369" s="2976"/>
      <c r="T369" s="2976"/>
      <c r="U369" s="2976"/>
      <c r="V369" s="2976"/>
      <c r="W369" s="2976"/>
      <c r="X369" s="2976"/>
      <c r="Y369" s="2976"/>
      <c r="Z369" s="2976"/>
      <c r="AA369" s="2976"/>
      <c r="AB369" s="2976"/>
      <c r="AC369" s="2976"/>
      <c r="AD369" s="2976"/>
      <c r="AE369" s="2976"/>
      <c r="AF369" s="2976"/>
    </row>
    <row r="370" spans="1:32">
      <c r="A370" s="2972">
        <v>369</v>
      </c>
      <c r="B370" s="2974" t="s">
        <v>3231</v>
      </c>
      <c r="C370" s="2973" t="s">
        <v>3221</v>
      </c>
      <c r="D370" s="2972" t="s">
        <v>3183</v>
      </c>
      <c r="E370" s="2974">
        <v>105</v>
      </c>
      <c r="F370" s="2980">
        <v>56.92</v>
      </c>
      <c r="G370" s="2979">
        <v>12.35</v>
      </c>
      <c r="H370" s="2979">
        <v>69.27</v>
      </c>
      <c r="I370" s="2979" t="s">
        <v>3055</v>
      </c>
      <c r="J370" s="2974" t="s">
        <v>3144</v>
      </c>
      <c r="L370" s="2976"/>
      <c r="M370" s="2976"/>
      <c r="N370" s="2976"/>
      <c r="O370" s="2976"/>
      <c r="P370" s="2976"/>
      <c r="Q370" s="2976"/>
      <c r="R370" s="2976"/>
      <c r="S370" s="2976"/>
      <c r="T370" s="2976"/>
      <c r="U370" s="2976"/>
      <c r="V370" s="2976"/>
      <c r="W370" s="2976"/>
      <c r="X370" s="2976"/>
      <c r="Y370" s="2976"/>
      <c r="Z370" s="2976"/>
      <c r="AA370" s="2976"/>
      <c r="AB370" s="2976"/>
      <c r="AC370" s="2976"/>
      <c r="AD370" s="2976"/>
      <c r="AE370" s="2976"/>
      <c r="AF370" s="2976"/>
    </row>
    <row r="371" spans="1:32">
      <c r="A371" s="2972">
        <v>370</v>
      </c>
      <c r="B371" s="2974" t="s">
        <v>3231</v>
      </c>
      <c r="C371" s="2973" t="s">
        <v>3221</v>
      </c>
      <c r="D371" s="2972" t="s">
        <v>3183</v>
      </c>
      <c r="E371" s="2974">
        <v>106</v>
      </c>
      <c r="F371" s="2980">
        <v>56.66</v>
      </c>
      <c r="G371" s="2979">
        <v>12.29</v>
      </c>
      <c r="H371" s="2979">
        <v>68.949999999999989</v>
      </c>
      <c r="I371" s="2979" t="s">
        <v>3055</v>
      </c>
      <c r="J371" s="2974" t="s">
        <v>3144</v>
      </c>
      <c r="L371" s="2976"/>
      <c r="M371" s="2976"/>
      <c r="N371" s="2976"/>
      <c r="O371" s="2976"/>
      <c r="P371" s="2976"/>
      <c r="Q371" s="2976"/>
      <c r="R371" s="2976"/>
      <c r="S371" s="2976"/>
      <c r="T371" s="2976"/>
      <c r="U371" s="2976"/>
      <c r="V371" s="2976"/>
      <c r="W371" s="2976"/>
      <c r="X371" s="2976"/>
      <c r="Y371" s="2976"/>
      <c r="Z371" s="2976"/>
      <c r="AA371" s="2976"/>
      <c r="AB371" s="2976"/>
      <c r="AC371" s="2976"/>
      <c r="AD371" s="2976"/>
      <c r="AE371" s="2976"/>
      <c r="AF371" s="2976"/>
    </row>
    <row r="372" spans="1:32">
      <c r="A372" s="2972">
        <v>371</v>
      </c>
      <c r="B372" s="2974" t="s">
        <v>3231</v>
      </c>
      <c r="C372" s="2973" t="s">
        <v>3221</v>
      </c>
      <c r="D372" s="2972" t="s">
        <v>3183</v>
      </c>
      <c r="E372" s="2974">
        <v>107</v>
      </c>
      <c r="F372" s="2980">
        <v>53.84</v>
      </c>
      <c r="G372" s="2979">
        <v>11.68</v>
      </c>
      <c r="H372" s="2979">
        <v>65.52000000000001</v>
      </c>
      <c r="I372" s="2979" t="s">
        <v>3055</v>
      </c>
      <c r="J372" s="2974" t="s">
        <v>3143</v>
      </c>
      <c r="L372" s="2976"/>
      <c r="M372" s="2976"/>
      <c r="N372" s="2976"/>
      <c r="O372" s="2976"/>
      <c r="P372" s="2976"/>
      <c r="Q372" s="2976"/>
      <c r="R372" s="2976"/>
      <c r="S372" s="2976"/>
      <c r="T372" s="2976"/>
      <c r="U372" s="2976"/>
      <c r="V372" s="2976"/>
      <c r="W372" s="2976"/>
      <c r="X372" s="2976"/>
      <c r="Y372" s="2976"/>
      <c r="Z372" s="2976"/>
      <c r="AA372" s="2976"/>
      <c r="AB372" s="2976"/>
      <c r="AC372" s="2976"/>
      <c r="AD372" s="2976"/>
      <c r="AE372" s="2976"/>
      <c r="AF372" s="2976"/>
    </row>
    <row r="373" spans="1:32">
      <c r="A373" s="2972">
        <v>372</v>
      </c>
      <c r="B373" s="2974" t="s">
        <v>3231</v>
      </c>
      <c r="C373" s="2973" t="s">
        <v>3223</v>
      </c>
      <c r="D373" s="2972" t="s">
        <v>3183</v>
      </c>
      <c r="E373" s="2974">
        <v>307</v>
      </c>
      <c r="F373" s="2980">
        <v>53.84</v>
      </c>
      <c r="G373" s="2979">
        <v>11.68</v>
      </c>
      <c r="H373" s="2979">
        <v>65.52000000000001</v>
      </c>
      <c r="I373" s="2979" t="s">
        <v>3055</v>
      </c>
      <c r="J373" s="2974" t="s">
        <v>3143</v>
      </c>
      <c r="L373" s="2976"/>
      <c r="M373" s="2976"/>
      <c r="N373" s="2976"/>
      <c r="O373" s="2976"/>
      <c r="P373" s="2976"/>
      <c r="Q373" s="2976"/>
      <c r="R373" s="2976"/>
      <c r="S373" s="2976"/>
      <c r="T373" s="2976"/>
      <c r="U373" s="2976"/>
      <c r="V373" s="2976"/>
      <c r="W373" s="2976"/>
      <c r="X373" s="2976"/>
      <c r="Y373" s="2976"/>
      <c r="Z373" s="2976"/>
      <c r="AA373" s="2976"/>
      <c r="AB373" s="2976"/>
      <c r="AC373" s="2976"/>
      <c r="AD373" s="2976"/>
      <c r="AE373" s="2976"/>
      <c r="AF373" s="2976"/>
    </row>
    <row r="374" spans="1:32">
      <c r="A374" s="2972">
        <v>373</v>
      </c>
      <c r="B374" s="2974" t="s">
        <v>3231</v>
      </c>
      <c r="C374" s="2973" t="s">
        <v>3224</v>
      </c>
      <c r="D374" s="2972" t="s">
        <v>3183</v>
      </c>
      <c r="E374" s="2974" t="s">
        <v>3150</v>
      </c>
      <c r="F374" s="2980">
        <v>53.84</v>
      </c>
      <c r="G374" s="2979">
        <v>11.68</v>
      </c>
      <c r="H374" s="2979">
        <v>65.52000000000001</v>
      </c>
      <c r="I374" s="2979" t="s">
        <v>3055</v>
      </c>
      <c r="J374" s="2974" t="s">
        <v>3143</v>
      </c>
      <c r="L374" s="2976"/>
      <c r="M374" s="2976"/>
      <c r="N374" s="2976"/>
      <c r="O374" s="2976"/>
      <c r="P374" s="2976"/>
      <c r="Q374" s="2976"/>
      <c r="R374" s="2976"/>
      <c r="S374" s="2976"/>
      <c r="T374" s="2976"/>
      <c r="U374" s="2976"/>
      <c r="V374" s="2976"/>
      <c r="W374" s="2976"/>
      <c r="X374" s="2976"/>
      <c r="Y374" s="2976"/>
      <c r="Z374" s="2976"/>
      <c r="AA374" s="2976"/>
      <c r="AB374" s="2976"/>
      <c r="AC374" s="2976"/>
      <c r="AD374" s="2976"/>
      <c r="AE374" s="2976"/>
      <c r="AF374" s="2976"/>
    </row>
    <row r="375" spans="1:32">
      <c r="A375" s="2972">
        <v>374</v>
      </c>
      <c r="B375" s="2974" t="s">
        <v>3231</v>
      </c>
      <c r="C375" s="2973" t="s">
        <v>3226</v>
      </c>
      <c r="D375" s="2972" t="s">
        <v>3183</v>
      </c>
      <c r="E375" s="2974">
        <v>602</v>
      </c>
      <c r="F375" s="2980">
        <v>56.66</v>
      </c>
      <c r="G375" s="2979">
        <v>12.29</v>
      </c>
      <c r="H375" s="2979">
        <v>68.949999999999989</v>
      </c>
      <c r="I375" s="2979" t="s">
        <v>3055</v>
      </c>
      <c r="J375" s="2974" t="s">
        <v>3144</v>
      </c>
      <c r="L375" s="2976"/>
      <c r="M375" s="2976"/>
      <c r="N375" s="2976"/>
      <c r="O375" s="2976"/>
      <c r="P375" s="2976"/>
      <c r="Q375" s="2976"/>
      <c r="R375" s="2976"/>
      <c r="S375" s="2976"/>
      <c r="T375" s="2976"/>
      <c r="U375" s="2976"/>
      <c r="V375" s="2976"/>
      <c r="W375" s="2976"/>
      <c r="X375" s="2976"/>
      <c r="Y375" s="2976"/>
      <c r="Z375" s="2976"/>
      <c r="AA375" s="2976"/>
      <c r="AB375" s="2976"/>
      <c r="AC375" s="2976"/>
      <c r="AD375" s="2976"/>
      <c r="AE375" s="2976"/>
      <c r="AF375" s="2976"/>
    </row>
    <row r="376" spans="1:32">
      <c r="A376" s="2972">
        <v>375</v>
      </c>
      <c r="B376" s="2974" t="s">
        <v>3231</v>
      </c>
      <c r="C376" s="2973" t="s">
        <v>3226</v>
      </c>
      <c r="D376" s="2972" t="s">
        <v>3183</v>
      </c>
      <c r="E376" s="2974">
        <v>603</v>
      </c>
      <c r="F376" s="2980">
        <v>56.74</v>
      </c>
      <c r="G376" s="2979">
        <v>12.31</v>
      </c>
      <c r="H376" s="2979">
        <v>69.05</v>
      </c>
      <c r="I376" s="2979" t="s">
        <v>3055</v>
      </c>
      <c r="J376" s="2974" t="s">
        <v>3144</v>
      </c>
      <c r="L376" s="2976"/>
      <c r="M376" s="2976"/>
      <c r="N376" s="2976"/>
      <c r="O376" s="2976"/>
      <c r="P376" s="2976"/>
      <c r="Q376" s="2976"/>
      <c r="R376" s="2976"/>
      <c r="S376" s="2976"/>
      <c r="T376" s="2976"/>
      <c r="U376" s="2976"/>
      <c r="V376" s="2976"/>
      <c r="W376" s="2976"/>
      <c r="X376" s="2976"/>
      <c r="Y376" s="2976"/>
      <c r="Z376" s="2976"/>
      <c r="AA376" s="2976"/>
      <c r="AB376" s="2976"/>
      <c r="AC376" s="2976"/>
      <c r="AD376" s="2976"/>
      <c r="AE376" s="2976"/>
      <c r="AF376" s="2976"/>
    </row>
    <row r="377" spans="1:32">
      <c r="A377" s="2972">
        <v>376</v>
      </c>
      <c r="B377" s="2974" t="s">
        <v>3231</v>
      </c>
      <c r="C377" s="2973" t="s">
        <v>3226</v>
      </c>
      <c r="D377" s="2972" t="s">
        <v>3183</v>
      </c>
      <c r="E377" s="2974">
        <v>605</v>
      </c>
      <c r="F377" s="2980">
        <v>56.74</v>
      </c>
      <c r="G377" s="2979">
        <v>12.31</v>
      </c>
      <c r="H377" s="2979">
        <v>69.05</v>
      </c>
      <c r="I377" s="2979" t="s">
        <v>3055</v>
      </c>
      <c r="J377" s="2974" t="s">
        <v>3144</v>
      </c>
      <c r="L377" s="2976"/>
      <c r="M377" s="2976"/>
      <c r="N377" s="2976"/>
      <c r="O377" s="2976"/>
      <c r="P377" s="2976"/>
      <c r="Q377" s="2976"/>
      <c r="R377" s="2976"/>
      <c r="S377" s="2976"/>
      <c r="T377" s="2976"/>
      <c r="U377" s="2976"/>
      <c r="V377" s="2976"/>
      <c r="W377" s="2976"/>
      <c r="X377" s="2976"/>
      <c r="Y377" s="2976"/>
      <c r="Z377" s="2976"/>
      <c r="AA377" s="2976"/>
      <c r="AB377" s="2976"/>
      <c r="AC377" s="2976"/>
      <c r="AD377" s="2976"/>
      <c r="AE377" s="2976"/>
      <c r="AF377" s="2976"/>
    </row>
    <row r="378" spans="1:32">
      <c r="A378" s="2972">
        <v>377</v>
      </c>
      <c r="B378" s="2974" t="s">
        <v>3231</v>
      </c>
      <c r="C378" s="2973" t="s">
        <v>3226</v>
      </c>
      <c r="D378" s="2972" t="s">
        <v>3183</v>
      </c>
      <c r="E378" s="2974">
        <v>606</v>
      </c>
      <c r="F378" s="2980">
        <v>56.66</v>
      </c>
      <c r="G378" s="2979">
        <v>12.29</v>
      </c>
      <c r="H378" s="2979">
        <v>68.949999999999989</v>
      </c>
      <c r="I378" s="2979" t="s">
        <v>3055</v>
      </c>
      <c r="J378" s="2974" t="s">
        <v>3144</v>
      </c>
      <c r="L378" s="2976"/>
      <c r="M378" s="2976"/>
      <c r="N378" s="2976"/>
      <c r="O378" s="2976"/>
      <c r="P378" s="2976"/>
      <c r="Q378" s="2976"/>
      <c r="R378" s="2976"/>
      <c r="S378" s="2976"/>
      <c r="T378" s="2976"/>
      <c r="U378" s="2976"/>
      <c r="V378" s="2976"/>
      <c r="W378" s="2976"/>
      <c r="X378" s="2976"/>
      <c r="Y378" s="2976"/>
      <c r="Z378" s="2976"/>
      <c r="AA378" s="2976"/>
      <c r="AB378" s="2976"/>
      <c r="AC378" s="2976"/>
      <c r="AD378" s="2976"/>
      <c r="AE378" s="2976"/>
      <c r="AF378" s="2976"/>
    </row>
    <row r="379" spans="1:32">
      <c r="A379" s="2972">
        <v>378</v>
      </c>
      <c r="B379" s="2974" t="s">
        <v>3232</v>
      </c>
      <c r="C379" s="2973" t="s">
        <v>3221</v>
      </c>
      <c r="D379" s="2972" t="s">
        <v>3183</v>
      </c>
      <c r="E379" s="2974">
        <v>101</v>
      </c>
      <c r="F379" s="2980">
        <v>77.180000000000007</v>
      </c>
      <c r="G379" s="2979">
        <v>17.45</v>
      </c>
      <c r="H379" s="2979">
        <v>94.63000000000001</v>
      </c>
      <c r="I379" s="2979" t="s">
        <v>3055</v>
      </c>
      <c r="J379" s="2974" t="s">
        <v>3144</v>
      </c>
      <c r="L379" s="2976"/>
      <c r="M379" s="2976"/>
      <c r="N379" s="2976"/>
      <c r="O379" s="2976"/>
      <c r="P379" s="2976"/>
      <c r="Q379" s="2976"/>
      <c r="R379" s="2976"/>
      <c r="S379" s="2976"/>
      <c r="T379" s="2976"/>
      <c r="U379" s="2976"/>
      <c r="V379" s="2976"/>
      <c r="W379" s="2976"/>
      <c r="X379" s="2976"/>
      <c r="Y379" s="2976"/>
      <c r="Z379" s="2976"/>
      <c r="AA379" s="2976"/>
      <c r="AB379" s="2976"/>
      <c r="AC379" s="2976"/>
      <c r="AD379" s="2976"/>
      <c r="AE379" s="2976"/>
      <c r="AF379" s="2976"/>
    </row>
    <row r="380" spans="1:32">
      <c r="A380" s="2972">
        <v>379</v>
      </c>
      <c r="B380" s="2974" t="s">
        <v>3232</v>
      </c>
      <c r="C380" s="2973" t="s">
        <v>3221</v>
      </c>
      <c r="D380" s="2972" t="s">
        <v>3183</v>
      </c>
      <c r="E380" s="2974">
        <v>102</v>
      </c>
      <c r="F380" s="2980">
        <v>56.66</v>
      </c>
      <c r="G380" s="2979">
        <v>12.81</v>
      </c>
      <c r="H380" s="2979">
        <v>69.47</v>
      </c>
      <c r="I380" s="2979" t="s">
        <v>3055</v>
      </c>
      <c r="J380" s="2974" t="s">
        <v>3144</v>
      </c>
      <c r="L380" s="2976"/>
      <c r="M380" s="2976"/>
      <c r="N380" s="2976"/>
      <c r="O380" s="2976"/>
      <c r="P380" s="2976"/>
      <c r="Q380" s="2976"/>
      <c r="R380" s="2976"/>
      <c r="S380" s="2976"/>
      <c r="T380" s="2976"/>
      <c r="U380" s="2976"/>
      <c r="V380" s="2976"/>
      <c r="W380" s="2976"/>
      <c r="X380" s="2976"/>
      <c r="Y380" s="2976"/>
      <c r="Z380" s="2976"/>
      <c r="AA380" s="2976"/>
      <c r="AB380" s="2976"/>
      <c r="AC380" s="2976"/>
      <c r="AD380" s="2976"/>
      <c r="AE380" s="2976"/>
      <c r="AF380" s="2976"/>
    </row>
    <row r="381" spans="1:32">
      <c r="A381" s="2972">
        <v>380</v>
      </c>
      <c r="B381" s="2974" t="s">
        <v>3232</v>
      </c>
      <c r="C381" s="2973" t="s">
        <v>3221</v>
      </c>
      <c r="D381" s="2972" t="s">
        <v>3183</v>
      </c>
      <c r="E381" s="2974">
        <v>103</v>
      </c>
      <c r="F381" s="2980">
        <v>56.74</v>
      </c>
      <c r="G381" s="2979">
        <v>12.83</v>
      </c>
      <c r="H381" s="2979">
        <v>69.570000000000007</v>
      </c>
      <c r="I381" s="2979" t="s">
        <v>3055</v>
      </c>
      <c r="J381" s="2974" t="s">
        <v>3144</v>
      </c>
      <c r="L381" s="2976"/>
      <c r="M381" s="2976"/>
      <c r="N381" s="2976"/>
      <c r="O381" s="2976"/>
      <c r="P381" s="2976"/>
      <c r="Q381" s="2976"/>
      <c r="R381" s="2976"/>
      <c r="S381" s="2976"/>
      <c r="T381" s="2976"/>
      <c r="U381" s="2976"/>
      <c r="V381" s="2976"/>
      <c r="W381" s="2976"/>
      <c r="X381" s="2976"/>
      <c r="Y381" s="2976"/>
      <c r="Z381" s="2976"/>
      <c r="AA381" s="2976"/>
      <c r="AB381" s="2976"/>
      <c r="AC381" s="2976"/>
      <c r="AD381" s="2976"/>
      <c r="AE381" s="2976"/>
      <c r="AF381" s="2976"/>
    </row>
    <row r="382" spans="1:32">
      <c r="A382" s="2972">
        <v>381</v>
      </c>
      <c r="B382" s="2974" t="s">
        <v>3232</v>
      </c>
      <c r="C382" s="2973" t="s">
        <v>3221</v>
      </c>
      <c r="D382" s="2972" t="s">
        <v>3183</v>
      </c>
      <c r="E382" s="2974">
        <v>105</v>
      </c>
      <c r="F382" s="2980">
        <v>56.66</v>
      </c>
      <c r="G382" s="2979">
        <v>12.81</v>
      </c>
      <c r="H382" s="2979">
        <v>69.47</v>
      </c>
      <c r="I382" s="2979" t="s">
        <v>3055</v>
      </c>
      <c r="J382" s="2974" t="s">
        <v>3144</v>
      </c>
      <c r="L382" s="2976"/>
      <c r="M382" s="2976"/>
      <c r="N382" s="2976"/>
      <c r="O382" s="2976"/>
      <c r="P382" s="2976"/>
      <c r="Q382" s="2976"/>
      <c r="R382" s="2976"/>
      <c r="S382" s="2976"/>
      <c r="T382" s="2976"/>
      <c r="U382" s="2976"/>
      <c r="V382" s="2976"/>
      <c r="W382" s="2976"/>
      <c r="X382" s="2976"/>
      <c r="Y382" s="2976"/>
      <c r="Z382" s="2976"/>
      <c r="AA382" s="2976"/>
      <c r="AB382" s="2976"/>
      <c r="AC382" s="2976"/>
      <c r="AD382" s="2976"/>
      <c r="AE382" s="2976"/>
      <c r="AF382" s="2976"/>
    </row>
    <row r="383" spans="1:32">
      <c r="A383" s="2972">
        <v>382</v>
      </c>
      <c r="B383" s="2974" t="s">
        <v>3232</v>
      </c>
      <c r="C383" s="2973" t="s">
        <v>3221</v>
      </c>
      <c r="D383" s="2972" t="s">
        <v>3183</v>
      </c>
      <c r="E383" s="2974">
        <v>106</v>
      </c>
      <c r="F383" s="2980">
        <v>53.84</v>
      </c>
      <c r="G383" s="2979">
        <v>12.17</v>
      </c>
      <c r="H383" s="2979">
        <v>66.010000000000005</v>
      </c>
      <c r="I383" s="2979" t="s">
        <v>3055</v>
      </c>
      <c r="J383" s="2974" t="s">
        <v>3143</v>
      </c>
      <c r="L383" s="2976"/>
      <c r="M383" s="2976"/>
      <c r="N383" s="2976"/>
      <c r="O383" s="2976"/>
      <c r="P383" s="2976"/>
      <c r="Q383" s="2976"/>
      <c r="R383" s="2976"/>
      <c r="S383" s="2976"/>
      <c r="T383" s="2976"/>
      <c r="U383" s="2976"/>
      <c r="V383" s="2976"/>
      <c r="W383" s="2976"/>
      <c r="X383" s="2976"/>
      <c r="Y383" s="2976"/>
      <c r="Z383" s="2976"/>
      <c r="AA383" s="2976"/>
      <c r="AB383" s="2976"/>
      <c r="AC383" s="2976"/>
      <c r="AD383" s="2976"/>
      <c r="AE383" s="2976"/>
      <c r="AF383" s="2976"/>
    </row>
    <row r="384" spans="1:32">
      <c r="A384" s="2972">
        <v>383</v>
      </c>
      <c r="B384" s="2974" t="s">
        <v>3232</v>
      </c>
      <c r="C384" s="2973" t="s">
        <v>3222</v>
      </c>
      <c r="D384" s="2972" t="s">
        <v>3183</v>
      </c>
      <c r="E384" s="2974">
        <v>201</v>
      </c>
      <c r="F384" s="2980">
        <v>77.180000000000007</v>
      </c>
      <c r="G384" s="2979">
        <v>17.45</v>
      </c>
      <c r="H384" s="2979">
        <v>94.63000000000001</v>
      </c>
      <c r="I384" s="2979" t="s">
        <v>3055</v>
      </c>
      <c r="J384" s="2974" t="s">
        <v>3144</v>
      </c>
      <c r="L384" s="2976"/>
      <c r="M384" s="2976"/>
      <c r="N384" s="2976"/>
      <c r="O384" s="2976"/>
      <c r="P384" s="2976"/>
      <c r="Q384" s="2976"/>
      <c r="R384" s="2976"/>
      <c r="S384" s="2976"/>
      <c r="T384" s="2976"/>
      <c r="U384" s="2976"/>
      <c r="V384" s="2976"/>
      <c r="W384" s="2976"/>
      <c r="X384" s="2976"/>
      <c r="Y384" s="2976"/>
      <c r="Z384" s="2976"/>
      <c r="AA384" s="2976"/>
      <c r="AB384" s="2976"/>
      <c r="AC384" s="2976"/>
      <c r="AD384" s="2976"/>
      <c r="AE384" s="2976"/>
      <c r="AF384" s="2976"/>
    </row>
    <row r="385" spans="1:32">
      <c r="A385" s="2972">
        <v>384</v>
      </c>
      <c r="B385" s="2974" t="s">
        <v>3232</v>
      </c>
      <c r="C385" s="2973" t="s">
        <v>3222</v>
      </c>
      <c r="D385" s="2972" t="s">
        <v>3183</v>
      </c>
      <c r="E385" s="2974">
        <v>202</v>
      </c>
      <c r="F385" s="2980">
        <v>56.66</v>
      </c>
      <c r="G385" s="2979">
        <v>12.81</v>
      </c>
      <c r="H385" s="2979">
        <v>69.47</v>
      </c>
      <c r="I385" s="2979" t="s">
        <v>3055</v>
      </c>
      <c r="J385" s="2974" t="s">
        <v>3144</v>
      </c>
      <c r="L385" s="2976"/>
      <c r="M385" s="2976"/>
      <c r="N385" s="2976"/>
      <c r="O385" s="2976"/>
      <c r="P385" s="2976"/>
      <c r="Q385" s="2976"/>
      <c r="R385" s="2976"/>
      <c r="S385" s="2976"/>
      <c r="T385" s="2976"/>
      <c r="U385" s="2976"/>
      <c r="V385" s="2976"/>
      <c r="W385" s="2976"/>
      <c r="X385" s="2976"/>
      <c r="Y385" s="2976"/>
      <c r="Z385" s="2976"/>
      <c r="AA385" s="2976"/>
      <c r="AB385" s="2976"/>
      <c r="AC385" s="2976"/>
      <c r="AD385" s="2976"/>
      <c r="AE385" s="2976"/>
      <c r="AF385" s="2976"/>
    </row>
    <row r="386" spans="1:32">
      <c r="A386" s="2972">
        <v>385</v>
      </c>
      <c r="B386" s="2974" t="s">
        <v>3232</v>
      </c>
      <c r="C386" s="2973" t="s">
        <v>3222</v>
      </c>
      <c r="D386" s="2972" t="s">
        <v>3183</v>
      </c>
      <c r="E386" s="2974">
        <v>203</v>
      </c>
      <c r="F386" s="2980">
        <v>56.74</v>
      </c>
      <c r="G386" s="2979">
        <v>12.83</v>
      </c>
      <c r="H386" s="2979">
        <v>69.570000000000007</v>
      </c>
      <c r="I386" s="2979" t="s">
        <v>3055</v>
      </c>
      <c r="J386" s="2974" t="s">
        <v>3144</v>
      </c>
      <c r="L386" s="2976"/>
      <c r="M386" s="2976"/>
      <c r="N386" s="2976"/>
      <c r="O386" s="2976"/>
      <c r="P386" s="2976"/>
      <c r="Q386" s="2976"/>
      <c r="R386" s="2976"/>
      <c r="S386" s="2976"/>
      <c r="T386" s="2976"/>
      <c r="U386" s="2976"/>
      <c r="V386" s="2976"/>
      <c r="W386" s="2976"/>
      <c r="X386" s="2976"/>
      <c r="Y386" s="2976"/>
      <c r="Z386" s="2976"/>
      <c r="AA386" s="2976"/>
      <c r="AB386" s="2976"/>
      <c r="AC386" s="2976"/>
      <c r="AD386" s="2976"/>
      <c r="AE386" s="2976"/>
      <c r="AF386" s="2976"/>
    </row>
    <row r="387" spans="1:32">
      <c r="A387" s="2972">
        <v>386</v>
      </c>
      <c r="B387" s="2974" t="s">
        <v>3232</v>
      </c>
      <c r="C387" s="2973" t="s">
        <v>3222</v>
      </c>
      <c r="D387" s="2972" t="s">
        <v>3183</v>
      </c>
      <c r="E387" s="2974">
        <v>205</v>
      </c>
      <c r="F387" s="2980">
        <v>56.74</v>
      </c>
      <c r="G387" s="2979">
        <v>12.83</v>
      </c>
      <c r="H387" s="2979">
        <v>69.570000000000007</v>
      </c>
      <c r="I387" s="2979" t="s">
        <v>3055</v>
      </c>
      <c r="J387" s="2974" t="s">
        <v>3144</v>
      </c>
      <c r="L387" s="2976"/>
      <c r="M387" s="2976"/>
      <c r="N387" s="2976"/>
      <c r="O387" s="2976"/>
      <c r="P387" s="2976"/>
      <c r="Q387" s="2976"/>
      <c r="R387" s="2976"/>
      <c r="S387" s="2976"/>
      <c r="T387" s="2976"/>
      <c r="U387" s="2976"/>
      <c r="V387" s="2976"/>
      <c r="W387" s="2976"/>
      <c r="X387" s="2976"/>
      <c r="Y387" s="2976"/>
      <c r="Z387" s="2976"/>
      <c r="AA387" s="2976"/>
      <c r="AB387" s="2976"/>
      <c r="AC387" s="2976"/>
      <c r="AD387" s="2976"/>
      <c r="AE387" s="2976"/>
      <c r="AF387" s="2976"/>
    </row>
    <row r="388" spans="1:32">
      <c r="A388" s="2972">
        <v>387</v>
      </c>
      <c r="B388" s="2974" t="s">
        <v>3232</v>
      </c>
      <c r="C388" s="2973" t="s">
        <v>3222</v>
      </c>
      <c r="D388" s="2972" t="s">
        <v>3183</v>
      </c>
      <c r="E388" s="2974">
        <v>206</v>
      </c>
      <c r="F388" s="2980">
        <v>56.66</v>
      </c>
      <c r="G388" s="2979">
        <v>12.81</v>
      </c>
      <c r="H388" s="2979">
        <v>69.47</v>
      </c>
      <c r="I388" s="2979" t="s">
        <v>3055</v>
      </c>
      <c r="J388" s="2974" t="s">
        <v>3144</v>
      </c>
      <c r="L388" s="2976"/>
      <c r="M388" s="2976"/>
      <c r="N388" s="2976"/>
      <c r="O388" s="2976"/>
      <c r="P388" s="2976"/>
      <c r="Q388" s="2976"/>
      <c r="R388" s="2976"/>
      <c r="S388" s="2976"/>
      <c r="T388" s="2976"/>
      <c r="U388" s="2976"/>
      <c r="V388" s="2976"/>
      <c r="W388" s="2976"/>
      <c r="X388" s="2976"/>
      <c r="Y388" s="2976"/>
      <c r="Z388" s="2976"/>
      <c r="AA388" s="2976"/>
      <c r="AB388" s="2976"/>
      <c r="AC388" s="2976"/>
      <c r="AD388" s="2976"/>
      <c r="AE388" s="2976"/>
      <c r="AF388" s="2976"/>
    </row>
    <row r="389" spans="1:32">
      <c r="A389" s="2972">
        <v>388</v>
      </c>
      <c r="B389" s="2974" t="s">
        <v>3232</v>
      </c>
      <c r="C389" s="2973" t="s">
        <v>3222</v>
      </c>
      <c r="D389" s="2972" t="s">
        <v>3183</v>
      </c>
      <c r="E389" s="2974">
        <v>207</v>
      </c>
      <c r="F389" s="2980">
        <v>53.84</v>
      </c>
      <c r="G389" s="2979">
        <v>12.17</v>
      </c>
      <c r="H389" s="2979">
        <v>66.010000000000005</v>
      </c>
      <c r="I389" s="2979" t="s">
        <v>3055</v>
      </c>
      <c r="J389" s="2974" t="s">
        <v>3143</v>
      </c>
      <c r="L389" s="2976"/>
      <c r="M389" s="2976"/>
      <c r="N389" s="2976"/>
      <c r="O389" s="2976"/>
      <c r="P389" s="2976"/>
      <c r="Q389" s="2976"/>
      <c r="R389" s="2976"/>
      <c r="S389" s="2976"/>
      <c r="T389" s="2976"/>
      <c r="U389" s="2976"/>
      <c r="V389" s="2976"/>
      <c r="W389" s="2976"/>
      <c r="X389" s="2976"/>
      <c r="Y389" s="2976"/>
      <c r="Z389" s="2976"/>
      <c r="AA389" s="2976"/>
      <c r="AB389" s="2976"/>
      <c r="AC389" s="2976"/>
      <c r="AD389" s="2976"/>
      <c r="AE389" s="2976"/>
      <c r="AF389" s="2976"/>
    </row>
    <row r="390" spans="1:32">
      <c r="A390" s="2972">
        <v>389</v>
      </c>
      <c r="B390" s="2974" t="s">
        <v>3232</v>
      </c>
      <c r="C390" s="2973" t="s">
        <v>3223</v>
      </c>
      <c r="D390" s="2972" t="s">
        <v>3183</v>
      </c>
      <c r="E390" s="2974">
        <v>301</v>
      </c>
      <c r="F390" s="2980">
        <v>77.180000000000007</v>
      </c>
      <c r="G390" s="2979">
        <v>17.45</v>
      </c>
      <c r="H390" s="2979">
        <v>94.63000000000001</v>
      </c>
      <c r="I390" s="2979" t="s">
        <v>3055</v>
      </c>
      <c r="J390" s="2974" t="s">
        <v>3144</v>
      </c>
      <c r="L390" s="2976"/>
      <c r="M390" s="2976"/>
      <c r="N390" s="2976"/>
      <c r="O390" s="2976"/>
      <c r="P390" s="2976"/>
      <c r="Q390" s="2976"/>
      <c r="R390" s="2976"/>
      <c r="S390" s="2976"/>
      <c r="T390" s="2976"/>
      <c r="U390" s="2976"/>
      <c r="V390" s="2976"/>
      <c r="W390" s="2976"/>
      <c r="X390" s="2976"/>
      <c r="Y390" s="2976"/>
      <c r="Z390" s="2976"/>
      <c r="AA390" s="2976"/>
      <c r="AB390" s="2976"/>
      <c r="AC390" s="2976"/>
      <c r="AD390" s="2976"/>
      <c r="AE390" s="2976"/>
      <c r="AF390" s="2976"/>
    </row>
    <row r="391" spans="1:32">
      <c r="A391" s="2972">
        <v>390</v>
      </c>
      <c r="B391" s="2974" t="s">
        <v>3232</v>
      </c>
      <c r="C391" s="2973" t="s">
        <v>3223</v>
      </c>
      <c r="D391" s="2972" t="s">
        <v>3183</v>
      </c>
      <c r="E391" s="2974">
        <v>303</v>
      </c>
      <c r="F391" s="2980">
        <v>56.74</v>
      </c>
      <c r="G391" s="2979">
        <v>12.83</v>
      </c>
      <c r="H391" s="2979">
        <v>69.570000000000007</v>
      </c>
      <c r="I391" s="2979" t="s">
        <v>3055</v>
      </c>
      <c r="J391" s="2974" t="s">
        <v>3144</v>
      </c>
      <c r="L391" s="2976"/>
      <c r="M391" s="2976"/>
      <c r="N391" s="2976"/>
      <c r="O391" s="2976"/>
      <c r="P391" s="2976"/>
      <c r="Q391" s="2976"/>
      <c r="R391" s="2976"/>
      <c r="S391" s="2976"/>
      <c r="T391" s="2976"/>
      <c r="U391" s="2976"/>
      <c r="V391" s="2976"/>
      <c r="W391" s="2976"/>
      <c r="X391" s="2976"/>
      <c r="Y391" s="2976"/>
      <c r="Z391" s="2976"/>
      <c r="AA391" s="2976"/>
      <c r="AB391" s="2976"/>
      <c r="AC391" s="2976"/>
      <c r="AD391" s="2976"/>
      <c r="AE391" s="2976"/>
      <c r="AF391" s="2976"/>
    </row>
    <row r="392" spans="1:32">
      <c r="A392" s="2972">
        <v>391</v>
      </c>
      <c r="B392" s="2974" t="s">
        <v>3232</v>
      </c>
      <c r="C392" s="2973" t="s">
        <v>3223</v>
      </c>
      <c r="D392" s="2972" t="s">
        <v>3183</v>
      </c>
      <c r="E392" s="2974">
        <v>305</v>
      </c>
      <c r="F392" s="2980">
        <v>56.74</v>
      </c>
      <c r="G392" s="2979">
        <v>12.83</v>
      </c>
      <c r="H392" s="2979">
        <v>69.570000000000007</v>
      </c>
      <c r="I392" s="2979" t="s">
        <v>3055</v>
      </c>
      <c r="J392" s="2974" t="s">
        <v>3144</v>
      </c>
      <c r="L392" s="2976"/>
      <c r="M392" s="2976"/>
      <c r="N392" s="2976"/>
      <c r="O392" s="2976"/>
      <c r="P392" s="2976"/>
      <c r="Q392" s="2976"/>
      <c r="R392" s="2976"/>
      <c r="S392" s="2976"/>
      <c r="T392" s="2976"/>
      <c r="U392" s="2976"/>
      <c r="V392" s="2976"/>
      <c r="W392" s="2976"/>
      <c r="X392" s="2976"/>
      <c r="Y392" s="2976"/>
      <c r="Z392" s="2976"/>
      <c r="AA392" s="2976"/>
      <c r="AB392" s="2976"/>
      <c r="AC392" s="2976"/>
      <c r="AD392" s="2976"/>
      <c r="AE392" s="2976"/>
      <c r="AF392" s="2976"/>
    </row>
    <row r="393" spans="1:32">
      <c r="A393" s="2972">
        <v>392</v>
      </c>
      <c r="B393" s="2974" t="s">
        <v>3232</v>
      </c>
      <c r="C393" s="2973" t="s">
        <v>3223</v>
      </c>
      <c r="D393" s="2972" t="s">
        <v>3183</v>
      </c>
      <c r="E393" s="2974">
        <v>306</v>
      </c>
      <c r="F393" s="2980">
        <v>56.66</v>
      </c>
      <c r="G393" s="2979">
        <v>12.81</v>
      </c>
      <c r="H393" s="2979">
        <v>69.47</v>
      </c>
      <c r="I393" s="2979" t="s">
        <v>3055</v>
      </c>
      <c r="J393" s="2974" t="s">
        <v>3144</v>
      </c>
      <c r="L393" s="2976"/>
      <c r="M393" s="2976"/>
      <c r="N393" s="2976"/>
      <c r="O393" s="2976"/>
      <c r="P393" s="2976"/>
      <c r="Q393" s="2976"/>
      <c r="R393" s="2976"/>
      <c r="S393" s="2976"/>
      <c r="T393" s="2976"/>
      <c r="U393" s="2976"/>
      <c r="V393" s="2976"/>
      <c r="W393" s="2976"/>
      <c r="X393" s="2976"/>
      <c r="Y393" s="2976"/>
      <c r="Z393" s="2976"/>
      <c r="AA393" s="2976"/>
      <c r="AB393" s="2976"/>
      <c r="AC393" s="2976"/>
      <c r="AD393" s="2976"/>
      <c r="AE393" s="2976"/>
      <c r="AF393" s="2976"/>
    </row>
    <row r="394" spans="1:32">
      <c r="A394" s="2972">
        <v>393</v>
      </c>
      <c r="B394" s="2974" t="s">
        <v>3232</v>
      </c>
      <c r="C394" s="2973" t="s">
        <v>3223</v>
      </c>
      <c r="D394" s="2972" t="s">
        <v>3183</v>
      </c>
      <c r="E394" s="2974">
        <v>307</v>
      </c>
      <c r="F394" s="2980">
        <v>53.84</v>
      </c>
      <c r="G394" s="2979">
        <v>12.17</v>
      </c>
      <c r="H394" s="2979">
        <v>66.010000000000005</v>
      </c>
      <c r="I394" s="2979" t="s">
        <v>3055</v>
      </c>
      <c r="J394" s="2974" t="s">
        <v>3143</v>
      </c>
      <c r="L394" s="2976"/>
      <c r="M394" s="2976"/>
      <c r="N394" s="2976"/>
      <c r="O394" s="2976"/>
      <c r="P394" s="2976"/>
      <c r="Q394" s="2976"/>
      <c r="R394" s="2976"/>
      <c r="S394" s="2976"/>
      <c r="T394" s="2976"/>
      <c r="U394" s="2976"/>
      <c r="V394" s="2976"/>
      <c r="W394" s="2976"/>
      <c r="X394" s="2976"/>
      <c r="Y394" s="2976"/>
      <c r="Z394" s="2976"/>
      <c r="AA394" s="2976"/>
      <c r="AB394" s="2976"/>
      <c r="AC394" s="2976"/>
      <c r="AD394" s="2976"/>
      <c r="AE394" s="2976"/>
      <c r="AF394" s="2976"/>
    </row>
    <row r="395" spans="1:32">
      <c r="A395" s="2972">
        <v>394</v>
      </c>
      <c r="B395" s="2974" t="s">
        <v>3232</v>
      </c>
      <c r="C395" s="2973" t="s">
        <v>3224</v>
      </c>
      <c r="D395" s="2972" t="s">
        <v>3183</v>
      </c>
      <c r="E395" s="2974" t="s">
        <v>3146</v>
      </c>
      <c r="F395" s="2980">
        <v>56.66</v>
      </c>
      <c r="G395" s="2979">
        <v>12.81</v>
      </c>
      <c r="H395" s="2979">
        <v>69.47</v>
      </c>
      <c r="I395" s="2979" t="s">
        <v>3055</v>
      </c>
      <c r="J395" s="2974" t="s">
        <v>3144</v>
      </c>
      <c r="L395" s="2976"/>
      <c r="M395" s="2976"/>
      <c r="N395" s="2976"/>
      <c r="O395" s="2976"/>
      <c r="P395" s="2976"/>
      <c r="Q395" s="2976"/>
      <c r="R395" s="2976"/>
      <c r="S395" s="2976"/>
      <c r="T395" s="2976"/>
      <c r="U395" s="2976"/>
      <c r="V395" s="2976"/>
      <c r="W395" s="2976"/>
      <c r="X395" s="2976"/>
      <c r="Y395" s="2976"/>
      <c r="Z395" s="2976"/>
      <c r="AA395" s="2976"/>
      <c r="AB395" s="2976"/>
      <c r="AC395" s="2976"/>
      <c r="AD395" s="2976"/>
      <c r="AE395" s="2976"/>
      <c r="AF395" s="2976"/>
    </row>
    <row r="396" spans="1:32">
      <c r="A396" s="2972">
        <v>395</v>
      </c>
      <c r="B396" s="2974" t="s">
        <v>3232</v>
      </c>
      <c r="C396" s="2973" t="s">
        <v>3224</v>
      </c>
      <c r="D396" s="2972" t="s">
        <v>3183</v>
      </c>
      <c r="E396" s="2974" t="s">
        <v>3147</v>
      </c>
      <c r="F396" s="2980">
        <v>56.74</v>
      </c>
      <c r="G396" s="2979">
        <v>12.83</v>
      </c>
      <c r="H396" s="2979">
        <v>69.570000000000007</v>
      </c>
      <c r="I396" s="2979" t="s">
        <v>3055</v>
      </c>
      <c r="J396" s="2974" t="s">
        <v>3144</v>
      </c>
      <c r="L396" s="2976"/>
      <c r="M396" s="2976"/>
      <c r="N396" s="2976"/>
      <c r="O396" s="2976"/>
      <c r="P396" s="2976"/>
      <c r="Q396" s="2976"/>
      <c r="R396" s="2976"/>
      <c r="S396" s="2976"/>
      <c r="T396" s="2976"/>
      <c r="U396" s="2976"/>
      <c r="V396" s="2976"/>
      <c r="W396" s="2976"/>
      <c r="X396" s="2976"/>
      <c r="Y396" s="2976"/>
      <c r="Z396" s="2976"/>
      <c r="AA396" s="2976"/>
      <c r="AB396" s="2976"/>
      <c r="AC396" s="2976"/>
      <c r="AD396" s="2976"/>
      <c r="AE396" s="2976"/>
      <c r="AF396" s="2976"/>
    </row>
    <row r="397" spans="1:32">
      <c r="A397" s="2972">
        <v>396</v>
      </c>
      <c r="B397" s="2974" t="s">
        <v>3232</v>
      </c>
      <c r="C397" s="2973" t="s">
        <v>3224</v>
      </c>
      <c r="D397" s="2972" t="s">
        <v>3183</v>
      </c>
      <c r="E397" s="2974" t="s">
        <v>3148</v>
      </c>
      <c r="F397" s="2980">
        <v>56.74</v>
      </c>
      <c r="G397" s="2979">
        <v>12.83</v>
      </c>
      <c r="H397" s="2979">
        <v>69.570000000000007</v>
      </c>
      <c r="I397" s="2979" t="s">
        <v>3055</v>
      </c>
      <c r="J397" s="2974" t="s">
        <v>3144</v>
      </c>
      <c r="L397" s="2976"/>
      <c r="M397" s="2976"/>
      <c r="N397" s="2976"/>
      <c r="O397" s="2976"/>
      <c r="P397" s="2976"/>
      <c r="Q397" s="2976"/>
      <c r="R397" s="2976"/>
      <c r="S397" s="2976"/>
      <c r="T397" s="2976"/>
      <c r="U397" s="2976"/>
      <c r="V397" s="2976"/>
      <c r="W397" s="2976"/>
      <c r="X397" s="2976"/>
      <c r="Y397" s="2976"/>
      <c r="Z397" s="2976"/>
      <c r="AA397" s="2976"/>
      <c r="AB397" s="2976"/>
      <c r="AC397" s="2976"/>
      <c r="AD397" s="2976"/>
      <c r="AE397" s="2976"/>
      <c r="AF397" s="2976"/>
    </row>
    <row r="398" spans="1:32">
      <c r="A398" s="2972">
        <v>397</v>
      </c>
      <c r="B398" s="2974" t="s">
        <v>3232</v>
      </c>
      <c r="C398" s="2973" t="s">
        <v>3224</v>
      </c>
      <c r="D398" s="2972" t="s">
        <v>3183</v>
      </c>
      <c r="E398" s="2974" t="s">
        <v>3150</v>
      </c>
      <c r="F398" s="2980">
        <v>53.84</v>
      </c>
      <c r="G398" s="2979">
        <v>12.17</v>
      </c>
      <c r="H398" s="2979">
        <v>66.010000000000005</v>
      </c>
      <c r="I398" s="2979" t="s">
        <v>3055</v>
      </c>
      <c r="J398" s="2974" t="s">
        <v>3143</v>
      </c>
      <c r="L398" s="2976"/>
      <c r="M398" s="2976"/>
      <c r="N398" s="2976"/>
      <c r="O398" s="2976"/>
      <c r="P398" s="2976"/>
      <c r="Q398" s="2976"/>
      <c r="R398" s="2976"/>
      <c r="S398" s="2976"/>
      <c r="T398" s="2976"/>
      <c r="U398" s="2976"/>
      <c r="V398" s="2976"/>
      <c r="W398" s="2976"/>
      <c r="X398" s="2976"/>
      <c r="Y398" s="2976"/>
      <c r="Z398" s="2976"/>
      <c r="AA398" s="2976"/>
      <c r="AB398" s="2976"/>
      <c r="AC398" s="2976"/>
      <c r="AD398" s="2976"/>
      <c r="AE398" s="2976"/>
      <c r="AF398" s="2976"/>
    </row>
    <row r="399" spans="1:32">
      <c r="A399" s="2972">
        <v>398</v>
      </c>
      <c r="B399" s="2974" t="s">
        <v>3232</v>
      </c>
      <c r="C399" s="2973" t="s">
        <v>3225</v>
      </c>
      <c r="D399" s="2972" t="s">
        <v>3183</v>
      </c>
      <c r="E399" s="2974">
        <v>502</v>
      </c>
      <c r="F399" s="2980">
        <v>56.66</v>
      </c>
      <c r="G399" s="2979">
        <v>12.81</v>
      </c>
      <c r="H399" s="2979">
        <v>69.47</v>
      </c>
      <c r="I399" s="2979" t="s">
        <v>3055</v>
      </c>
      <c r="J399" s="2974" t="s">
        <v>3144</v>
      </c>
      <c r="L399" s="2976"/>
      <c r="M399" s="2976"/>
      <c r="N399" s="2976"/>
      <c r="O399" s="2976"/>
      <c r="P399" s="2976"/>
      <c r="Q399" s="2976"/>
      <c r="R399" s="2976"/>
      <c r="S399" s="2976"/>
      <c r="T399" s="2976"/>
      <c r="U399" s="2976"/>
      <c r="V399" s="2976"/>
      <c r="W399" s="2976"/>
      <c r="X399" s="2976"/>
      <c r="Y399" s="2976"/>
      <c r="Z399" s="2976"/>
      <c r="AA399" s="2976"/>
      <c r="AB399" s="2976"/>
      <c r="AC399" s="2976"/>
      <c r="AD399" s="2976"/>
      <c r="AE399" s="2976"/>
      <c r="AF399" s="2976"/>
    </row>
    <row r="400" spans="1:32">
      <c r="A400" s="2972">
        <v>399</v>
      </c>
      <c r="B400" s="2974" t="s">
        <v>3232</v>
      </c>
      <c r="C400" s="2973" t="s">
        <v>3225</v>
      </c>
      <c r="D400" s="2972" t="s">
        <v>3183</v>
      </c>
      <c r="E400" s="2974">
        <v>503</v>
      </c>
      <c r="F400" s="2980">
        <v>56.74</v>
      </c>
      <c r="G400" s="2979">
        <v>12.83</v>
      </c>
      <c r="H400" s="2979">
        <v>69.570000000000007</v>
      </c>
      <c r="I400" s="2979" t="s">
        <v>3055</v>
      </c>
      <c r="J400" s="2974" t="s">
        <v>3144</v>
      </c>
      <c r="L400" s="2976"/>
      <c r="M400" s="2976"/>
      <c r="N400" s="2976"/>
      <c r="O400" s="2976"/>
      <c r="P400" s="2976"/>
      <c r="Q400" s="2976"/>
      <c r="R400" s="2976"/>
      <c r="S400" s="2976"/>
      <c r="T400" s="2976"/>
      <c r="U400" s="2976"/>
      <c r="V400" s="2976"/>
      <c r="W400" s="2976"/>
      <c r="X400" s="2976"/>
      <c r="Y400" s="2976"/>
      <c r="Z400" s="2976"/>
      <c r="AA400" s="2976"/>
      <c r="AB400" s="2976"/>
      <c r="AC400" s="2976"/>
      <c r="AD400" s="2976"/>
      <c r="AE400" s="2976"/>
      <c r="AF400" s="2976"/>
    </row>
    <row r="401" spans="1:32">
      <c r="A401" s="2972">
        <v>400</v>
      </c>
      <c r="B401" s="2974" t="s">
        <v>3232</v>
      </c>
      <c r="C401" s="2973" t="s">
        <v>3225</v>
      </c>
      <c r="D401" s="2972" t="s">
        <v>3183</v>
      </c>
      <c r="E401" s="2974">
        <v>505</v>
      </c>
      <c r="F401" s="2980">
        <v>56.74</v>
      </c>
      <c r="G401" s="2979">
        <v>12.83</v>
      </c>
      <c r="H401" s="2979">
        <v>69.570000000000007</v>
      </c>
      <c r="I401" s="2979" t="s">
        <v>3055</v>
      </c>
      <c r="J401" s="2974" t="s">
        <v>3144</v>
      </c>
      <c r="L401" s="2976"/>
      <c r="M401" s="2976"/>
      <c r="N401" s="2976"/>
      <c r="O401" s="2976"/>
      <c r="P401" s="2976"/>
      <c r="Q401" s="2976"/>
      <c r="R401" s="2976"/>
      <c r="S401" s="2976"/>
      <c r="T401" s="2976"/>
      <c r="U401" s="2976"/>
      <c r="V401" s="2976"/>
      <c r="W401" s="2976"/>
      <c r="X401" s="2976"/>
      <c r="Y401" s="2976"/>
      <c r="Z401" s="2976"/>
      <c r="AA401" s="2976"/>
      <c r="AB401" s="2976"/>
      <c r="AC401" s="2976"/>
      <c r="AD401" s="2976"/>
      <c r="AE401" s="2976"/>
      <c r="AF401" s="2976"/>
    </row>
    <row r="402" spans="1:32">
      <c r="A402" s="2972">
        <v>401</v>
      </c>
      <c r="B402" s="2974" t="s">
        <v>3232</v>
      </c>
      <c r="C402" s="2973" t="s">
        <v>3225</v>
      </c>
      <c r="D402" s="2972" t="s">
        <v>3183</v>
      </c>
      <c r="E402" s="2974">
        <v>506</v>
      </c>
      <c r="F402" s="2980">
        <v>56.66</v>
      </c>
      <c r="G402" s="2979">
        <v>12.81</v>
      </c>
      <c r="H402" s="2979">
        <v>69.47</v>
      </c>
      <c r="I402" s="2979" t="s">
        <v>3055</v>
      </c>
      <c r="J402" s="2974" t="s">
        <v>3144</v>
      </c>
      <c r="L402" s="2976"/>
      <c r="M402" s="2976"/>
      <c r="N402" s="2976"/>
      <c r="O402" s="2976"/>
      <c r="P402" s="2976"/>
      <c r="Q402" s="2976"/>
      <c r="R402" s="2976"/>
      <c r="S402" s="2976"/>
      <c r="T402" s="2976"/>
      <c r="U402" s="2976"/>
      <c r="V402" s="2976"/>
      <c r="W402" s="2976"/>
      <c r="X402" s="2976"/>
      <c r="Y402" s="2976"/>
      <c r="Z402" s="2976"/>
      <c r="AA402" s="2976"/>
      <c r="AB402" s="2976"/>
      <c r="AC402" s="2976"/>
      <c r="AD402" s="2976"/>
      <c r="AE402" s="2976"/>
      <c r="AF402" s="2976"/>
    </row>
    <row r="403" spans="1:32">
      <c r="A403" s="2972">
        <v>402</v>
      </c>
      <c r="B403" s="2974" t="s">
        <v>3232</v>
      </c>
      <c r="C403" s="2973" t="s">
        <v>3225</v>
      </c>
      <c r="D403" s="2972" t="s">
        <v>3183</v>
      </c>
      <c r="E403" s="2974">
        <v>507</v>
      </c>
      <c r="F403" s="2980">
        <v>53.84</v>
      </c>
      <c r="G403" s="2979">
        <v>12.17</v>
      </c>
      <c r="H403" s="2979">
        <v>66.010000000000005</v>
      </c>
      <c r="I403" s="2979" t="s">
        <v>3055</v>
      </c>
      <c r="J403" s="2974" t="s">
        <v>3143</v>
      </c>
      <c r="L403" s="2976"/>
      <c r="M403" s="2976"/>
      <c r="N403" s="2976"/>
      <c r="O403" s="2976"/>
      <c r="P403" s="2976"/>
      <c r="Q403" s="2976"/>
      <c r="R403" s="2976"/>
      <c r="S403" s="2976"/>
      <c r="T403" s="2976"/>
      <c r="U403" s="2976"/>
      <c r="V403" s="2976"/>
      <c r="W403" s="2976"/>
      <c r="X403" s="2976"/>
      <c r="Y403" s="2976"/>
      <c r="Z403" s="2976"/>
      <c r="AA403" s="2976"/>
      <c r="AB403" s="2976"/>
      <c r="AC403" s="2976"/>
      <c r="AD403" s="2976"/>
      <c r="AE403" s="2976"/>
      <c r="AF403" s="2976"/>
    </row>
    <row r="404" spans="1:32">
      <c r="A404" s="2972">
        <v>403</v>
      </c>
      <c r="B404" s="2974" t="s">
        <v>3232</v>
      </c>
      <c r="C404" s="2973" t="s">
        <v>3226</v>
      </c>
      <c r="D404" s="2972" t="s">
        <v>3183</v>
      </c>
      <c r="E404" s="2974">
        <v>601</v>
      </c>
      <c r="F404" s="2980">
        <v>77.180000000000007</v>
      </c>
      <c r="G404" s="2979">
        <v>17.45</v>
      </c>
      <c r="H404" s="2979">
        <v>94.63000000000001</v>
      </c>
      <c r="I404" s="2979" t="s">
        <v>3055</v>
      </c>
      <c r="J404" s="2974" t="s">
        <v>3144</v>
      </c>
      <c r="L404" s="2976"/>
      <c r="M404" s="2976"/>
      <c r="N404" s="2976"/>
      <c r="O404" s="2976"/>
      <c r="P404" s="2976"/>
      <c r="Q404" s="2976"/>
      <c r="R404" s="2976"/>
      <c r="S404" s="2976"/>
      <c r="T404" s="2976"/>
      <c r="U404" s="2976"/>
      <c r="V404" s="2976"/>
      <c r="W404" s="2976"/>
      <c r="X404" s="2976"/>
      <c r="Y404" s="2976"/>
      <c r="Z404" s="2976"/>
      <c r="AA404" s="2976"/>
      <c r="AB404" s="2976"/>
      <c r="AC404" s="2976"/>
      <c r="AD404" s="2976"/>
      <c r="AE404" s="2976"/>
      <c r="AF404" s="2976"/>
    </row>
    <row r="405" spans="1:32">
      <c r="A405" s="2972">
        <v>404</v>
      </c>
      <c r="B405" s="2974" t="s">
        <v>3232</v>
      </c>
      <c r="C405" s="2973" t="s">
        <v>3226</v>
      </c>
      <c r="D405" s="2972" t="s">
        <v>3183</v>
      </c>
      <c r="E405" s="2974">
        <v>602</v>
      </c>
      <c r="F405" s="2980">
        <v>56.66</v>
      </c>
      <c r="G405" s="2979">
        <v>12.81</v>
      </c>
      <c r="H405" s="2979">
        <v>69.47</v>
      </c>
      <c r="I405" s="2979" t="s">
        <v>3055</v>
      </c>
      <c r="J405" s="2974" t="s">
        <v>3144</v>
      </c>
      <c r="L405" s="2976"/>
      <c r="M405" s="2976"/>
      <c r="N405" s="2976"/>
      <c r="O405" s="2976"/>
      <c r="P405" s="2976"/>
      <c r="Q405" s="2976"/>
      <c r="R405" s="2976"/>
      <c r="S405" s="2976"/>
      <c r="T405" s="2976"/>
      <c r="U405" s="2976"/>
      <c r="V405" s="2976"/>
      <c r="W405" s="2976"/>
      <c r="X405" s="2976"/>
      <c r="Y405" s="2976"/>
      <c r="Z405" s="2976"/>
      <c r="AA405" s="2976"/>
      <c r="AB405" s="2976"/>
      <c r="AC405" s="2976"/>
      <c r="AD405" s="2976"/>
      <c r="AE405" s="2976"/>
      <c r="AF405" s="2976"/>
    </row>
    <row r="406" spans="1:32">
      <c r="A406" s="2972">
        <v>405</v>
      </c>
      <c r="B406" s="2974" t="s">
        <v>3232</v>
      </c>
      <c r="C406" s="2973" t="s">
        <v>3226</v>
      </c>
      <c r="D406" s="2972" t="s">
        <v>3183</v>
      </c>
      <c r="E406" s="2974">
        <v>603</v>
      </c>
      <c r="F406" s="2980">
        <v>56.74</v>
      </c>
      <c r="G406" s="2979">
        <v>12.83</v>
      </c>
      <c r="H406" s="2979">
        <v>69.570000000000007</v>
      </c>
      <c r="I406" s="2979" t="s">
        <v>3055</v>
      </c>
      <c r="J406" s="2974" t="s">
        <v>3144</v>
      </c>
      <c r="L406" s="2976"/>
      <c r="M406" s="2976"/>
      <c r="N406" s="2976"/>
      <c r="O406" s="2976"/>
      <c r="P406" s="2976"/>
      <c r="Q406" s="2976"/>
      <c r="R406" s="2976"/>
      <c r="S406" s="2976"/>
      <c r="T406" s="2976"/>
      <c r="U406" s="2976"/>
      <c r="V406" s="2976"/>
      <c r="W406" s="2976"/>
      <c r="X406" s="2976"/>
      <c r="Y406" s="2976"/>
      <c r="Z406" s="2976"/>
      <c r="AA406" s="2976"/>
      <c r="AB406" s="2976"/>
      <c r="AC406" s="2976"/>
      <c r="AD406" s="2976"/>
      <c r="AE406" s="2976"/>
      <c r="AF406" s="2976"/>
    </row>
    <row r="407" spans="1:32">
      <c r="A407" s="2972">
        <v>406</v>
      </c>
      <c r="B407" s="2974" t="s">
        <v>3232</v>
      </c>
      <c r="C407" s="2973" t="s">
        <v>3226</v>
      </c>
      <c r="D407" s="2972" t="s">
        <v>3183</v>
      </c>
      <c r="E407" s="2974">
        <v>605</v>
      </c>
      <c r="F407" s="2980">
        <v>56.74</v>
      </c>
      <c r="G407" s="2979">
        <v>12.83</v>
      </c>
      <c r="H407" s="2979">
        <v>69.570000000000007</v>
      </c>
      <c r="I407" s="2979" t="s">
        <v>3055</v>
      </c>
      <c r="J407" s="2974" t="s">
        <v>3144</v>
      </c>
      <c r="L407" s="2976"/>
      <c r="M407" s="2976"/>
      <c r="N407" s="2976"/>
      <c r="O407" s="2976"/>
      <c r="P407" s="2976"/>
      <c r="Q407" s="2976"/>
      <c r="R407" s="2976"/>
      <c r="S407" s="2976"/>
      <c r="T407" s="2976"/>
      <c r="U407" s="2976"/>
      <c r="V407" s="2976"/>
      <c r="W407" s="2976"/>
      <c r="X407" s="2976"/>
      <c r="Y407" s="2976"/>
      <c r="Z407" s="2976"/>
      <c r="AA407" s="2976"/>
      <c r="AB407" s="2976"/>
      <c r="AC407" s="2976"/>
      <c r="AD407" s="2976"/>
      <c r="AE407" s="2976"/>
      <c r="AF407" s="2976"/>
    </row>
    <row r="408" spans="1:32">
      <c r="A408" s="2972">
        <v>407</v>
      </c>
      <c r="B408" s="2974" t="s">
        <v>3232</v>
      </c>
      <c r="C408" s="2973" t="s">
        <v>3226</v>
      </c>
      <c r="D408" s="2972" t="s">
        <v>3183</v>
      </c>
      <c r="E408" s="2974">
        <v>606</v>
      </c>
      <c r="F408" s="2980">
        <v>56.66</v>
      </c>
      <c r="G408" s="2979">
        <v>12.81</v>
      </c>
      <c r="H408" s="2979">
        <v>69.47</v>
      </c>
      <c r="I408" s="2979" t="s">
        <v>3055</v>
      </c>
      <c r="J408" s="2974" t="s">
        <v>3144</v>
      </c>
      <c r="L408" s="2976"/>
      <c r="M408" s="2976"/>
      <c r="N408" s="2976"/>
      <c r="O408" s="2976"/>
      <c r="P408" s="2976"/>
      <c r="Q408" s="2976"/>
      <c r="R408" s="2976"/>
      <c r="S408" s="2976"/>
      <c r="T408" s="2976"/>
      <c r="U408" s="2976"/>
      <c r="V408" s="2976"/>
      <c r="W408" s="2976"/>
      <c r="X408" s="2976"/>
      <c r="Y408" s="2976"/>
      <c r="Z408" s="2976"/>
      <c r="AA408" s="2976"/>
      <c r="AB408" s="2976"/>
      <c r="AC408" s="2976"/>
      <c r="AD408" s="2976"/>
      <c r="AE408" s="2976"/>
      <c r="AF408" s="2976"/>
    </row>
    <row r="409" spans="1:32">
      <c r="A409" s="2972">
        <v>408</v>
      </c>
      <c r="B409" s="2974" t="s">
        <v>3232</v>
      </c>
      <c r="C409" s="2973" t="s">
        <v>3226</v>
      </c>
      <c r="D409" s="2972" t="s">
        <v>3183</v>
      </c>
      <c r="E409" s="2974">
        <v>607</v>
      </c>
      <c r="F409" s="2980">
        <v>53.84</v>
      </c>
      <c r="G409" s="2979">
        <v>12.17</v>
      </c>
      <c r="H409" s="2979">
        <v>66.010000000000005</v>
      </c>
      <c r="I409" s="2979" t="s">
        <v>3055</v>
      </c>
      <c r="J409" s="2974" t="s">
        <v>3143</v>
      </c>
      <c r="L409" s="2976"/>
      <c r="M409" s="2976"/>
      <c r="N409" s="2976"/>
      <c r="O409" s="2976"/>
      <c r="P409" s="2976"/>
      <c r="Q409" s="2976"/>
      <c r="R409" s="2976"/>
      <c r="S409" s="2976"/>
      <c r="T409" s="2976"/>
      <c r="U409" s="2976"/>
      <c r="V409" s="2976"/>
      <c r="W409" s="2976"/>
      <c r="X409" s="2976"/>
      <c r="Y409" s="2976"/>
      <c r="Z409" s="2976"/>
      <c r="AA409" s="2976"/>
      <c r="AB409" s="2976"/>
      <c r="AC409" s="2976"/>
      <c r="AD409" s="2976"/>
      <c r="AE409" s="2976"/>
      <c r="AF409" s="2976"/>
    </row>
    <row r="410" spans="1:32">
      <c r="A410" s="2972">
        <v>409</v>
      </c>
      <c r="B410" s="2974" t="s">
        <v>3233</v>
      </c>
      <c r="C410" s="2973" t="s">
        <v>3221</v>
      </c>
      <c r="D410" s="2981" t="s">
        <v>3213</v>
      </c>
      <c r="E410" s="2974">
        <v>101</v>
      </c>
      <c r="F410" s="2980">
        <v>53.82</v>
      </c>
      <c r="G410" s="2979">
        <v>12.25</v>
      </c>
      <c r="H410" s="2979">
        <v>66.069999999999993</v>
      </c>
      <c r="I410" s="2979" t="s">
        <v>3055</v>
      </c>
      <c r="J410" s="2974" t="s">
        <v>3143</v>
      </c>
      <c r="L410" s="2976"/>
      <c r="M410" s="2976"/>
      <c r="N410" s="2976"/>
      <c r="O410" s="2976"/>
      <c r="P410" s="2976"/>
      <c r="Q410" s="2976"/>
      <c r="R410" s="2976"/>
      <c r="S410" s="2976"/>
      <c r="T410" s="2976"/>
      <c r="U410" s="2976"/>
      <c r="V410" s="2976"/>
      <c r="W410" s="2976"/>
      <c r="X410" s="2976"/>
      <c r="Y410" s="2976"/>
      <c r="Z410" s="2976"/>
      <c r="AA410" s="2976"/>
      <c r="AB410" s="2976"/>
      <c r="AC410" s="2976"/>
      <c r="AD410" s="2976"/>
      <c r="AE410" s="2976"/>
      <c r="AF410" s="2976"/>
    </row>
    <row r="411" spans="1:32">
      <c r="A411" s="2972">
        <v>410</v>
      </c>
      <c r="B411" s="2974" t="s">
        <v>3233</v>
      </c>
      <c r="C411" s="2973" t="s">
        <v>3221</v>
      </c>
      <c r="D411" s="2981" t="s">
        <v>3213</v>
      </c>
      <c r="E411" s="2974">
        <v>102</v>
      </c>
      <c r="F411" s="2980">
        <v>56.66</v>
      </c>
      <c r="G411" s="2979">
        <v>12.9</v>
      </c>
      <c r="H411" s="2979">
        <v>69.56</v>
      </c>
      <c r="I411" s="2979" t="s">
        <v>3055</v>
      </c>
      <c r="J411" s="2974" t="s">
        <v>3144</v>
      </c>
      <c r="L411" s="2976"/>
      <c r="M411" s="2976"/>
      <c r="N411" s="2976"/>
      <c r="O411" s="2976"/>
      <c r="P411" s="2976"/>
      <c r="Q411" s="2976"/>
      <c r="R411" s="2976"/>
      <c r="S411" s="2976"/>
      <c r="T411" s="2976"/>
      <c r="U411" s="2976"/>
      <c r="V411" s="2976"/>
      <c r="W411" s="2976"/>
      <c r="X411" s="2976"/>
      <c r="Y411" s="2976"/>
      <c r="Z411" s="2976"/>
      <c r="AA411" s="2976"/>
      <c r="AB411" s="2976"/>
      <c r="AC411" s="2976"/>
      <c r="AD411" s="2976"/>
      <c r="AE411" s="2976"/>
      <c r="AF411" s="2976"/>
    </row>
    <row r="412" spans="1:32">
      <c r="A412" s="2972">
        <v>411</v>
      </c>
      <c r="B412" s="2974" t="s">
        <v>3233</v>
      </c>
      <c r="C412" s="2973" t="s">
        <v>3221</v>
      </c>
      <c r="D412" s="2981" t="s">
        <v>3213</v>
      </c>
      <c r="E412" s="2974">
        <v>103</v>
      </c>
      <c r="F412" s="2980">
        <v>56.79</v>
      </c>
      <c r="G412" s="2979">
        <v>12.93</v>
      </c>
      <c r="H412" s="2979">
        <v>69.72</v>
      </c>
      <c r="I412" s="2979" t="s">
        <v>3055</v>
      </c>
      <c r="J412" s="2974" t="s">
        <v>3144</v>
      </c>
      <c r="L412" s="2976"/>
      <c r="M412" s="2976"/>
      <c r="N412" s="2976"/>
      <c r="O412" s="2976"/>
      <c r="P412" s="2976"/>
      <c r="Q412" s="2976"/>
      <c r="R412" s="2976"/>
      <c r="S412" s="2976"/>
      <c r="T412" s="2976"/>
      <c r="U412" s="2976"/>
      <c r="V412" s="2976"/>
      <c r="W412" s="2976"/>
      <c r="X412" s="2976"/>
      <c r="Y412" s="2976"/>
      <c r="Z412" s="2976"/>
      <c r="AA412" s="2976"/>
      <c r="AB412" s="2976"/>
      <c r="AC412" s="2976"/>
      <c r="AD412" s="2976"/>
      <c r="AE412" s="2976"/>
      <c r="AF412" s="2976"/>
    </row>
    <row r="413" spans="1:32">
      <c r="A413" s="2972">
        <v>412</v>
      </c>
      <c r="B413" s="2974" t="s">
        <v>3233</v>
      </c>
      <c r="C413" s="2973" t="s">
        <v>3221</v>
      </c>
      <c r="D413" s="2981" t="s">
        <v>3213</v>
      </c>
      <c r="E413" s="2974">
        <v>105</v>
      </c>
      <c r="F413" s="2980">
        <v>56.66</v>
      </c>
      <c r="G413" s="2979">
        <v>12.9</v>
      </c>
      <c r="H413" s="2979">
        <v>69.56</v>
      </c>
      <c r="I413" s="2979" t="s">
        <v>3055</v>
      </c>
      <c r="J413" s="2974" t="s">
        <v>3144</v>
      </c>
      <c r="L413" s="2976"/>
      <c r="M413" s="2976"/>
      <c r="N413" s="2976"/>
      <c r="O413" s="2976"/>
      <c r="P413" s="2976"/>
      <c r="Q413" s="2976"/>
      <c r="R413" s="2976"/>
      <c r="S413" s="2976"/>
      <c r="T413" s="2976"/>
      <c r="U413" s="2976"/>
      <c r="V413" s="2976"/>
      <c r="W413" s="2976"/>
      <c r="X413" s="2976"/>
      <c r="Y413" s="2976"/>
      <c r="Z413" s="2976"/>
      <c r="AA413" s="2976"/>
      <c r="AB413" s="2976"/>
      <c r="AC413" s="2976"/>
      <c r="AD413" s="2976"/>
      <c r="AE413" s="2976"/>
      <c r="AF413" s="2976"/>
    </row>
    <row r="414" spans="1:32">
      <c r="A414" s="2972">
        <v>413</v>
      </c>
      <c r="B414" s="2974" t="s">
        <v>3233</v>
      </c>
      <c r="C414" s="2973" t="s">
        <v>3221</v>
      </c>
      <c r="D414" s="2981" t="s">
        <v>3213</v>
      </c>
      <c r="E414" s="2974">
        <v>106</v>
      </c>
      <c r="F414" s="2980">
        <v>77.17</v>
      </c>
      <c r="G414" s="2979">
        <v>17.57</v>
      </c>
      <c r="H414" s="2979">
        <v>94.740000000000009</v>
      </c>
      <c r="I414" s="2979" t="s">
        <v>3055</v>
      </c>
      <c r="J414" s="2974" t="s">
        <v>3144</v>
      </c>
      <c r="L414" s="2976"/>
      <c r="M414" s="2976"/>
      <c r="N414" s="2976"/>
      <c r="O414" s="2976"/>
      <c r="P414" s="2976"/>
      <c r="Q414" s="2976"/>
      <c r="R414" s="2976"/>
      <c r="S414" s="2976"/>
      <c r="T414" s="2976"/>
      <c r="U414" s="2976"/>
      <c r="V414" s="2976"/>
      <c r="W414" s="2976"/>
      <c r="X414" s="2976"/>
      <c r="Y414" s="2976"/>
      <c r="Z414" s="2976"/>
      <c r="AA414" s="2976"/>
      <c r="AB414" s="2976"/>
      <c r="AC414" s="2976"/>
      <c r="AD414" s="2976"/>
      <c r="AE414" s="2976"/>
      <c r="AF414" s="2976"/>
    </row>
    <row r="415" spans="1:32">
      <c r="A415" s="2972">
        <v>414</v>
      </c>
      <c r="B415" s="2974" t="s">
        <v>3233</v>
      </c>
      <c r="C415" s="2973" t="s">
        <v>3221</v>
      </c>
      <c r="D415" s="2981" t="s">
        <v>3215</v>
      </c>
      <c r="E415" s="2974">
        <v>101</v>
      </c>
      <c r="F415" s="2980">
        <v>77.17</v>
      </c>
      <c r="G415" s="2979">
        <v>17.57</v>
      </c>
      <c r="H415" s="2979">
        <v>94.740000000000009</v>
      </c>
      <c r="I415" s="2979" t="s">
        <v>3055</v>
      </c>
      <c r="J415" s="2974" t="s">
        <v>3144</v>
      </c>
      <c r="L415" s="2976"/>
      <c r="M415" s="2976"/>
      <c r="N415" s="2976"/>
      <c r="O415" s="2976"/>
      <c r="P415" s="2976"/>
      <c r="Q415" s="2976"/>
      <c r="R415" s="2976"/>
      <c r="S415" s="2976"/>
      <c r="T415" s="2976"/>
      <c r="U415" s="2976"/>
      <c r="V415" s="2976"/>
      <c r="W415" s="2976"/>
      <c r="X415" s="2976"/>
      <c r="Y415" s="2976"/>
      <c r="Z415" s="2976"/>
      <c r="AA415" s="2976"/>
      <c r="AB415" s="2976"/>
      <c r="AC415" s="2976"/>
      <c r="AD415" s="2976"/>
      <c r="AE415" s="2976"/>
      <c r="AF415" s="2976"/>
    </row>
    <row r="416" spans="1:32">
      <c r="A416" s="2972">
        <v>415</v>
      </c>
      <c r="B416" s="2974" t="s">
        <v>3233</v>
      </c>
      <c r="C416" s="2973" t="s">
        <v>3221</v>
      </c>
      <c r="D416" s="2981" t="s">
        <v>3215</v>
      </c>
      <c r="E416" s="2974">
        <v>102</v>
      </c>
      <c r="F416" s="2980">
        <v>56.66</v>
      </c>
      <c r="G416" s="2979">
        <v>12.9</v>
      </c>
      <c r="H416" s="2979">
        <v>69.56</v>
      </c>
      <c r="I416" s="2979" t="s">
        <v>3055</v>
      </c>
      <c r="J416" s="2974" t="s">
        <v>3144</v>
      </c>
      <c r="L416" s="2976"/>
      <c r="M416" s="2976"/>
      <c r="N416" s="2976"/>
      <c r="O416" s="2976"/>
      <c r="P416" s="2976"/>
      <c r="Q416" s="2976"/>
      <c r="R416" s="2976"/>
      <c r="S416" s="2976"/>
      <c r="T416" s="2976"/>
      <c r="U416" s="2976"/>
      <c r="V416" s="2976"/>
      <c r="W416" s="2976"/>
      <c r="X416" s="2976"/>
      <c r="Y416" s="2976"/>
      <c r="Z416" s="2976"/>
      <c r="AA416" s="2976"/>
      <c r="AB416" s="2976"/>
      <c r="AC416" s="2976"/>
      <c r="AD416" s="2976"/>
      <c r="AE416" s="2976"/>
      <c r="AF416" s="2976"/>
    </row>
    <row r="417" spans="1:32">
      <c r="A417" s="2972">
        <v>416</v>
      </c>
      <c r="B417" s="2974" t="s">
        <v>3233</v>
      </c>
      <c r="C417" s="2973" t="s">
        <v>3221</v>
      </c>
      <c r="D417" s="2981" t="s">
        <v>3215</v>
      </c>
      <c r="E417" s="2974">
        <v>103</v>
      </c>
      <c r="F417" s="2980">
        <v>56.79</v>
      </c>
      <c r="G417" s="2979">
        <v>12.93</v>
      </c>
      <c r="H417" s="2979">
        <v>69.72</v>
      </c>
      <c r="I417" s="2979" t="s">
        <v>3055</v>
      </c>
      <c r="J417" s="2974" t="s">
        <v>3144</v>
      </c>
      <c r="L417" s="2976"/>
      <c r="M417" s="2976"/>
      <c r="N417" s="2976"/>
      <c r="O417" s="2976"/>
      <c r="P417" s="2976"/>
      <c r="Q417" s="2976"/>
      <c r="R417" s="2976"/>
      <c r="S417" s="2976"/>
      <c r="T417" s="2976"/>
      <c r="U417" s="2976"/>
      <c r="V417" s="2976"/>
      <c r="W417" s="2976"/>
      <c r="X417" s="2976"/>
      <c r="Y417" s="2976"/>
      <c r="Z417" s="2976"/>
      <c r="AA417" s="2976"/>
      <c r="AB417" s="2976"/>
      <c r="AC417" s="2976"/>
      <c r="AD417" s="2976"/>
      <c r="AE417" s="2976"/>
      <c r="AF417" s="2976"/>
    </row>
    <row r="418" spans="1:32">
      <c r="A418" s="2972">
        <v>417</v>
      </c>
      <c r="B418" s="2974" t="s">
        <v>3233</v>
      </c>
      <c r="C418" s="2973" t="s">
        <v>3221</v>
      </c>
      <c r="D418" s="2981" t="s">
        <v>3215</v>
      </c>
      <c r="E418" s="2974">
        <v>105</v>
      </c>
      <c r="F418" s="2980">
        <v>56.66</v>
      </c>
      <c r="G418" s="2979">
        <v>12.9</v>
      </c>
      <c r="H418" s="2979">
        <v>69.56</v>
      </c>
      <c r="I418" s="2979" t="s">
        <v>3055</v>
      </c>
      <c r="J418" s="2974" t="s">
        <v>3144</v>
      </c>
      <c r="L418" s="2976"/>
      <c r="M418" s="2976"/>
      <c r="N418" s="2976"/>
      <c r="O418" s="2976"/>
      <c r="P418" s="2976"/>
      <c r="Q418" s="2976"/>
      <c r="R418" s="2976"/>
      <c r="S418" s="2976"/>
      <c r="T418" s="2976"/>
      <c r="U418" s="2976"/>
      <c r="V418" s="2976"/>
      <c r="W418" s="2976"/>
      <c r="X418" s="2976"/>
      <c r="Y418" s="2976"/>
      <c r="Z418" s="2976"/>
      <c r="AA418" s="2976"/>
      <c r="AB418" s="2976"/>
      <c r="AC418" s="2976"/>
      <c r="AD418" s="2976"/>
      <c r="AE418" s="2976"/>
      <c r="AF418" s="2976"/>
    </row>
    <row r="419" spans="1:32">
      <c r="A419" s="2972">
        <v>418</v>
      </c>
      <c r="B419" s="2974" t="s">
        <v>3233</v>
      </c>
      <c r="C419" s="2973" t="s">
        <v>3221</v>
      </c>
      <c r="D419" s="2981" t="s">
        <v>3215</v>
      </c>
      <c r="E419" s="2974">
        <v>106</v>
      </c>
      <c r="F419" s="2980">
        <v>53.82</v>
      </c>
      <c r="G419" s="2979">
        <v>12.25</v>
      </c>
      <c r="H419" s="2979">
        <v>66.069999999999993</v>
      </c>
      <c r="I419" s="2979" t="s">
        <v>3055</v>
      </c>
      <c r="J419" s="2974" t="s">
        <v>3143</v>
      </c>
      <c r="L419" s="2976"/>
      <c r="M419" s="2976"/>
      <c r="N419" s="2976"/>
      <c r="O419" s="2976"/>
      <c r="P419" s="2976"/>
      <c r="Q419" s="2976"/>
      <c r="R419" s="2976"/>
      <c r="S419" s="2976"/>
      <c r="T419" s="2976"/>
      <c r="U419" s="2976"/>
      <c r="V419" s="2976"/>
      <c r="W419" s="2976"/>
      <c r="X419" s="2976"/>
      <c r="Y419" s="2976"/>
      <c r="Z419" s="2976"/>
      <c r="AA419" s="2976"/>
      <c r="AB419" s="2976"/>
      <c r="AC419" s="2976"/>
      <c r="AD419" s="2976"/>
      <c r="AE419" s="2976"/>
      <c r="AF419" s="2976"/>
    </row>
    <row r="420" spans="1:32">
      <c r="A420" s="2972">
        <v>419</v>
      </c>
      <c r="B420" s="2974" t="s">
        <v>3233</v>
      </c>
      <c r="C420" s="2973" t="s">
        <v>3222</v>
      </c>
      <c r="D420" s="2981" t="s">
        <v>3213</v>
      </c>
      <c r="E420" s="2974">
        <v>201</v>
      </c>
      <c r="F420" s="2980">
        <v>53.82</v>
      </c>
      <c r="G420" s="2979">
        <v>12.25</v>
      </c>
      <c r="H420" s="2979">
        <v>66.069999999999993</v>
      </c>
      <c r="I420" s="2979" t="s">
        <v>3055</v>
      </c>
      <c r="J420" s="2974" t="s">
        <v>3143</v>
      </c>
      <c r="L420" s="2976"/>
      <c r="M420" s="2976"/>
      <c r="N420" s="2976"/>
      <c r="O420" s="2976"/>
      <c r="P420" s="2976"/>
      <c r="Q420" s="2976"/>
      <c r="R420" s="2976"/>
      <c r="S420" s="2976"/>
      <c r="T420" s="2976"/>
      <c r="U420" s="2976"/>
      <c r="V420" s="2976"/>
      <c r="W420" s="2976"/>
      <c r="X420" s="2976"/>
      <c r="Y420" s="2976"/>
      <c r="Z420" s="2976"/>
      <c r="AA420" s="2976"/>
      <c r="AB420" s="2976"/>
      <c r="AC420" s="2976"/>
      <c r="AD420" s="2976"/>
      <c r="AE420" s="2976"/>
      <c r="AF420" s="2976"/>
    </row>
    <row r="421" spans="1:32">
      <c r="A421" s="2972">
        <v>420</v>
      </c>
      <c r="B421" s="2974" t="s">
        <v>3233</v>
      </c>
      <c r="C421" s="2973" t="s">
        <v>3222</v>
      </c>
      <c r="D421" s="2981" t="s">
        <v>3213</v>
      </c>
      <c r="E421" s="2974">
        <v>207</v>
      </c>
      <c r="F421" s="2980">
        <v>77.17</v>
      </c>
      <c r="G421" s="2979">
        <v>17.57</v>
      </c>
      <c r="H421" s="2979">
        <v>94.740000000000009</v>
      </c>
      <c r="I421" s="2979" t="s">
        <v>3055</v>
      </c>
      <c r="J421" s="2974" t="s">
        <v>3144</v>
      </c>
      <c r="L421" s="2976"/>
      <c r="M421" s="2976"/>
      <c r="N421" s="2976"/>
      <c r="O421" s="2976"/>
      <c r="P421" s="2976"/>
      <c r="Q421" s="2976"/>
      <c r="R421" s="2976"/>
      <c r="S421" s="2976"/>
      <c r="T421" s="2976"/>
      <c r="U421" s="2976"/>
      <c r="V421" s="2976"/>
      <c r="W421" s="2976"/>
      <c r="X421" s="2976"/>
      <c r="Y421" s="2976"/>
      <c r="Z421" s="2976"/>
      <c r="AA421" s="2976"/>
      <c r="AB421" s="2976"/>
      <c r="AC421" s="2976"/>
      <c r="AD421" s="2976"/>
      <c r="AE421" s="2976"/>
      <c r="AF421" s="2976"/>
    </row>
    <row r="422" spans="1:32">
      <c r="A422" s="2972">
        <v>421</v>
      </c>
      <c r="B422" s="2974" t="s">
        <v>3233</v>
      </c>
      <c r="C422" s="2973" t="s">
        <v>3222</v>
      </c>
      <c r="D422" s="2981" t="s">
        <v>3215</v>
      </c>
      <c r="E422" s="2974">
        <v>206</v>
      </c>
      <c r="F422" s="2980">
        <v>56.66</v>
      </c>
      <c r="G422" s="2979">
        <v>12.9</v>
      </c>
      <c r="H422" s="2979">
        <v>69.56</v>
      </c>
      <c r="I422" s="2979" t="s">
        <v>3055</v>
      </c>
      <c r="J422" s="2974" t="s">
        <v>3144</v>
      </c>
      <c r="L422" s="2976"/>
      <c r="M422" s="2976"/>
      <c r="N422" s="2976"/>
      <c r="O422" s="2976"/>
      <c r="P422" s="2976"/>
      <c r="Q422" s="2976"/>
      <c r="R422" s="2976"/>
      <c r="S422" s="2976"/>
      <c r="T422" s="2976"/>
      <c r="U422" s="2976"/>
      <c r="V422" s="2976"/>
      <c r="W422" s="2976"/>
      <c r="X422" s="2976"/>
      <c r="Y422" s="2976"/>
      <c r="Z422" s="2976"/>
      <c r="AA422" s="2976"/>
      <c r="AB422" s="2976"/>
      <c r="AC422" s="2976"/>
      <c r="AD422" s="2976"/>
      <c r="AE422" s="2976"/>
      <c r="AF422" s="2976"/>
    </row>
    <row r="423" spans="1:32">
      <c r="A423" s="2972">
        <v>422</v>
      </c>
      <c r="B423" s="2974" t="s">
        <v>3233</v>
      </c>
      <c r="C423" s="2973" t="s">
        <v>3222</v>
      </c>
      <c r="D423" s="2981" t="s">
        <v>3215</v>
      </c>
      <c r="E423" s="2974">
        <v>207</v>
      </c>
      <c r="F423" s="2980">
        <v>53.82</v>
      </c>
      <c r="G423" s="2979">
        <v>12.25</v>
      </c>
      <c r="H423" s="2979">
        <v>66.069999999999993</v>
      </c>
      <c r="I423" s="2979" t="s">
        <v>3055</v>
      </c>
      <c r="J423" s="2974" t="s">
        <v>3143</v>
      </c>
      <c r="L423" s="2976"/>
      <c r="M423" s="2976"/>
      <c r="N423" s="2976"/>
      <c r="O423" s="2976"/>
      <c r="P423" s="2976"/>
      <c r="Q423" s="2976"/>
      <c r="R423" s="2976"/>
      <c r="S423" s="2976"/>
      <c r="T423" s="2976"/>
      <c r="U423" s="2976"/>
      <c r="V423" s="2976"/>
      <c r="W423" s="2976"/>
      <c r="X423" s="2976"/>
      <c r="Y423" s="2976"/>
      <c r="Z423" s="2976"/>
      <c r="AA423" s="2976"/>
      <c r="AB423" s="2976"/>
      <c r="AC423" s="2976"/>
      <c r="AD423" s="2976"/>
      <c r="AE423" s="2976"/>
      <c r="AF423" s="2976"/>
    </row>
    <row r="424" spans="1:32">
      <c r="A424" s="2972">
        <v>423</v>
      </c>
      <c r="B424" s="2974" t="s">
        <v>3233</v>
      </c>
      <c r="C424" s="2973" t="s">
        <v>3223</v>
      </c>
      <c r="D424" s="2981" t="s">
        <v>3213</v>
      </c>
      <c r="E424" s="2974">
        <v>301</v>
      </c>
      <c r="F424" s="2980">
        <v>53.82</v>
      </c>
      <c r="G424" s="2979">
        <v>12.25</v>
      </c>
      <c r="H424" s="2979">
        <v>66.069999999999993</v>
      </c>
      <c r="I424" s="2979" t="s">
        <v>3055</v>
      </c>
      <c r="J424" s="2974" t="s">
        <v>3143</v>
      </c>
      <c r="L424" s="2976"/>
      <c r="M424" s="2976"/>
      <c r="N424" s="2976"/>
      <c r="O424" s="2976"/>
      <c r="P424" s="2976"/>
      <c r="Q424" s="2976"/>
      <c r="R424" s="2976"/>
      <c r="S424" s="2976"/>
      <c r="T424" s="2976"/>
      <c r="U424" s="2976"/>
      <c r="V424" s="2976"/>
      <c r="W424" s="2976"/>
      <c r="X424" s="2976"/>
      <c r="Y424" s="2976"/>
      <c r="Z424" s="2976"/>
      <c r="AA424" s="2976"/>
      <c r="AB424" s="2976"/>
      <c r="AC424" s="2976"/>
      <c r="AD424" s="2976"/>
      <c r="AE424" s="2976"/>
      <c r="AF424" s="2976"/>
    </row>
    <row r="425" spans="1:32">
      <c r="A425" s="2972">
        <v>424</v>
      </c>
      <c r="B425" s="2974" t="s">
        <v>3233</v>
      </c>
      <c r="C425" s="2973" t="s">
        <v>3223</v>
      </c>
      <c r="D425" s="2981" t="s">
        <v>3213</v>
      </c>
      <c r="E425" s="2974">
        <v>306</v>
      </c>
      <c r="F425" s="2980">
        <v>56.66</v>
      </c>
      <c r="G425" s="2979">
        <v>12.9</v>
      </c>
      <c r="H425" s="2979">
        <v>69.56</v>
      </c>
      <c r="I425" s="2979" t="s">
        <v>3055</v>
      </c>
      <c r="J425" s="2974" t="s">
        <v>3144</v>
      </c>
      <c r="L425" s="2976"/>
      <c r="M425" s="2976"/>
      <c r="N425" s="2976"/>
      <c r="O425" s="2976"/>
      <c r="P425" s="2976"/>
      <c r="Q425" s="2976"/>
      <c r="R425" s="2976"/>
      <c r="S425" s="2976"/>
      <c r="T425" s="2976"/>
      <c r="U425" s="2976"/>
      <c r="V425" s="2976"/>
      <c r="W425" s="2976"/>
      <c r="X425" s="2976"/>
      <c r="Y425" s="2976"/>
      <c r="Z425" s="2976"/>
      <c r="AA425" s="2976"/>
      <c r="AB425" s="2976"/>
      <c r="AC425" s="2976"/>
      <c r="AD425" s="2976"/>
      <c r="AE425" s="2976"/>
      <c r="AF425" s="2976"/>
    </row>
    <row r="426" spans="1:32">
      <c r="A426" s="2972">
        <v>425</v>
      </c>
      <c r="B426" s="2974" t="s">
        <v>3233</v>
      </c>
      <c r="C426" s="2973" t="s">
        <v>3223</v>
      </c>
      <c r="D426" s="2981" t="s">
        <v>3213</v>
      </c>
      <c r="E426" s="2974">
        <v>307</v>
      </c>
      <c r="F426" s="2980">
        <v>77.17</v>
      </c>
      <c r="G426" s="2979">
        <v>17.57</v>
      </c>
      <c r="H426" s="2979">
        <v>94.740000000000009</v>
      </c>
      <c r="I426" s="2979" t="s">
        <v>3055</v>
      </c>
      <c r="J426" s="2974" t="s">
        <v>3144</v>
      </c>
      <c r="L426" s="2976"/>
      <c r="M426" s="2976"/>
      <c r="N426" s="2976"/>
      <c r="O426" s="2976"/>
      <c r="P426" s="2976"/>
      <c r="Q426" s="2976"/>
      <c r="R426" s="2976"/>
      <c r="S426" s="2976"/>
      <c r="T426" s="2976"/>
      <c r="U426" s="2976"/>
      <c r="V426" s="2976"/>
      <c r="W426" s="2976"/>
      <c r="X426" s="2976"/>
      <c r="Y426" s="2976"/>
      <c r="Z426" s="2976"/>
      <c r="AA426" s="2976"/>
      <c r="AB426" s="2976"/>
      <c r="AC426" s="2976"/>
      <c r="AD426" s="2976"/>
      <c r="AE426" s="2976"/>
      <c r="AF426" s="2976"/>
    </row>
    <row r="427" spans="1:32">
      <c r="A427" s="2972">
        <v>426</v>
      </c>
      <c r="B427" s="2974" t="s">
        <v>3233</v>
      </c>
      <c r="C427" s="2973" t="s">
        <v>3223</v>
      </c>
      <c r="D427" s="2981" t="s">
        <v>3215</v>
      </c>
      <c r="E427" s="2974">
        <v>301</v>
      </c>
      <c r="F427" s="2980">
        <v>77.17</v>
      </c>
      <c r="G427" s="2979">
        <v>17.57</v>
      </c>
      <c r="H427" s="2979">
        <v>94.740000000000009</v>
      </c>
      <c r="I427" s="2979" t="s">
        <v>3055</v>
      </c>
      <c r="J427" s="2974" t="s">
        <v>3144</v>
      </c>
      <c r="L427" s="2976"/>
      <c r="M427" s="2976"/>
      <c r="N427" s="2976"/>
      <c r="O427" s="2976"/>
      <c r="P427" s="2976"/>
      <c r="Q427" s="2976"/>
      <c r="R427" s="2976"/>
      <c r="S427" s="2976"/>
      <c r="T427" s="2976"/>
      <c r="U427" s="2976"/>
      <c r="V427" s="2976"/>
      <c r="W427" s="2976"/>
      <c r="X427" s="2976"/>
      <c r="Y427" s="2976"/>
      <c r="Z427" s="2976"/>
      <c r="AA427" s="2976"/>
      <c r="AB427" s="2976"/>
      <c r="AC427" s="2976"/>
      <c r="AD427" s="2976"/>
      <c r="AE427" s="2976"/>
      <c r="AF427" s="2976"/>
    </row>
    <row r="428" spans="1:32">
      <c r="A428" s="2972">
        <v>427</v>
      </c>
      <c r="B428" s="2974" t="s">
        <v>3233</v>
      </c>
      <c r="C428" s="2973" t="s">
        <v>3223</v>
      </c>
      <c r="D428" s="2981" t="s">
        <v>3215</v>
      </c>
      <c r="E428" s="2974">
        <v>302</v>
      </c>
      <c r="F428" s="2980">
        <v>56.66</v>
      </c>
      <c r="G428" s="2979">
        <v>12.9</v>
      </c>
      <c r="H428" s="2979">
        <v>69.56</v>
      </c>
      <c r="I428" s="2979" t="s">
        <v>3055</v>
      </c>
      <c r="J428" s="2974" t="s">
        <v>3144</v>
      </c>
      <c r="L428" s="2976"/>
      <c r="M428" s="2976"/>
      <c r="N428" s="2976"/>
      <c r="O428" s="2976"/>
      <c r="P428" s="2976"/>
      <c r="Q428" s="2976"/>
      <c r="R428" s="2976"/>
      <c r="S428" s="2976"/>
      <c r="T428" s="2976"/>
      <c r="U428" s="2976"/>
      <c r="V428" s="2976"/>
      <c r="W428" s="2976"/>
      <c r="X428" s="2976"/>
      <c r="Y428" s="2976"/>
      <c r="Z428" s="2976"/>
      <c r="AA428" s="2976"/>
      <c r="AB428" s="2976"/>
      <c r="AC428" s="2976"/>
      <c r="AD428" s="2976"/>
      <c r="AE428" s="2976"/>
      <c r="AF428" s="2976"/>
    </row>
    <row r="429" spans="1:32">
      <c r="A429" s="2972">
        <v>428</v>
      </c>
      <c r="B429" s="2974" t="s">
        <v>3233</v>
      </c>
      <c r="C429" s="2973" t="s">
        <v>3223</v>
      </c>
      <c r="D429" s="2981" t="s">
        <v>3215</v>
      </c>
      <c r="E429" s="2974">
        <v>306</v>
      </c>
      <c r="F429" s="2980">
        <v>56.66</v>
      </c>
      <c r="G429" s="2979">
        <v>12.9</v>
      </c>
      <c r="H429" s="2979">
        <v>69.56</v>
      </c>
      <c r="I429" s="2979" t="s">
        <v>3055</v>
      </c>
      <c r="J429" s="2974" t="s">
        <v>3144</v>
      </c>
      <c r="L429" s="2976"/>
      <c r="M429" s="2976"/>
      <c r="N429" s="2976"/>
      <c r="O429" s="2976"/>
      <c r="P429" s="2976"/>
      <c r="Q429" s="2976"/>
      <c r="R429" s="2976"/>
      <c r="S429" s="2976"/>
      <c r="T429" s="2976"/>
      <c r="U429" s="2976"/>
      <c r="V429" s="2976"/>
      <c r="W429" s="2976"/>
      <c r="X429" s="2976"/>
      <c r="Y429" s="2976"/>
      <c r="Z429" s="2976"/>
      <c r="AA429" s="2976"/>
      <c r="AB429" s="2976"/>
      <c r="AC429" s="2976"/>
      <c r="AD429" s="2976"/>
      <c r="AE429" s="2976"/>
      <c r="AF429" s="2976"/>
    </row>
    <row r="430" spans="1:32">
      <c r="A430" s="2972">
        <v>429</v>
      </c>
      <c r="B430" s="2974" t="s">
        <v>3233</v>
      </c>
      <c r="C430" s="2973" t="s">
        <v>3224</v>
      </c>
      <c r="D430" s="2981" t="s">
        <v>3213</v>
      </c>
      <c r="E430" s="2974" t="s">
        <v>3145</v>
      </c>
      <c r="F430" s="2980">
        <v>53.82</v>
      </c>
      <c r="G430" s="2979">
        <v>12.25</v>
      </c>
      <c r="H430" s="2979">
        <v>66.069999999999993</v>
      </c>
      <c r="I430" s="2979" t="s">
        <v>3055</v>
      </c>
      <c r="J430" s="2974" t="s">
        <v>3143</v>
      </c>
      <c r="L430" s="2976"/>
      <c r="M430" s="2976"/>
      <c r="N430" s="2976"/>
      <c r="O430" s="2976"/>
      <c r="P430" s="2976"/>
      <c r="Q430" s="2976"/>
      <c r="R430" s="2976"/>
      <c r="S430" s="2976"/>
      <c r="T430" s="2976"/>
      <c r="U430" s="2976"/>
      <c r="V430" s="2976"/>
      <c r="W430" s="2976"/>
      <c r="X430" s="2976"/>
      <c r="Y430" s="2976"/>
      <c r="Z430" s="2976"/>
      <c r="AA430" s="2976"/>
      <c r="AB430" s="2976"/>
      <c r="AC430" s="2976"/>
      <c r="AD430" s="2976"/>
      <c r="AE430" s="2976"/>
      <c r="AF430" s="2976"/>
    </row>
    <row r="431" spans="1:32">
      <c r="A431" s="2972">
        <v>430</v>
      </c>
      <c r="B431" s="2974" t="s">
        <v>3233</v>
      </c>
      <c r="C431" s="2973" t="s">
        <v>3224</v>
      </c>
      <c r="D431" s="2981" t="s">
        <v>3213</v>
      </c>
      <c r="E431" s="2974" t="s">
        <v>3150</v>
      </c>
      <c r="F431" s="2980">
        <v>77.17</v>
      </c>
      <c r="G431" s="2979">
        <v>17.57</v>
      </c>
      <c r="H431" s="2979">
        <v>94.740000000000009</v>
      </c>
      <c r="I431" s="2979" t="s">
        <v>3055</v>
      </c>
      <c r="J431" s="2974" t="s">
        <v>3144</v>
      </c>
      <c r="L431" s="2976"/>
      <c r="M431" s="2976"/>
      <c r="N431" s="2976"/>
      <c r="O431" s="2976"/>
      <c r="P431" s="2976"/>
      <c r="Q431" s="2976"/>
      <c r="R431" s="2976"/>
      <c r="S431" s="2976"/>
      <c r="T431" s="2976"/>
      <c r="U431" s="2976"/>
      <c r="V431" s="2976"/>
      <c r="W431" s="2976"/>
      <c r="X431" s="2976"/>
      <c r="Y431" s="2976"/>
      <c r="Z431" s="2976"/>
      <c r="AA431" s="2976"/>
      <c r="AB431" s="2976"/>
      <c r="AC431" s="2976"/>
      <c r="AD431" s="2976"/>
      <c r="AE431" s="2976"/>
      <c r="AF431" s="2976"/>
    </row>
    <row r="432" spans="1:32">
      <c r="A432" s="2972">
        <v>431</v>
      </c>
      <c r="B432" s="2974" t="s">
        <v>3233</v>
      </c>
      <c r="C432" s="2973" t="s">
        <v>3224</v>
      </c>
      <c r="D432" s="2981" t="s">
        <v>3215</v>
      </c>
      <c r="E432" s="2974" t="s">
        <v>3145</v>
      </c>
      <c r="F432" s="2980">
        <v>77.17</v>
      </c>
      <c r="G432" s="2979">
        <v>17.57</v>
      </c>
      <c r="H432" s="2979">
        <v>94.740000000000009</v>
      </c>
      <c r="I432" s="2979" t="s">
        <v>3055</v>
      </c>
      <c r="J432" s="2974" t="s">
        <v>3144</v>
      </c>
      <c r="L432" s="2976"/>
      <c r="M432" s="2976"/>
      <c r="N432" s="2976"/>
      <c r="O432" s="2976"/>
      <c r="P432" s="2976"/>
      <c r="Q432" s="2976"/>
      <c r="R432" s="2976"/>
      <c r="S432" s="2976"/>
      <c r="T432" s="2976"/>
      <c r="U432" s="2976"/>
      <c r="V432" s="2976"/>
      <c r="W432" s="2976"/>
      <c r="X432" s="2976"/>
      <c r="Y432" s="2976"/>
      <c r="Z432" s="2976"/>
      <c r="AA432" s="2976"/>
      <c r="AB432" s="2976"/>
      <c r="AC432" s="2976"/>
      <c r="AD432" s="2976"/>
      <c r="AE432" s="2976"/>
      <c r="AF432" s="2976"/>
    </row>
    <row r="433" spans="1:32">
      <c r="A433" s="2972">
        <v>432</v>
      </c>
      <c r="B433" s="2974" t="s">
        <v>3233</v>
      </c>
      <c r="C433" s="2973" t="s">
        <v>3224</v>
      </c>
      <c r="D433" s="2981" t="s">
        <v>3215</v>
      </c>
      <c r="E433" s="2974" t="s">
        <v>3146</v>
      </c>
      <c r="F433" s="2980">
        <v>56.66</v>
      </c>
      <c r="G433" s="2979">
        <v>12.9</v>
      </c>
      <c r="H433" s="2979">
        <v>69.56</v>
      </c>
      <c r="I433" s="2979" t="s">
        <v>3055</v>
      </c>
      <c r="J433" s="2974" t="s">
        <v>3144</v>
      </c>
      <c r="L433" s="2976"/>
      <c r="M433" s="2976"/>
      <c r="N433" s="2976"/>
      <c r="O433" s="2976"/>
      <c r="P433" s="2976"/>
      <c r="Q433" s="2976"/>
      <c r="R433" s="2976"/>
      <c r="S433" s="2976"/>
      <c r="T433" s="2976"/>
      <c r="U433" s="2976"/>
      <c r="V433" s="2976"/>
      <c r="W433" s="2976"/>
      <c r="X433" s="2976"/>
      <c r="Y433" s="2976"/>
      <c r="Z433" s="2976"/>
      <c r="AA433" s="2976"/>
      <c r="AB433" s="2976"/>
      <c r="AC433" s="2976"/>
      <c r="AD433" s="2976"/>
      <c r="AE433" s="2976"/>
      <c r="AF433" s="2976"/>
    </row>
    <row r="434" spans="1:32">
      <c r="A434" s="2972">
        <v>433</v>
      </c>
      <c r="B434" s="2974" t="s">
        <v>3233</v>
      </c>
      <c r="C434" s="2973" t="s">
        <v>3224</v>
      </c>
      <c r="D434" s="2981" t="s">
        <v>3215</v>
      </c>
      <c r="E434" s="2974" t="s">
        <v>3149</v>
      </c>
      <c r="F434" s="2980">
        <v>56.66</v>
      </c>
      <c r="G434" s="2979">
        <v>12.9</v>
      </c>
      <c r="H434" s="2979">
        <v>69.56</v>
      </c>
      <c r="I434" s="2979" t="s">
        <v>3055</v>
      </c>
      <c r="J434" s="2974" t="s">
        <v>3144</v>
      </c>
      <c r="L434" s="2976"/>
      <c r="M434" s="2976"/>
      <c r="N434" s="2976"/>
      <c r="O434" s="2976"/>
      <c r="P434" s="2976"/>
      <c r="Q434" s="2976"/>
      <c r="R434" s="2976"/>
      <c r="S434" s="2976"/>
      <c r="T434" s="2976"/>
      <c r="U434" s="2976"/>
      <c r="V434" s="2976"/>
      <c r="W434" s="2976"/>
      <c r="X434" s="2976"/>
      <c r="Y434" s="2976"/>
      <c r="Z434" s="2976"/>
      <c r="AA434" s="2976"/>
      <c r="AB434" s="2976"/>
      <c r="AC434" s="2976"/>
      <c r="AD434" s="2976"/>
      <c r="AE434" s="2976"/>
      <c r="AF434" s="2976"/>
    </row>
    <row r="435" spans="1:32">
      <c r="A435" s="2972">
        <v>434</v>
      </c>
      <c r="B435" s="2974" t="s">
        <v>3233</v>
      </c>
      <c r="C435" s="2973" t="s">
        <v>3224</v>
      </c>
      <c r="D435" s="2981" t="s">
        <v>3215</v>
      </c>
      <c r="E435" s="2974" t="s">
        <v>3150</v>
      </c>
      <c r="F435" s="2980">
        <v>53.82</v>
      </c>
      <c r="G435" s="2979">
        <v>12.25</v>
      </c>
      <c r="H435" s="2979">
        <v>66.069999999999993</v>
      </c>
      <c r="I435" s="2979" t="s">
        <v>3055</v>
      </c>
      <c r="J435" s="2974" t="s">
        <v>3143</v>
      </c>
      <c r="L435" s="2976"/>
      <c r="M435" s="2976"/>
      <c r="N435" s="2976"/>
      <c r="O435" s="2976"/>
      <c r="P435" s="2976"/>
      <c r="Q435" s="2976"/>
      <c r="R435" s="2976"/>
      <c r="S435" s="2976"/>
      <c r="T435" s="2976"/>
      <c r="U435" s="2976"/>
      <c r="V435" s="2976"/>
      <c r="W435" s="2976"/>
      <c r="X435" s="2976"/>
      <c r="Y435" s="2976"/>
      <c r="Z435" s="2976"/>
      <c r="AA435" s="2976"/>
      <c r="AB435" s="2976"/>
      <c r="AC435" s="2976"/>
      <c r="AD435" s="2976"/>
      <c r="AE435" s="2976"/>
      <c r="AF435" s="2976"/>
    </row>
    <row r="436" spans="1:32">
      <c r="A436" s="2972">
        <v>435</v>
      </c>
      <c r="B436" s="2974" t="s">
        <v>3233</v>
      </c>
      <c r="C436" s="2973" t="s">
        <v>3225</v>
      </c>
      <c r="D436" s="2981" t="s">
        <v>3213</v>
      </c>
      <c r="E436" s="2974">
        <v>501</v>
      </c>
      <c r="F436" s="2980">
        <v>53.82</v>
      </c>
      <c r="G436" s="2979">
        <v>12.25</v>
      </c>
      <c r="H436" s="2979">
        <v>66.069999999999993</v>
      </c>
      <c r="I436" s="2979" t="s">
        <v>3055</v>
      </c>
      <c r="J436" s="2974" t="s">
        <v>3143</v>
      </c>
      <c r="L436" s="2976"/>
      <c r="M436" s="2976"/>
      <c r="N436" s="2976"/>
      <c r="O436" s="2976"/>
      <c r="P436" s="2976"/>
      <c r="Q436" s="2976"/>
      <c r="R436" s="2976"/>
      <c r="S436" s="2976"/>
      <c r="T436" s="2976"/>
      <c r="U436" s="2976"/>
      <c r="V436" s="2976"/>
      <c r="W436" s="2976"/>
      <c r="X436" s="2976"/>
      <c r="Y436" s="2976"/>
      <c r="Z436" s="2976"/>
      <c r="AA436" s="2976"/>
      <c r="AB436" s="2976"/>
      <c r="AC436" s="2976"/>
      <c r="AD436" s="2976"/>
      <c r="AE436" s="2976"/>
      <c r="AF436" s="2976"/>
    </row>
    <row r="437" spans="1:32">
      <c r="A437" s="2972">
        <v>436</v>
      </c>
      <c r="B437" s="2974" t="s">
        <v>3233</v>
      </c>
      <c r="C437" s="2973" t="s">
        <v>3225</v>
      </c>
      <c r="D437" s="2981" t="s">
        <v>3213</v>
      </c>
      <c r="E437" s="2974">
        <v>507</v>
      </c>
      <c r="F437" s="2980">
        <v>77.17</v>
      </c>
      <c r="G437" s="2979">
        <v>17.57</v>
      </c>
      <c r="H437" s="2979">
        <v>94.740000000000009</v>
      </c>
      <c r="I437" s="2979" t="s">
        <v>3055</v>
      </c>
      <c r="J437" s="2974" t="s">
        <v>3144</v>
      </c>
      <c r="L437" s="2976"/>
      <c r="M437" s="2976"/>
      <c r="N437" s="2976"/>
      <c r="O437" s="2976"/>
      <c r="P437" s="2976"/>
      <c r="Q437" s="2976"/>
      <c r="R437" s="2976"/>
      <c r="S437" s="2976"/>
      <c r="T437" s="2976"/>
      <c r="U437" s="2976"/>
      <c r="V437" s="2976"/>
      <c r="W437" s="2976"/>
      <c r="X437" s="2976"/>
      <c r="Y437" s="2976"/>
      <c r="Z437" s="2976"/>
      <c r="AA437" s="2976"/>
      <c r="AB437" s="2976"/>
      <c r="AC437" s="2976"/>
      <c r="AD437" s="2976"/>
      <c r="AE437" s="2976"/>
      <c r="AF437" s="2976"/>
    </row>
    <row r="438" spans="1:32">
      <c r="A438" s="2972">
        <v>437</v>
      </c>
      <c r="B438" s="2974" t="s">
        <v>3233</v>
      </c>
      <c r="C438" s="2973" t="s">
        <v>3225</v>
      </c>
      <c r="D438" s="2981" t="s">
        <v>3215</v>
      </c>
      <c r="E438" s="2974">
        <v>501</v>
      </c>
      <c r="F438" s="2980">
        <v>77.17</v>
      </c>
      <c r="G438" s="2979">
        <v>17.57</v>
      </c>
      <c r="H438" s="2979">
        <v>94.740000000000009</v>
      </c>
      <c r="I438" s="2979" t="s">
        <v>3055</v>
      </c>
      <c r="J438" s="2974" t="s">
        <v>3144</v>
      </c>
      <c r="L438" s="2976"/>
      <c r="M438" s="2976"/>
      <c r="N438" s="2976"/>
      <c r="O438" s="2976"/>
      <c r="P438" s="2976"/>
      <c r="Q438" s="2976"/>
      <c r="R438" s="2976"/>
      <c r="S438" s="2976"/>
      <c r="T438" s="2976"/>
      <c r="U438" s="2976"/>
      <c r="V438" s="2976"/>
      <c r="W438" s="2976"/>
      <c r="X438" s="2976"/>
      <c r="Y438" s="2976"/>
      <c r="Z438" s="2976"/>
      <c r="AA438" s="2976"/>
      <c r="AB438" s="2976"/>
      <c r="AC438" s="2976"/>
      <c r="AD438" s="2976"/>
      <c r="AE438" s="2976"/>
      <c r="AF438" s="2976"/>
    </row>
    <row r="439" spans="1:32">
      <c r="A439" s="2972">
        <v>438</v>
      </c>
      <c r="B439" s="2974" t="s">
        <v>3233</v>
      </c>
      <c r="C439" s="2973" t="s">
        <v>3225</v>
      </c>
      <c r="D439" s="2981" t="s">
        <v>3215</v>
      </c>
      <c r="E439" s="2974">
        <v>502</v>
      </c>
      <c r="F439" s="2980">
        <v>56.66</v>
      </c>
      <c r="G439" s="2979">
        <v>12.9</v>
      </c>
      <c r="H439" s="2979">
        <v>69.56</v>
      </c>
      <c r="I439" s="2979" t="s">
        <v>3055</v>
      </c>
      <c r="J439" s="2974" t="s">
        <v>3144</v>
      </c>
      <c r="L439" s="2976"/>
      <c r="M439" s="2976"/>
      <c r="N439" s="2976"/>
      <c r="O439" s="2976"/>
      <c r="P439" s="2976"/>
      <c r="Q439" s="2976"/>
      <c r="R439" s="2976"/>
      <c r="S439" s="2976"/>
      <c r="T439" s="2976"/>
      <c r="U439" s="2976"/>
      <c r="V439" s="2976"/>
      <c r="W439" s="2976"/>
      <c r="X439" s="2976"/>
      <c r="Y439" s="2976"/>
      <c r="Z439" s="2976"/>
      <c r="AA439" s="2976"/>
      <c r="AB439" s="2976"/>
      <c r="AC439" s="2976"/>
      <c r="AD439" s="2976"/>
      <c r="AE439" s="2976"/>
      <c r="AF439" s="2976"/>
    </row>
    <row r="440" spans="1:32">
      <c r="A440" s="2972">
        <v>439</v>
      </c>
      <c r="B440" s="2974" t="s">
        <v>3233</v>
      </c>
      <c r="C440" s="2973" t="s">
        <v>3225</v>
      </c>
      <c r="D440" s="2981" t="s">
        <v>3215</v>
      </c>
      <c r="E440" s="2974">
        <v>507</v>
      </c>
      <c r="F440" s="2980">
        <v>53.82</v>
      </c>
      <c r="G440" s="2979">
        <v>12.25</v>
      </c>
      <c r="H440" s="2979">
        <v>66.069999999999993</v>
      </c>
      <c r="I440" s="2979" t="s">
        <v>3055</v>
      </c>
      <c r="J440" s="2974" t="s">
        <v>3143</v>
      </c>
      <c r="L440" s="2976"/>
      <c r="M440" s="2976"/>
      <c r="N440" s="2976"/>
      <c r="O440" s="2976"/>
      <c r="P440" s="2976"/>
      <c r="Q440" s="2976"/>
      <c r="R440" s="2976"/>
      <c r="S440" s="2976"/>
      <c r="T440" s="2976"/>
      <c r="U440" s="2976"/>
      <c r="V440" s="2976"/>
      <c r="W440" s="2976"/>
      <c r="X440" s="2976"/>
      <c r="Y440" s="2976"/>
      <c r="Z440" s="2976"/>
      <c r="AA440" s="2976"/>
      <c r="AB440" s="2976"/>
      <c r="AC440" s="2976"/>
      <c r="AD440" s="2976"/>
      <c r="AE440" s="2976"/>
      <c r="AF440" s="2976"/>
    </row>
    <row r="441" spans="1:32">
      <c r="A441" s="2972">
        <v>440</v>
      </c>
      <c r="B441" s="2974" t="s">
        <v>3233</v>
      </c>
      <c r="C441" s="2973" t="s">
        <v>3226</v>
      </c>
      <c r="D441" s="2981" t="s">
        <v>3213</v>
      </c>
      <c r="E441" s="2974">
        <v>601</v>
      </c>
      <c r="F441" s="2980">
        <v>53.82</v>
      </c>
      <c r="G441" s="2979">
        <v>12.25</v>
      </c>
      <c r="H441" s="2979">
        <v>66.069999999999993</v>
      </c>
      <c r="I441" s="2979" t="s">
        <v>3055</v>
      </c>
      <c r="J441" s="2974" t="s">
        <v>3143</v>
      </c>
      <c r="L441" s="2976"/>
      <c r="M441" s="2976"/>
      <c r="N441" s="2976"/>
      <c r="O441" s="2976"/>
      <c r="P441" s="2976"/>
      <c r="Q441" s="2976"/>
      <c r="R441" s="2976"/>
      <c r="S441" s="2976"/>
      <c r="T441" s="2976"/>
      <c r="U441" s="2976"/>
      <c r="V441" s="2976"/>
      <c r="W441" s="2976"/>
      <c r="X441" s="2976"/>
      <c r="Y441" s="2976"/>
      <c r="Z441" s="2976"/>
      <c r="AA441" s="2976"/>
      <c r="AB441" s="2976"/>
      <c r="AC441" s="2976"/>
      <c r="AD441" s="2976"/>
      <c r="AE441" s="2976"/>
      <c r="AF441" s="2976"/>
    </row>
    <row r="442" spans="1:32">
      <c r="A442" s="2972">
        <v>441</v>
      </c>
      <c r="B442" s="2974" t="s">
        <v>3233</v>
      </c>
      <c r="C442" s="2973" t="s">
        <v>3226</v>
      </c>
      <c r="D442" s="2981" t="s">
        <v>3213</v>
      </c>
      <c r="E442" s="2974">
        <v>602</v>
      </c>
      <c r="F442" s="2980">
        <v>56.66</v>
      </c>
      <c r="G442" s="2979">
        <v>12.9</v>
      </c>
      <c r="H442" s="2979">
        <v>69.56</v>
      </c>
      <c r="I442" s="2979" t="s">
        <v>3055</v>
      </c>
      <c r="J442" s="2974" t="s">
        <v>3144</v>
      </c>
      <c r="L442" s="2976"/>
      <c r="M442" s="2976"/>
      <c r="N442" s="2976"/>
      <c r="O442" s="2976"/>
      <c r="P442" s="2976"/>
      <c r="Q442" s="2976"/>
      <c r="R442" s="2976"/>
      <c r="S442" s="2976"/>
      <c r="T442" s="2976"/>
      <c r="U442" s="2976"/>
      <c r="V442" s="2976"/>
      <c r="W442" s="2976"/>
      <c r="X442" s="2976"/>
      <c r="Y442" s="2976"/>
      <c r="Z442" s="2976"/>
      <c r="AA442" s="2976"/>
      <c r="AB442" s="2976"/>
      <c r="AC442" s="2976"/>
      <c r="AD442" s="2976"/>
      <c r="AE442" s="2976"/>
      <c r="AF442" s="2976"/>
    </row>
    <row r="443" spans="1:32">
      <c r="A443" s="2972">
        <v>442</v>
      </c>
      <c r="B443" s="2974" t="s">
        <v>3233</v>
      </c>
      <c r="C443" s="2973" t="s">
        <v>3226</v>
      </c>
      <c r="D443" s="2981" t="s">
        <v>3213</v>
      </c>
      <c r="E443" s="2974">
        <v>603</v>
      </c>
      <c r="F443" s="2980">
        <v>56.81</v>
      </c>
      <c r="G443" s="2979">
        <v>12.94</v>
      </c>
      <c r="H443" s="2979">
        <v>69.75</v>
      </c>
      <c r="I443" s="2979" t="s">
        <v>3055</v>
      </c>
      <c r="J443" s="2974" t="s">
        <v>3144</v>
      </c>
      <c r="L443" s="2976"/>
      <c r="M443" s="2976"/>
      <c r="N443" s="2976"/>
      <c r="O443" s="2976"/>
      <c r="P443" s="2976"/>
      <c r="Q443" s="2976"/>
      <c r="R443" s="2976"/>
      <c r="S443" s="2976"/>
      <c r="T443" s="2976"/>
      <c r="U443" s="2976"/>
      <c r="V443" s="2976"/>
      <c r="W443" s="2976"/>
      <c r="X443" s="2976"/>
      <c r="Y443" s="2976"/>
      <c r="Z443" s="2976"/>
      <c r="AA443" s="2976"/>
      <c r="AB443" s="2976"/>
      <c r="AC443" s="2976"/>
      <c r="AD443" s="2976"/>
      <c r="AE443" s="2976"/>
      <c r="AF443" s="2976"/>
    </row>
    <row r="444" spans="1:32">
      <c r="A444" s="2972">
        <v>443</v>
      </c>
      <c r="B444" s="2974" t="s">
        <v>3233</v>
      </c>
      <c r="C444" s="2973" t="s">
        <v>3226</v>
      </c>
      <c r="D444" s="2981" t="s">
        <v>3213</v>
      </c>
      <c r="E444" s="2974">
        <v>605</v>
      </c>
      <c r="F444" s="2980">
        <v>56.81</v>
      </c>
      <c r="G444" s="2979">
        <v>12.94</v>
      </c>
      <c r="H444" s="2979">
        <v>69.75</v>
      </c>
      <c r="I444" s="2979" t="s">
        <v>3055</v>
      </c>
      <c r="J444" s="2974" t="s">
        <v>3144</v>
      </c>
      <c r="L444" s="2976"/>
      <c r="M444" s="2976"/>
      <c r="N444" s="2976"/>
      <c r="O444" s="2976"/>
      <c r="P444" s="2976"/>
      <c r="Q444" s="2976"/>
      <c r="R444" s="2976"/>
      <c r="S444" s="2976"/>
      <c r="T444" s="2976"/>
      <c r="U444" s="2976"/>
      <c r="V444" s="2976"/>
      <c r="W444" s="2976"/>
      <c r="X444" s="2976"/>
      <c r="Y444" s="2976"/>
      <c r="Z444" s="2976"/>
      <c r="AA444" s="2976"/>
      <c r="AB444" s="2976"/>
      <c r="AC444" s="2976"/>
      <c r="AD444" s="2976"/>
      <c r="AE444" s="2976"/>
      <c r="AF444" s="2976"/>
    </row>
    <row r="445" spans="1:32">
      <c r="A445" s="2972">
        <v>444</v>
      </c>
      <c r="B445" s="2974" t="s">
        <v>3233</v>
      </c>
      <c r="C445" s="2973" t="s">
        <v>3226</v>
      </c>
      <c r="D445" s="2981" t="s">
        <v>3213</v>
      </c>
      <c r="E445" s="2974">
        <v>606</v>
      </c>
      <c r="F445" s="2980">
        <v>56.66</v>
      </c>
      <c r="G445" s="2979">
        <v>12.9</v>
      </c>
      <c r="H445" s="2979">
        <v>69.56</v>
      </c>
      <c r="I445" s="2979" t="s">
        <v>3055</v>
      </c>
      <c r="J445" s="2974" t="s">
        <v>3144</v>
      </c>
      <c r="L445" s="2976"/>
      <c r="M445" s="2976"/>
      <c r="N445" s="2976"/>
      <c r="O445" s="2976"/>
      <c r="P445" s="2976"/>
      <c r="Q445" s="2976"/>
      <c r="R445" s="2976"/>
      <c r="S445" s="2976"/>
      <c r="T445" s="2976"/>
      <c r="U445" s="2976"/>
      <c r="V445" s="2976"/>
      <c r="W445" s="2976"/>
      <c r="X445" s="2976"/>
      <c r="Y445" s="2976"/>
      <c r="Z445" s="2976"/>
      <c r="AA445" s="2976"/>
      <c r="AB445" s="2976"/>
      <c r="AC445" s="2976"/>
      <c r="AD445" s="2976"/>
      <c r="AE445" s="2976"/>
      <c r="AF445" s="2976"/>
    </row>
    <row r="446" spans="1:32">
      <c r="A446" s="2972">
        <v>445</v>
      </c>
      <c r="B446" s="2974" t="s">
        <v>3233</v>
      </c>
      <c r="C446" s="2973" t="s">
        <v>3226</v>
      </c>
      <c r="D446" s="2981" t="s">
        <v>3215</v>
      </c>
      <c r="E446" s="2974">
        <v>602</v>
      </c>
      <c r="F446" s="2980">
        <v>56.66</v>
      </c>
      <c r="G446" s="2979">
        <v>12.9</v>
      </c>
      <c r="H446" s="2979">
        <v>69.56</v>
      </c>
      <c r="I446" s="2979" t="s">
        <v>3055</v>
      </c>
      <c r="J446" s="2974" t="s">
        <v>3144</v>
      </c>
      <c r="L446" s="2976"/>
      <c r="M446" s="2976"/>
      <c r="N446" s="2976"/>
      <c r="O446" s="2976"/>
      <c r="P446" s="2976"/>
      <c r="Q446" s="2976"/>
      <c r="R446" s="2976"/>
      <c r="S446" s="2976"/>
      <c r="T446" s="2976"/>
      <c r="U446" s="2976"/>
      <c r="V446" s="2976"/>
      <c r="W446" s="2976"/>
      <c r="X446" s="2976"/>
      <c r="Y446" s="2976"/>
      <c r="Z446" s="2976"/>
      <c r="AA446" s="2976"/>
      <c r="AB446" s="2976"/>
      <c r="AC446" s="2976"/>
      <c r="AD446" s="2976"/>
      <c r="AE446" s="2976"/>
      <c r="AF446" s="2976"/>
    </row>
    <row r="447" spans="1:32">
      <c r="A447" s="2972">
        <v>446</v>
      </c>
      <c r="B447" s="2974" t="s">
        <v>3233</v>
      </c>
      <c r="C447" s="2973" t="s">
        <v>3226</v>
      </c>
      <c r="D447" s="2981" t="s">
        <v>3215</v>
      </c>
      <c r="E447" s="2974">
        <v>603</v>
      </c>
      <c r="F447" s="2980">
        <v>56.81</v>
      </c>
      <c r="G447" s="2979">
        <v>12.94</v>
      </c>
      <c r="H447" s="2979">
        <v>69.75</v>
      </c>
      <c r="I447" s="2979" t="s">
        <v>3055</v>
      </c>
      <c r="J447" s="2974" t="s">
        <v>3144</v>
      </c>
      <c r="L447" s="2976"/>
      <c r="M447" s="2976"/>
      <c r="N447" s="2976"/>
      <c r="O447" s="2976"/>
      <c r="P447" s="2976"/>
      <c r="Q447" s="2976"/>
      <c r="R447" s="2976"/>
      <c r="S447" s="2976"/>
      <c r="T447" s="2976"/>
      <c r="U447" s="2976"/>
      <c r="V447" s="2976"/>
      <c r="W447" s="2976"/>
      <c r="X447" s="2976"/>
      <c r="Y447" s="2976"/>
      <c r="Z447" s="2976"/>
      <c r="AA447" s="2976"/>
      <c r="AB447" s="2976"/>
      <c r="AC447" s="2976"/>
      <c r="AD447" s="2976"/>
      <c r="AE447" s="2976"/>
      <c r="AF447" s="2976"/>
    </row>
    <row r="448" spans="1:32">
      <c r="A448" s="2972">
        <v>447</v>
      </c>
      <c r="B448" s="2974" t="s">
        <v>3233</v>
      </c>
      <c r="C448" s="2973" t="s">
        <v>3226</v>
      </c>
      <c r="D448" s="2981" t="s">
        <v>3215</v>
      </c>
      <c r="E448" s="2974">
        <v>605</v>
      </c>
      <c r="F448" s="2980">
        <v>56.81</v>
      </c>
      <c r="G448" s="2979">
        <v>12.94</v>
      </c>
      <c r="H448" s="2979">
        <v>69.75</v>
      </c>
      <c r="I448" s="2979" t="s">
        <v>3055</v>
      </c>
      <c r="J448" s="2974" t="s">
        <v>3144</v>
      </c>
      <c r="L448" s="2976"/>
      <c r="M448" s="2976"/>
      <c r="N448" s="2976"/>
      <c r="O448" s="2976"/>
      <c r="P448" s="2976"/>
      <c r="Q448" s="2976"/>
      <c r="R448" s="2976"/>
      <c r="S448" s="2976"/>
      <c r="T448" s="2976"/>
      <c r="U448" s="2976"/>
      <c r="V448" s="2976"/>
      <c r="W448" s="2976"/>
      <c r="X448" s="2976"/>
      <c r="Y448" s="2976"/>
      <c r="Z448" s="2976"/>
      <c r="AA448" s="2976"/>
      <c r="AB448" s="2976"/>
      <c r="AC448" s="2976"/>
      <c r="AD448" s="2976"/>
      <c r="AE448" s="2976"/>
      <c r="AF448" s="2976"/>
    </row>
    <row r="449" spans="1:32">
      <c r="A449" s="2972">
        <v>448</v>
      </c>
      <c r="B449" s="2974" t="s">
        <v>3233</v>
      </c>
      <c r="C449" s="2973" t="s">
        <v>3226</v>
      </c>
      <c r="D449" s="2981" t="s">
        <v>3215</v>
      </c>
      <c r="E449" s="2974">
        <v>606</v>
      </c>
      <c r="F449" s="2980">
        <v>56.66</v>
      </c>
      <c r="G449" s="2979">
        <v>12.9</v>
      </c>
      <c r="H449" s="2979">
        <v>69.56</v>
      </c>
      <c r="I449" s="2979" t="s">
        <v>3055</v>
      </c>
      <c r="J449" s="2974" t="s">
        <v>3144</v>
      </c>
      <c r="L449" s="2976"/>
      <c r="M449" s="2976"/>
      <c r="N449" s="2976"/>
      <c r="O449" s="2976"/>
      <c r="P449" s="2976"/>
      <c r="Q449" s="2976"/>
      <c r="R449" s="2976"/>
      <c r="S449" s="2976"/>
      <c r="T449" s="2976"/>
      <c r="U449" s="2976"/>
      <c r="V449" s="2976"/>
      <c r="W449" s="2976"/>
      <c r="X449" s="2976"/>
      <c r="Y449" s="2976"/>
      <c r="Z449" s="2976"/>
      <c r="AA449" s="2976"/>
      <c r="AB449" s="2976"/>
      <c r="AC449" s="2976"/>
      <c r="AD449" s="2976"/>
      <c r="AE449" s="2976"/>
      <c r="AF449" s="2976"/>
    </row>
    <row r="450" spans="1:32">
      <c r="A450" s="2972">
        <v>449</v>
      </c>
      <c r="B450" s="2974" t="s">
        <v>3243</v>
      </c>
      <c r="C450" s="2982" t="s">
        <v>3152</v>
      </c>
      <c r="D450" s="2972" t="s">
        <v>3183</v>
      </c>
      <c r="E450" s="2982">
        <v>102</v>
      </c>
      <c r="F450" s="2983">
        <v>79.91</v>
      </c>
      <c r="G450" s="2979">
        <v>14.87</v>
      </c>
      <c r="H450" s="2979">
        <v>94.78</v>
      </c>
      <c r="I450" s="2974" t="s">
        <v>3055</v>
      </c>
      <c r="J450" s="2981" t="s">
        <v>3155</v>
      </c>
      <c r="L450" s="2976"/>
      <c r="M450" s="2976"/>
      <c r="N450" s="2976"/>
      <c r="O450" s="2976"/>
      <c r="P450" s="2976"/>
      <c r="Q450" s="2976"/>
      <c r="R450" s="2976"/>
      <c r="S450" s="2976"/>
      <c r="T450" s="2976"/>
      <c r="U450" s="2976"/>
      <c r="V450" s="2976"/>
      <c r="W450" s="2976"/>
      <c r="X450" s="2976"/>
      <c r="Y450" s="2976"/>
      <c r="Z450" s="2976"/>
      <c r="AA450" s="2976"/>
      <c r="AB450" s="2976"/>
      <c r="AC450" s="2976"/>
      <c r="AD450" s="2976"/>
      <c r="AE450" s="2976"/>
      <c r="AF450" s="2976"/>
    </row>
    <row r="451" spans="1:32">
      <c r="A451" s="2972">
        <v>450</v>
      </c>
      <c r="B451" s="2974" t="s">
        <v>3243</v>
      </c>
      <c r="C451" s="2982" t="s">
        <v>3152</v>
      </c>
      <c r="D451" s="2972" t="s">
        <v>3183</v>
      </c>
      <c r="E451" s="2982">
        <v>103</v>
      </c>
      <c r="F451" s="2983">
        <v>75.650000000000006</v>
      </c>
      <c r="G451" s="2979">
        <v>14.07</v>
      </c>
      <c r="H451" s="2979">
        <v>89.72</v>
      </c>
      <c r="I451" s="2974" t="s">
        <v>3055</v>
      </c>
      <c r="J451" s="2981" t="s">
        <v>3155</v>
      </c>
      <c r="L451" s="2976"/>
      <c r="M451" s="2976"/>
      <c r="N451" s="2976"/>
      <c r="O451" s="2976"/>
      <c r="P451" s="2976"/>
      <c r="Q451" s="2976"/>
      <c r="R451" s="2976"/>
      <c r="S451" s="2976"/>
      <c r="T451" s="2976"/>
      <c r="U451" s="2976"/>
      <c r="V451" s="2976"/>
      <c r="W451" s="2976"/>
      <c r="X451" s="2976"/>
      <c r="Y451" s="2976"/>
      <c r="Z451" s="2976"/>
      <c r="AA451" s="2976"/>
      <c r="AB451" s="2976"/>
      <c r="AC451" s="2976"/>
      <c r="AD451" s="2976"/>
      <c r="AE451" s="2976"/>
      <c r="AF451" s="2976"/>
    </row>
    <row r="452" spans="1:32">
      <c r="A452" s="2972">
        <v>451</v>
      </c>
      <c r="B452" s="2974" t="s">
        <v>3243</v>
      </c>
      <c r="C452" s="2982" t="s">
        <v>3152</v>
      </c>
      <c r="D452" s="2972" t="s">
        <v>3183</v>
      </c>
      <c r="E452" s="2982">
        <v>106</v>
      </c>
      <c r="F452" s="2983">
        <v>80.52</v>
      </c>
      <c r="G452" s="2979">
        <v>14.98</v>
      </c>
      <c r="H452" s="2979">
        <v>95.5</v>
      </c>
      <c r="I452" s="2974" t="s">
        <v>3055</v>
      </c>
      <c r="J452" s="2981" t="s">
        <v>3155</v>
      </c>
      <c r="L452" s="2976"/>
      <c r="M452" s="2976"/>
      <c r="N452" s="2976"/>
      <c r="O452" s="2976"/>
      <c r="P452" s="2976"/>
      <c r="Q452" s="2976"/>
      <c r="R452" s="2976"/>
      <c r="S452" s="2976"/>
      <c r="T452" s="2976"/>
      <c r="U452" s="2976"/>
      <c r="V452" s="2976"/>
      <c r="W452" s="2976"/>
      <c r="X452" s="2976"/>
      <c r="Y452" s="2976"/>
      <c r="Z452" s="2976"/>
      <c r="AA452" s="2976"/>
      <c r="AB452" s="2976"/>
      <c r="AC452" s="2976"/>
      <c r="AD452" s="2976"/>
      <c r="AE452" s="2976"/>
      <c r="AF452" s="2976"/>
    </row>
    <row r="453" spans="1:32">
      <c r="A453" s="2972">
        <v>452</v>
      </c>
      <c r="B453" s="2974" t="s">
        <v>3243</v>
      </c>
      <c r="C453" s="2982" t="s">
        <v>3159</v>
      </c>
      <c r="D453" s="2972" t="s">
        <v>3183</v>
      </c>
      <c r="E453" s="2982">
        <v>201</v>
      </c>
      <c r="F453" s="2983">
        <v>58.35</v>
      </c>
      <c r="G453" s="2979">
        <v>10.85</v>
      </c>
      <c r="H453" s="2979">
        <v>69.2</v>
      </c>
      <c r="I453" s="2974" t="s">
        <v>3055</v>
      </c>
      <c r="J453" s="2981" t="s">
        <v>3155</v>
      </c>
      <c r="L453" s="2976"/>
      <c r="M453" s="2976"/>
      <c r="N453" s="2976"/>
      <c r="O453" s="2976"/>
      <c r="P453" s="2976"/>
      <c r="Q453" s="2976"/>
      <c r="R453" s="2976"/>
      <c r="S453" s="2976"/>
      <c r="T453" s="2976"/>
      <c r="U453" s="2976"/>
      <c r="V453" s="2976"/>
      <c r="W453" s="2976"/>
      <c r="X453" s="2976"/>
      <c r="Y453" s="2976"/>
      <c r="Z453" s="2976"/>
      <c r="AA453" s="2976"/>
      <c r="AB453" s="2976"/>
      <c r="AC453" s="2976"/>
      <c r="AD453" s="2976"/>
      <c r="AE453" s="2976"/>
      <c r="AF453" s="2976"/>
    </row>
    <row r="454" spans="1:32">
      <c r="A454" s="2972">
        <v>453</v>
      </c>
      <c r="B454" s="2974" t="s">
        <v>3243</v>
      </c>
      <c r="C454" s="2982" t="s">
        <v>3159</v>
      </c>
      <c r="D454" s="2972" t="s">
        <v>3183</v>
      </c>
      <c r="E454" s="2982">
        <v>202</v>
      </c>
      <c r="F454" s="2983">
        <v>79.900000000000006</v>
      </c>
      <c r="G454" s="2979">
        <v>14.86</v>
      </c>
      <c r="H454" s="2979">
        <v>94.76</v>
      </c>
      <c r="I454" s="2974" t="s">
        <v>3055</v>
      </c>
      <c r="J454" s="2981" t="s">
        <v>3155</v>
      </c>
      <c r="L454" s="2976"/>
      <c r="M454" s="2976"/>
      <c r="N454" s="2976"/>
      <c r="O454" s="2976"/>
      <c r="P454" s="2976"/>
      <c r="Q454" s="2976"/>
      <c r="R454" s="2976"/>
      <c r="S454" s="2976"/>
      <c r="T454" s="2976"/>
      <c r="U454" s="2976"/>
      <c r="V454" s="2976"/>
      <c r="W454" s="2976"/>
      <c r="X454" s="2976"/>
      <c r="Y454" s="2976"/>
      <c r="Z454" s="2976"/>
      <c r="AA454" s="2976"/>
      <c r="AB454" s="2976"/>
      <c r="AC454" s="2976"/>
      <c r="AD454" s="2976"/>
      <c r="AE454" s="2976"/>
      <c r="AF454" s="2976"/>
    </row>
    <row r="455" spans="1:32">
      <c r="A455" s="2972">
        <v>454</v>
      </c>
      <c r="B455" s="2974" t="s">
        <v>3243</v>
      </c>
      <c r="C455" s="2982" t="s">
        <v>3159</v>
      </c>
      <c r="D455" s="2972" t="s">
        <v>3183</v>
      </c>
      <c r="E455" s="2982">
        <v>203</v>
      </c>
      <c r="F455" s="2983">
        <v>78.95</v>
      </c>
      <c r="G455" s="2979">
        <v>14.69</v>
      </c>
      <c r="H455" s="2979">
        <v>93.64</v>
      </c>
      <c r="I455" s="2974" t="s">
        <v>3055</v>
      </c>
      <c r="J455" s="2981" t="s">
        <v>3155</v>
      </c>
      <c r="L455" s="2976"/>
      <c r="M455" s="2976"/>
      <c r="N455" s="2976"/>
      <c r="O455" s="2976"/>
      <c r="P455" s="2976"/>
      <c r="Q455" s="2976"/>
      <c r="R455" s="2976"/>
      <c r="S455" s="2976"/>
      <c r="T455" s="2976"/>
      <c r="U455" s="2976"/>
      <c r="V455" s="2976"/>
      <c r="W455" s="2976"/>
      <c r="X455" s="2976"/>
      <c r="Y455" s="2976"/>
      <c r="Z455" s="2976"/>
      <c r="AA455" s="2976"/>
      <c r="AB455" s="2976"/>
      <c r="AC455" s="2976"/>
      <c r="AD455" s="2976"/>
      <c r="AE455" s="2976"/>
      <c r="AF455" s="2976"/>
    </row>
    <row r="456" spans="1:32">
      <c r="A456" s="2972">
        <v>455</v>
      </c>
      <c r="B456" s="2974" t="s">
        <v>3243</v>
      </c>
      <c r="C456" s="2982" t="s">
        <v>3159</v>
      </c>
      <c r="D456" s="2972" t="s">
        <v>3183</v>
      </c>
      <c r="E456" s="2982">
        <v>205</v>
      </c>
      <c r="F456" s="2983">
        <v>78.95</v>
      </c>
      <c r="G456" s="2979">
        <v>14.69</v>
      </c>
      <c r="H456" s="2979">
        <v>93.64</v>
      </c>
      <c r="I456" s="2974" t="s">
        <v>3055</v>
      </c>
      <c r="J456" s="2981" t="s">
        <v>3155</v>
      </c>
      <c r="L456" s="2976"/>
      <c r="M456" s="2976"/>
      <c r="N456" s="2976"/>
      <c r="O456" s="2976"/>
      <c r="P456" s="2976"/>
      <c r="Q456" s="2976"/>
      <c r="R456" s="2976"/>
      <c r="S456" s="2976"/>
      <c r="T456" s="2976"/>
      <c r="U456" s="2976"/>
      <c r="V456" s="2976"/>
      <c r="W456" s="2976"/>
      <c r="X456" s="2976"/>
      <c r="Y456" s="2976"/>
      <c r="Z456" s="2976"/>
      <c r="AA456" s="2976"/>
      <c r="AB456" s="2976"/>
      <c r="AC456" s="2976"/>
      <c r="AD456" s="2976"/>
      <c r="AE456" s="2976"/>
      <c r="AF456" s="2976"/>
    </row>
    <row r="457" spans="1:32">
      <c r="A457" s="2972">
        <v>456</v>
      </c>
      <c r="B457" s="2974" t="s">
        <v>3243</v>
      </c>
      <c r="C457" s="2982" t="s">
        <v>3159</v>
      </c>
      <c r="D457" s="2972" t="s">
        <v>3183</v>
      </c>
      <c r="E457" s="2982">
        <v>206</v>
      </c>
      <c r="F457" s="2983">
        <v>80.52</v>
      </c>
      <c r="G457" s="2979">
        <v>14.98</v>
      </c>
      <c r="H457" s="2979">
        <v>95.5</v>
      </c>
      <c r="I457" s="2974" t="s">
        <v>3055</v>
      </c>
      <c r="J457" s="2981" t="s">
        <v>3155</v>
      </c>
      <c r="L457" s="2976"/>
      <c r="M457" s="2976"/>
      <c r="N457" s="2976"/>
      <c r="O457" s="2976"/>
      <c r="P457" s="2976"/>
      <c r="Q457" s="2976"/>
      <c r="R457" s="2976"/>
      <c r="S457" s="2976"/>
      <c r="T457" s="2976"/>
      <c r="U457" s="2976"/>
      <c r="V457" s="2976"/>
      <c r="W457" s="2976"/>
      <c r="X457" s="2976"/>
      <c r="Y457" s="2976"/>
      <c r="Z457" s="2976"/>
      <c r="AA457" s="2976"/>
      <c r="AB457" s="2976"/>
      <c r="AC457" s="2976"/>
      <c r="AD457" s="2976"/>
      <c r="AE457" s="2976"/>
      <c r="AF457" s="2976"/>
    </row>
    <row r="458" spans="1:32">
      <c r="A458" s="2972">
        <v>457</v>
      </c>
      <c r="B458" s="2974" t="s">
        <v>3243</v>
      </c>
      <c r="C458" s="2982" t="s">
        <v>3159</v>
      </c>
      <c r="D458" s="2972" t="s">
        <v>3183</v>
      </c>
      <c r="E458" s="2982">
        <v>207</v>
      </c>
      <c r="F458" s="2983">
        <v>58.35</v>
      </c>
      <c r="G458" s="2979">
        <v>10.85</v>
      </c>
      <c r="H458" s="2979">
        <v>69.2</v>
      </c>
      <c r="I458" s="2974" t="s">
        <v>3055</v>
      </c>
      <c r="J458" s="2981" t="s">
        <v>3155</v>
      </c>
      <c r="L458" s="2976"/>
      <c r="M458" s="2976"/>
      <c r="N458" s="2976"/>
      <c r="O458" s="2976"/>
      <c r="P458" s="2976"/>
      <c r="Q458" s="2976"/>
      <c r="R458" s="2976"/>
      <c r="S458" s="2976"/>
      <c r="T458" s="2976"/>
      <c r="U458" s="2976"/>
      <c r="V458" s="2976"/>
      <c r="W458" s="2976"/>
      <c r="X458" s="2976"/>
      <c r="Y458" s="2976"/>
      <c r="Z458" s="2976"/>
      <c r="AA458" s="2976"/>
      <c r="AB458" s="2976"/>
      <c r="AC458" s="2976"/>
      <c r="AD458" s="2976"/>
      <c r="AE458" s="2976"/>
      <c r="AF458" s="2976"/>
    </row>
    <row r="459" spans="1:32">
      <c r="A459" s="2972">
        <v>458</v>
      </c>
      <c r="B459" s="2974" t="s">
        <v>3243</v>
      </c>
      <c r="C459" s="2982" t="s">
        <v>3153</v>
      </c>
      <c r="D459" s="2972" t="s">
        <v>3183</v>
      </c>
      <c r="E459" s="2982">
        <v>301</v>
      </c>
      <c r="F459" s="2983">
        <v>58.35</v>
      </c>
      <c r="G459" s="2979">
        <v>10.85</v>
      </c>
      <c r="H459" s="2979">
        <v>69.2</v>
      </c>
      <c r="I459" s="2974" t="s">
        <v>3055</v>
      </c>
      <c r="J459" s="2981" t="s">
        <v>3155</v>
      </c>
      <c r="L459" s="2976"/>
      <c r="M459" s="2976"/>
      <c r="N459" s="2976"/>
      <c r="O459" s="2976"/>
      <c r="P459" s="2976"/>
      <c r="Q459" s="2976"/>
      <c r="R459" s="2976"/>
      <c r="S459" s="2976"/>
      <c r="T459" s="2976"/>
      <c r="U459" s="2976"/>
      <c r="V459" s="2976"/>
      <c r="W459" s="2976"/>
      <c r="X459" s="2976"/>
      <c r="Y459" s="2976"/>
      <c r="Z459" s="2976"/>
      <c r="AA459" s="2976"/>
      <c r="AB459" s="2976"/>
      <c r="AC459" s="2976"/>
      <c r="AD459" s="2976"/>
      <c r="AE459" s="2976"/>
      <c r="AF459" s="2976"/>
    </row>
    <row r="460" spans="1:32">
      <c r="A460" s="2972">
        <v>459</v>
      </c>
      <c r="B460" s="2974" t="s">
        <v>3243</v>
      </c>
      <c r="C460" s="2982" t="s">
        <v>3153</v>
      </c>
      <c r="D460" s="2972" t="s">
        <v>3183</v>
      </c>
      <c r="E460" s="2982">
        <v>302</v>
      </c>
      <c r="F460" s="2983">
        <v>79.900000000000006</v>
      </c>
      <c r="G460" s="2979">
        <v>14.86</v>
      </c>
      <c r="H460" s="2979">
        <v>94.76</v>
      </c>
      <c r="I460" s="2974" t="s">
        <v>3055</v>
      </c>
      <c r="J460" s="2981" t="s">
        <v>3155</v>
      </c>
      <c r="L460" s="2976"/>
      <c r="M460" s="2976"/>
      <c r="N460" s="2976"/>
      <c r="O460" s="2976"/>
      <c r="P460" s="2976"/>
      <c r="Q460" s="2976"/>
      <c r="R460" s="2976"/>
      <c r="S460" s="2976"/>
      <c r="T460" s="2976"/>
      <c r="U460" s="2976"/>
      <c r="V460" s="2976"/>
      <c r="W460" s="2976"/>
      <c r="X460" s="2976"/>
      <c r="Y460" s="2976"/>
      <c r="Z460" s="2976"/>
      <c r="AA460" s="2976"/>
      <c r="AB460" s="2976"/>
      <c r="AC460" s="2976"/>
      <c r="AD460" s="2976"/>
      <c r="AE460" s="2976"/>
      <c r="AF460" s="2976"/>
    </row>
    <row r="461" spans="1:32">
      <c r="A461" s="2972">
        <v>460</v>
      </c>
      <c r="B461" s="2974" t="s">
        <v>3243</v>
      </c>
      <c r="C461" s="2982" t="s">
        <v>3153</v>
      </c>
      <c r="D461" s="2972" t="s">
        <v>3183</v>
      </c>
      <c r="E461" s="2982">
        <v>303</v>
      </c>
      <c r="F461" s="2983">
        <v>78.95</v>
      </c>
      <c r="G461" s="2979">
        <v>14.69</v>
      </c>
      <c r="H461" s="2979">
        <v>93.64</v>
      </c>
      <c r="I461" s="2974" t="s">
        <v>3055</v>
      </c>
      <c r="J461" s="2981" t="s">
        <v>3155</v>
      </c>
      <c r="L461" s="2976"/>
      <c r="M461" s="2976"/>
      <c r="N461" s="2976"/>
      <c r="O461" s="2976"/>
      <c r="P461" s="2976"/>
      <c r="Q461" s="2976"/>
      <c r="R461" s="2976"/>
      <c r="S461" s="2976"/>
      <c r="T461" s="2976"/>
      <c r="U461" s="2976"/>
      <c r="V461" s="2976"/>
      <c r="W461" s="2976"/>
      <c r="X461" s="2976"/>
      <c r="Y461" s="2976"/>
      <c r="Z461" s="2976"/>
      <c r="AA461" s="2976"/>
      <c r="AB461" s="2976"/>
      <c r="AC461" s="2976"/>
      <c r="AD461" s="2976"/>
      <c r="AE461" s="2976"/>
      <c r="AF461" s="2976"/>
    </row>
    <row r="462" spans="1:32">
      <c r="A462" s="2972">
        <v>461</v>
      </c>
      <c r="B462" s="2974" t="s">
        <v>3243</v>
      </c>
      <c r="C462" s="2982" t="s">
        <v>3153</v>
      </c>
      <c r="D462" s="2972" t="s">
        <v>3183</v>
      </c>
      <c r="E462" s="2982">
        <v>305</v>
      </c>
      <c r="F462" s="2983">
        <v>78.95</v>
      </c>
      <c r="G462" s="2979">
        <v>14.69</v>
      </c>
      <c r="H462" s="2979">
        <v>93.64</v>
      </c>
      <c r="I462" s="2974" t="s">
        <v>3055</v>
      </c>
      <c r="J462" s="2981" t="s">
        <v>3155</v>
      </c>
      <c r="L462" s="2976"/>
      <c r="M462" s="2976"/>
      <c r="N462" s="2976"/>
      <c r="O462" s="2976"/>
      <c r="P462" s="2976"/>
      <c r="Q462" s="2976"/>
      <c r="R462" s="2976"/>
      <c r="S462" s="2976"/>
      <c r="T462" s="2976"/>
      <c r="U462" s="2976"/>
      <c r="V462" s="2976"/>
      <c r="W462" s="2976"/>
      <c r="X462" s="2976"/>
      <c r="Y462" s="2976"/>
      <c r="Z462" s="2976"/>
      <c r="AA462" s="2976"/>
      <c r="AB462" s="2976"/>
      <c r="AC462" s="2976"/>
      <c r="AD462" s="2976"/>
      <c r="AE462" s="2976"/>
      <c r="AF462" s="2976"/>
    </row>
    <row r="463" spans="1:32">
      <c r="A463" s="2972">
        <v>462</v>
      </c>
      <c r="B463" s="2974" t="s">
        <v>3243</v>
      </c>
      <c r="C463" s="2982" t="s">
        <v>3153</v>
      </c>
      <c r="D463" s="2972" t="s">
        <v>3183</v>
      </c>
      <c r="E463" s="2982">
        <v>306</v>
      </c>
      <c r="F463" s="2983">
        <v>80.52</v>
      </c>
      <c r="G463" s="2979">
        <v>14.98</v>
      </c>
      <c r="H463" s="2979">
        <v>95.5</v>
      </c>
      <c r="I463" s="2974" t="s">
        <v>3055</v>
      </c>
      <c r="J463" s="2981" t="s">
        <v>3155</v>
      </c>
      <c r="L463" s="2976"/>
      <c r="M463" s="2976"/>
      <c r="N463" s="2976"/>
      <c r="O463" s="2976"/>
      <c r="P463" s="2976"/>
      <c r="Q463" s="2976"/>
      <c r="R463" s="2976"/>
      <c r="S463" s="2976"/>
      <c r="T463" s="2976"/>
      <c r="U463" s="2976"/>
      <c r="V463" s="2976"/>
      <c r="W463" s="2976"/>
      <c r="X463" s="2976"/>
      <c r="Y463" s="2976"/>
      <c r="Z463" s="2976"/>
      <c r="AA463" s="2976"/>
      <c r="AB463" s="2976"/>
      <c r="AC463" s="2976"/>
      <c r="AD463" s="2976"/>
      <c r="AE463" s="2976"/>
      <c r="AF463" s="2976"/>
    </row>
    <row r="464" spans="1:32">
      <c r="A464" s="2972">
        <v>463</v>
      </c>
      <c r="B464" s="2974" t="s">
        <v>3243</v>
      </c>
      <c r="C464" s="2982" t="s">
        <v>3153</v>
      </c>
      <c r="D464" s="2972" t="s">
        <v>3183</v>
      </c>
      <c r="E464" s="2982">
        <v>307</v>
      </c>
      <c r="F464" s="2983">
        <v>58.35</v>
      </c>
      <c r="G464" s="2979">
        <v>10.85</v>
      </c>
      <c r="H464" s="2979">
        <v>69.2</v>
      </c>
      <c r="I464" s="2974" t="s">
        <v>3055</v>
      </c>
      <c r="J464" s="2981" t="s">
        <v>3155</v>
      </c>
      <c r="L464" s="2976"/>
      <c r="M464" s="2976"/>
      <c r="N464" s="2976"/>
      <c r="O464" s="2976"/>
      <c r="P464" s="2976"/>
      <c r="Q464" s="2976"/>
      <c r="R464" s="2976"/>
      <c r="S464" s="2976"/>
      <c r="T464" s="2976"/>
      <c r="U464" s="2976"/>
      <c r="V464" s="2976"/>
      <c r="W464" s="2976"/>
      <c r="X464" s="2976"/>
      <c r="Y464" s="2976"/>
      <c r="Z464" s="2976"/>
      <c r="AA464" s="2976"/>
      <c r="AB464" s="2976"/>
      <c r="AC464" s="2976"/>
      <c r="AD464" s="2976"/>
      <c r="AE464" s="2976"/>
      <c r="AF464" s="2976"/>
    </row>
    <row r="465" spans="1:32">
      <c r="A465" s="2972">
        <v>464</v>
      </c>
      <c r="B465" s="2974" t="s">
        <v>3243</v>
      </c>
      <c r="C465" s="2982" t="s">
        <v>3156</v>
      </c>
      <c r="D465" s="2972" t="s">
        <v>3183</v>
      </c>
      <c r="E465" s="2982" t="s">
        <v>3145</v>
      </c>
      <c r="F465" s="2983">
        <v>58.35</v>
      </c>
      <c r="G465" s="2979">
        <v>10.85</v>
      </c>
      <c r="H465" s="2979">
        <v>69.2</v>
      </c>
      <c r="I465" s="2974" t="s">
        <v>3055</v>
      </c>
      <c r="J465" s="2981" t="s">
        <v>3155</v>
      </c>
      <c r="L465" s="2976"/>
      <c r="M465" s="2976"/>
      <c r="N465" s="2976"/>
      <c r="O465" s="2976"/>
      <c r="P465" s="2976"/>
      <c r="Q465" s="2976"/>
      <c r="R465" s="2976"/>
      <c r="S465" s="2976"/>
      <c r="T465" s="2976"/>
      <c r="U465" s="2976"/>
      <c r="V465" s="2976"/>
      <c r="W465" s="2976"/>
      <c r="X465" s="2976"/>
      <c r="Y465" s="2976"/>
      <c r="Z465" s="2976"/>
      <c r="AA465" s="2976"/>
      <c r="AB465" s="2976"/>
      <c r="AC465" s="2976"/>
      <c r="AD465" s="2976"/>
      <c r="AE465" s="2976"/>
      <c r="AF465" s="2976"/>
    </row>
    <row r="466" spans="1:32">
      <c r="A466" s="2972">
        <v>465</v>
      </c>
      <c r="B466" s="2974" t="s">
        <v>3243</v>
      </c>
      <c r="C466" s="2982" t="s">
        <v>3156</v>
      </c>
      <c r="D466" s="2972" t="s">
        <v>3183</v>
      </c>
      <c r="E466" s="2982" t="s">
        <v>3146</v>
      </c>
      <c r="F466" s="2983">
        <v>79.900000000000006</v>
      </c>
      <c r="G466" s="2979">
        <v>14.86</v>
      </c>
      <c r="H466" s="2979">
        <v>94.76</v>
      </c>
      <c r="I466" s="2974" t="s">
        <v>3055</v>
      </c>
      <c r="J466" s="2981" t="s">
        <v>3155</v>
      </c>
      <c r="L466" s="2976"/>
      <c r="M466" s="2976"/>
      <c r="N466" s="2976"/>
      <c r="O466" s="2976"/>
      <c r="P466" s="2976"/>
      <c r="Q466" s="2976"/>
      <c r="R466" s="2976"/>
      <c r="S466" s="2976"/>
      <c r="T466" s="2976"/>
      <c r="U466" s="2976"/>
      <c r="V466" s="2976"/>
      <c r="W466" s="2976"/>
      <c r="X466" s="2976"/>
      <c r="Y466" s="2976"/>
      <c r="Z466" s="2976"/>
      <c r="AA466" s="2976"/>
      <c r="AB466" s="2976"/>
      <c r="AC466" s="2976"/>
      <c r="AD466" s="2976"/>
      <c r="AE466" s="2976"/>
      <c r="AF466" s="2976"/>
    </row>
    <row r="467" spans="1:32">
      <c r="A467" s="2972">
        <v>466</v>
      </c>
      <c r="B467" s="2974" t="s">
        <v>3243</v>
      </c>
      <c r="C467" s="2982" t="s">
        <v>3156</v>
      </c>
      <c r="D467" s="2972" t="s">
        <v>3183</v>
      </c>
      <c r="E467" s="2982" t="s">
        <v>3147</v>
      </c>
      <c r="F467" s="2983">
        <v>78.95</v>
      </c>
      <c r="G467" s="2979">
        <v>14.69</v>
      </c>
      <c r="H467" s="2979">
        <v>93.64</v>
      </c>
      <c r="I467" s="2974" t="s">
        <v>3055</v>
      </c>
      <c r="J467" s="2981" t="s">
        <v>3155</v>
      </c>
      <c r="L467" s="2976"/>
      <c r="M467" s="2976"/>
      <c r="N467" s="2976"/>
      <c r="O467" s="2976"/>
      <c r="P467" s="2976"/>
      <c r="Q467" s="2976"/>
      <c r="R467" s="2976"/>
      <c r="S467" s="2976"/>
      <c r="T467" s="2976"/>
      <c r="U467" s="2976"/>
      <c r="V467" s="2976"/>
      <c r="W467" s="2976"/>
      <c r="X467" s="2976"/>
      <c r="Y467" s="2976"/>
      <c r="Z467" s="2976"/>
      <c r="AA467" s="2976"/>
      <c r="AB467" s="2976"/>
      <c r="AC467" s="2976"/>
      <c r="AD467" s="2976"/>
      <c r="AE467" s="2976"/>
      <c r="AF467" s="2976"/>
    </row>
    <row r="468" spans="1:32">
      <c r="A468" s="2972">
        <v>467</v>
      </c>
      <c r="B468" s="2974" t="s">
        <v>3243</v>
      </c>
      <c r="C468" s="2982" t="s">
        <v>3156</v>
      </c>
      <c r="D468" s="2972" t="s">
        <v>3183</v>
      </c>
      <c r="E468" s="2982" t="s">
        <v>3148</v>
      </c>
      <c r="F468" s="2983">
        <v>78.95</v>
      </c>
      <c r="G468" s="2979">
        <v>14.69</v>
      </c>
      <c r="H468" s="2979">
        <v>93.64</v>
      </c>
      <c r="I468" s="2974" t="s">
        <v>3055</v>
      </c>
      <c r="J468" s="2981" t="s">
        <v>3155</v>
      </c>
      <c r="L468" s="2976"/>
      <c r="M468" s="2976"/>
      <c r="N468" s="2976"/>
      <c r="O468" s="2976"/>
      <c r="P468" s="2976"/>
      <c r="Q468" s="2976"/>
      <c r="R468" s="2976"/>
      <c r="S468" s="2976"/>
      <c r="T468" s="2976"/>
      <c r="U468" s="2976"/>
      <c r="V468" s="2976"/>
      <c r="W468" s="2976"/>
      <c r="X468" s="2976"/>
      <c r="Y468" s="2976"/>
      <c r="Z468" s="2976"/>
      <c r="AA468" s="2976"/>
      <c r="AB468" s="2976"/>
      <c r="AC468" s="2976"/>
      <c r="AD468" s="2976"/>
      <c r="AE468" s="2976"/>
      <c r="AF468" s="2976"/>
    </row>
    <row r="469" spans="1:32">
      <c r="A469" s="2972">
        <v>468</v>
      </c>
      <c r="B469" s="2974" t="s">
        <v>3243</v>
      </c>
      <c r="C469" s="2982" t="s">
        <v>3156</v>
      </c>
      <c r="D469" s="2972" t="s">
        <v>3183</v>
      </c>
      <c r="E469" s="2982" t="s">
        <v>3149</v>
      </c>
      <c r="F469" s="2983">
        <v>80.52</v>
      </c>
      <c r="G469" s="2979">
        <v>14.98</v>
      </c>
      <c r="H469" s="2979">
        <v>95.5</v>
      </c>
      <c r="I469" s="2974" t="s">
        <v>3055</v>
      </c>
      <c r="J469" s="2981" t="s">
        <v>3155</v>
      </c>
      <c r="L469" s="2976"/>
      <c r="M469" s="2976"/>
      <c r="N469" s="2976"/>
      <c r="O469" s="2976"/>
      <c r="P469" s="2976"/>
      <c r="Q469" s="2976"/>
      <c r="R469" s="2976"/>
      <c r="S469" s="2976"/>
      <c r="T469" s="2976"/>
      <c r="U469" s="2976"/>
      <c r="V469" s="2976"/>
      <c r="W469" s="2976"/>
      <c r="X469" s="2976"/>
      <c r="Y469" s="2976"/>
      <c r="Z469" s="2976"/>
      <c r="AA469" s="2976"/>
      <c r="AB469" s="2976"/>
      <c r="AC469" s="2976"/>
      <c r="AD469" s="2976"/>
      <c r="AE469" s="2976"/>
      <c r="AF469" s="2976"/>
    </row>
    <row r="470" spans="1:32">
      <c r="A470" s="2972">
        <v>469</v>
      </c>
      <c r="B470" s="2974" t="s">
        <v>3243</v>
      </c>
      <c r="C470" s="2982" t="s">
        <v>3156</v>
      </c>
      <c r="D470" s="2972" t="s">
        <v>3183</v>
      </c>
      <c r="E470" s="2982" t="s">
        <v>3150</v>
      </c>
      <c r="F470" s="2983">
        <v>58.35</v>
      </c>
      <c r="G470" s="2979">
        <v>10.85</v>
      </c>
      <c r="H470" s="2979">
        <v>69.2</v>
      </c>
      <c r="I470" s="2974" t="s">
        <v>3055</v>
      </c>
      <c r="J470" s="2981" t="s">
        <v>3155</v>
      </c>
      <c r="L470" s="2976"/>
      <c r="M470" s="2976"/>
      <c r="N470" s="2976"/>
      <c r="O470" s="2976"/>
      <c r="P470" s="2976"/>
      <c r="Q470" s="2976"/>
      <c r="R470" s="2976"/>
      <c r="S470" s="2976"/>
      <c r="T470" s="2976"/>
      <c r="U470" s="2976"/>
      <c r="V470" s="2976"/>
      <c r="W470" s="2976"/>
      <c r="X470" s="2976"/>
      <c r="Y470" s="2976"/>
      <c r="Z470" s="2976"/>
      <c r="AA470" s="2976"/>
      <c r="AB470" s="2976"/>
      <c r="AC470" s="2976"/>
      <c r="AD470" s="2976"/>
      <c r="AE470" s="2976"/>
      <c r="AF470" s="2976"/>
    </row>
    <row r="471" spans="1:32">
      <c r="A471" s="2972">
        <v>470</v>
      </c>
      <c r="B471" s="2974" t="s">
        <v>3243</v>
      </c>
      <c r="C471" s="2982" t="s">
        <v>3157</v>
      </c>
      <c r="D471" s="2972" t="s">
        <v>3183</v>
      </c>
      <c r="E471" s="2982">
        <v>501</v>
      </c>
      <c r="F471" s="2983">
        <v>58.35</v>
      </c>
      <c r="G471" s="2979">
        <v>10.85</v>
      </c>
      <c r="H471" s="2979">
        <v>69.2</v>
      </c>
      <c r="I471" s="2974" t="s">
        <v>3055</v>
      </c>
      <c r="J471" s="2981" t="s">
        <v>3155</v>
      </c>
      <c r="L471" s="2976"/>
      <c r="M471" s="2976"/>
      <c r="N471" s="2976"/>
      <c r="O471" s="2976"/>
      <c r="P471" s="2976"/>
      <c r="Q471" s="2976"/>
      <c r="R471" s="2976"/>
      <c r="S471" s="2976"/>
      <c r="T471" s="2976"/>
      <c r="U471" s="2976"/>
      <c r="V471" s="2976"/>
      <c r="W471" s="2976"/>
      <c r="X471" s="2976"/>
      <c r="Y471" s="2976"/>
      <c r="Z471" s="2976"/>
      <c r="AA471" s="2976"/>
      <c r="AB471" s="2976"/>
      <c r="AC471" s="2976"/>
      <c r="AD471" s="2976"/>
      <c r="AE471" s="2976"/>
      <c r="AF471" s="2976"/>
    </row>
    <row r="472" spans="1:32">
      <c r="A472" s="2972">
        <v>471</v>
      </c>
      <c r="B472" s="2974" t="s">
        <v>3243</v>
      </c>
      <c r="C472" s="2982" t="s">
        <v>3157</v>
      </c>
      <c r="D472" s="2972" t="s">
        <v>3183</v>
      </c>
      <c r="E472" s="2982">
        <v>502</v>
      </c>
      <c r="F472" s="2983">
        <v>79.900000000000006</v>
      </c>
      <c r="G472" s="2979">
        <v>14.86</v>
      </c>
      <c r="H472" s="2979">
        <v>94.76</v>
      </c>
      <c r="I472" s="2974" t="s">
        <v>3055</v>
      </c>
      <c r="J472" s="2981" t="s">
        <v>3155</v>
      </c>
      <c r="L472" s="2976"/>
      <c r="M472" s="2976"/>
      <c r="N472" s="2976"/>
      <c r="O472" s="2976"/>
      <c r="P472" s="2976"/>
      <c r="Q472" s="2976"/>
      <c r="R472" s="2976"/>
      <c r="S472" s="2976"/>
      <c r="T472" s="2976"/>
      <c r="U472" s="2976"/>
      <c r="V472" s="2976"/>
      <c r="W472" s="2976"/>
      <c r="X472" s="2976"/>
      <c r="Y472" s="2976"/>
      <c r="Z472" s="2976"/>
      <c r="AA472" s="2976"/>
      <c r="AB472" s="2976"/>
      <c r="AC472" s="2976"/>
      <c r="AD472" s="2976"/>
      <c r="AE472" s="2976"/>
      <c r="AF472" s="2976"/>
    </row>
    <row r="473" spans="1:32">
      <c r="A473" s="2972">
        <v>472</v>
      </c>
      <c r="B473" s="2974" t="s">
        <v>3243</v>
      </c>
      <c r="C473" s="2982" t="s">
        <v>3157</v>
      </c>
      <c r="D473" s="2972" t="s">
        <v>3183</v>
      </c>
      <c r="E473" s="2982">
        <v>503</v>
      </c>
      <c r="F473" s="2983">
        <v>78.95</v>
      </c>
      <c r="G473" s="2979">
        <v>14.69</v>
      </c>
      <c r="H473" s="2979">
        <v>93.64</v>
      </c>
      <c r="I473" s="2974" t="s">
        <v>3055</v>
      </c>
      <c r="J473" s="2981" t="s">
        <v>3155</v>
      </c>
      <c r="L473" s="2976"/>
      <c r="M473" s="2976"/>
      <c r="N473" s="2976"/>
      <c r="O473" s="2976"/>
      <c r="P473" s="2976"/>
      <c r="Q473" s="2976"/>
      <c r="R473" s="2976"/>
      <c r="S473" s="2976"/>
      <c r="T473" s="2976"/>
      <c r="U473" s="2976"/>
      <c r="V473" s="2976"/>
      <c r="W473" s="2976"/>
      <c r="X473" s="2976"/>
      <c r="Y473" s="2976"/>
      <c r="Z473" s="2976"/>
      <c r="AA473" s="2976"/>
      <c r="AB473" s="2976"/>
      <c r="AC473" s="2976"/>
      <c r="AD473" s="2976"/>
      <c r="AE473" s="2976"/>
      <c r="AF473" s="2976"/>
    </row>
    <row r="474" spans="1:32">
      <c r="A474" s="2972">
        <v>473</v>
      </c>
      <c r="B474" s="2974" t="s">
        <v>3243</v>
      </c>
      <c r="C474" s="2982" t="s">
        <v>3157</v>
      </c>
      <c r="D474" s="2972" t="s">
        <v>3183</v>
      </c>
      <c r="E474" s="2982">
        <v>505</v>
      </c>
      <c r="F474" s="2983">
        <v>78.95</v>
      </c>
      <c r="G474" s="2979">
        <v>14.69</v>
      </c>
      <c r="H474" s="2979">
        <v>93.64</v>
      </c>
      <c r="I474" s="2974" t="s">
        <v>3055</v>
      </c>
      <c r="J474" s="2981" t="s">
        <v>3155</v>
      </c>
      <c r="L474" s="2976"/>
      <c r="M474" s="2976"/>
      <c r="N474" s="2976"/>
      <c r="O474" s="2976"/>
      <c r="P474" s="2976"/>
      <c r="Q474" s="2976"/>
      <c r="R474" s="2976"/>
      <c r="S474" s="2976"/>
      <c r="T474" s="2976"/>
      <c r="U474" s="2976"/>
      <c r="V474" s="2976"/>
      <c r="W474" s="2976"/>
      <c r="X474" s="2976"/>
      <c r="Y474" s="2976"/>
      <c r="Z474" s="2976"/>
      <c r="AA474" s="2976"/>
      <c r="AB474" s="2976"/>
      <c r="AC474" s="2976"/>
      <c r="AD474" s="2976"/>
      <c r="AE474" s="2976"/>
      <c r="AF474" s="2976"/>
    </row>
    <row r="475" spans="1:32">
      <c r="A475" s="2972">
        <v>474</v>
      </c>
      <c r="B475" s="2974" t="s">
        <v>3243</v>
      </c>
      <c r="C475" s="2982" t="s">
        <v>3157</v>
      </c>
      <c r="D475" s="2972" t="s">
        <v>3183</v>
      </c>
      <c r="E475" s="2982">
        <v>506</v>
      </c>
      <c r="F475" s="2983">
        <v>80.52</v>
      </c>
      <c r="G475" s="2979">
        <v>14.98</v>
      </c>
      <c r="H475" s="2979">
        <v>95.5</v>
      </c>
      <c r="I475" s="2974" t="s">
        <v>3055</v>
      </c>
      <c r="J475" s="2981" t="s">
        <v>3155</v>
      </c>
      <c r="L475" s="2976"/>
      <c r="M475" s="2976"/>
      <c r="N475" s="2976"/>
      <c r="O475" s="2976"/>
      <c r="P475" s="2976"/>
      <c r="Q475" s="2976"/>
      <c r="R475" s="2976"/>
      <c r="S475" s="2976"/>
      <c r="T475" s="2976"/>
      <c r="U475" s="2976"/>
      <c r="V475" s="2976"/>
      <c r="W475" s="2976"/>
      <c r="X475" s="2976"/>
      <c r="Y475" s="2976"/>
      <c r="Z475" s="2976"/>
      <c r="AA475" s="2976"/>
      <c r="AB475" s="2976"/>
      <c r="AC475" s="2976"/>
      <c r="AD475" s="2976"/>
      <c r="AE475" s="2976"/>
      <c r="AF475" s="2976"/>
    </row>
    <row r="476" spans="1:32">
      <c r="A476" s="2972">
        <v>475</v>
      </c>
      <c r="B476" s="2974" t="s">
        <v>3243</v>
      </c>
      <c r="C476" s="2982" t="s">
        <v>3157</v>
      </c>
      <c r="D476" s="2972" t="s">
        <v>3183</v>
      </c>
      <c r="E476" s="2982">
        <v>507</v>
      </c>
      <c r="F476" s="2983">
        <v>58.35</v>
      </c>
      <c r="G476" s="2979">
        <v>10.85</v>
      </c>
      <c r="H476" s="2979">
        <v>69.2</v>
      </c>
      <c r="I476" s="2974" t="s">
        <v>3055</v>
      </c>
      <c r="J476" s="2981" t="s">
        <v>3155</v>
      </c>
      <c r="L476" s="2976"/>
      <c r="M476" s="2976"/>
      <c r="N476" s="2976"/>
      <c r="O476" s="2976"/>
      <c r="P476" s="2976"/>
      <c r="Q476" s="2976"/>
      <c r="R476" s="2976"/>
      <c r="S476" s="2976"/>
      <c r="T476" s="2976"/>
      <c r="U476" s="2976"/>
      <c r="V476" s="2976"/>
      <c r="W476" s="2976"/>
      <c r="X476" s="2976"/>
      <c r="Y476" s="2976"/>
      <c r="Z476" s="2976"/>
      <c r="AA476" s="2976"/>
      <c r="AB476" s="2976"/>
      <c r="AC476" s="2976"/>
      <c r="AD476" s="2976"/>
      <c r="AE476" s="2976"/>
      <c r="AF476" s="2976"/>
    </row>
    <row r="477" spans="1:32">
      <c r="A477" s="2972">
        <v>476</v>
      </c>
      <c r="B477" s="2974" t="s">
        <v>3243</v>
      </c>
      <c r="C477" s="2982" t="s">
        <v>3158</v>
      </c>
      <c r="D477" s="2972" t="s">
        <v>3183</v>
      </c>
      <c r="E477" s="2982">
        <v>601</v>
      </c>
      <c r="F477" s="2983">
        <v>58.35</v>
      </c>
      <c r="G477" s="2979">
        <v>10.85</v>
      </c>
      <c r="H477" s="2979">
        <v>69.2</v>
      </c>
      <c r="I477" s="2974" t="s">
        <v>3055</v>
      </c>
      <c r="J477" s="2981" t="s">
        <v>3155</v>
      </c>
      <c r="L477" s="2976"/>
      <c r="M477" s="2976"/>
      <c r="N477" s="2976"/>
      <c r="O477" s="2976"/>
      <c r="P477" s="2976"/>
      <c r="Q477" s="2976"/>
      <c r="R477" s="2976"/>
      <c r="S477" s="2976"/>
      <c r="T477" s="2976"/>
      <c r="U477" s="2976"/>
      <c r="V477" s="2976"/>
      <c r="W477" s="2976"/>
      <c r="X477" s="2976"/>
      <c r="Y477" s="2976"/>
      <c r="Z477" s="2976"/>
      <c r="AA477" s="2976"/>
      <c r="AB477" s="2976"/>
      <c r="AC477" s="2976"/>
      <c r="AD477" s="2976"/>
      <c r="AE477" s="2976"/>
      <c r="AF477" s="2976"/>
    </row>
    <row r="478" spans="1:32">
      <c r="A478" s="2972">
        <v>477</v>
      </c>
      <c r="B478" s="2974" t="s">
        <v>3243</v>
      </c>
      <c r="C478" s="2982" t="s">
        <v>3158</v>
      </c>
      <c r="D478" s="2972" t="s">
        <v>3183</v>
      </c>
      <c r="E478" s="2982">
        <v>602</v>
      </c>
      <c r="F478" s="2983">
        <v>79.900000000000006</v>
      </c>
      <c r="G478" s="2979">
        <v>14.86</v>
      </c>
      <c r="H478" s="2979">
        <v>94.76</v>
      </c>
      <c r="I478" s="2974" t="s">
        <v>3055</v>
      </c>
      <c r="J478" s="2981" t="s">
        <v>3155</v>
      </c>
      <c r="L478" s="2976"/>
      <c r="M478" s="2976"/>
      <c r="N478" s="2976"/>
      <c r="O478" s="2976"/>
      <c r="P478" s="2976"/>
      <c r="Q478" s="2976"/>
      <c r="R478" s="2976"/>
      <c r="S478" s="2976"/>
      <c r="T478" s="2976"/>
      <c r="U478" s="2976"/>
      <c r="V478" s="2976"/>
      <c r="W478" s="2976"/>
      <c r="X478" s="2976"/>
      <c r="Y478" s="2976"/>
      <c r="Z478" s="2976"/>
      <c r="AA478" s="2976"/>
      <c r="AB478" s="2976"/>
      <c r="AC478" s="2976"/>
      <c r="AD478" s="2976"/>
      <c r="AE478" s="2976"/>
      <c r="AF478" s="2976"/>
    </row>
    <row r="479" spans="1:32">
      <c r="A479" s="2972">
        <v>478</v>
      </c>
      <c r="B479" s="2974" t="s">
        <v>3243</v>
      </c>
      <c r="C479" s="2982" t="s">
        <v>3158</v>
      </c>
      <c r="D479" s="2972" t="s">
        <v>3183</v>
      </c>
      <c r="E479" s="2982">
        <v>603</v>
      </c>
      <c r="F479" s="2983">
        <v>78.95</v>
      </c>
      <c r="G479" s="2979">
        <v>14.69</v>
      </c>
      <c r="H479" s="2979">
        <v>93.64</v>
      </c>
      <c r="I479" s="2974" t="s">
        <v>3055</v>
      </c>
      <c r="J479" s="2981" t="s">
        <v>3155</v>
      </c>
      <c r="L479" s="2976"/>
      <c r="M479" s="2976"/>
      <c r="N479" s="2976"/>
      <c r="O479" s="2976"/>
      <c r="P479" s="2976"/>
      <c r="Q479" s="2976"/>
      <c r="R479" s="2976"/>
      <c r="S479" s="2976"/>
      <c r="T479" s="2976"/>
      <c r="U479" s="2976"/>
      <c r="V479" s="2976"/>
      <c r="W479" s="2976"/>
      <c r="X479" s="2976"/>
      <c r="Y479" s="2976"/>
      <c r="Z479" s="2976"/>
      <c r="AA479" s="2976"/>
      <c r="AB479" s="2976"/>
      <c r="AC479" s="2976"/>
      <c r="AD479" s="2976"/>
      <c r="AE479" s="2976"/>
      <c r="AF479" s="2976"/>
    </row>
    <row r="480" spans="1:32">
      <c r="A480" s="2972">
        <v>479</v>
      </c>
      <c r="B480" s="2974" t="s">
        <v>3243</v>
      </c>
      <c r="C480" s="2982" t="s">
        <v>3158</v>
      </c>
      <c r="D480" s="2972" t="s">
        <v>3183</v>
      </c>
      <c r="E480" s="2982">
        <v>605</v>
      </c>
      <c r="F480" s="2983">
        <v>78.95</v>
      </c>
      <c r="G480" s="2979">
        <v>14.69</v>
      </c>
      <c r="H480" s="2979">
        <v>93.64</v>
      </c>
      <c r="I480" s="2974" t="s">
        <v>3055</v>
      </c>
      <c r="J480" s="2981" t="s">
        <v>3155</v>
      </c>
      <c r="L480" s="2976"/>
      <c r="M480" s="2976"/>
      <c r="N480" s="2976"/>
      <c r="O480" s="2976"/>
      <c r="P480" s="2976"/>
      <c r="Q480" s="2976"/>
      <c r="R480" s="2976"/>
      <c r="S480" s="2976"/>
      <c r="T480" s="2976"/>
      <c r="U480" s="2976"/>
      <c r="V480" s="2976"/>
      <c r="W480" s="2976"/>
      <c r="X480" s="2976"/>
      <c r="Y480" s="2976"/>
      <c r="Z480" s="2976"/>
      <c r="AA480" s="2976"/>
      <c r="AB480" s="2976"/>
      <c r="AC480" s="2976"/>
      <c r="AD480" s="2976"/>
      <c r="AE480" s="2976"/>
      <c r="AF480" s="2976"/>
    </row>
    <row r="481" spans="1:32">
      <c r="A481" s="2972">
        <v>480</v>
      </c>
      <c r="B481" s="2974" t="s">
        <v>3243</v>
      </c>
      <c r="C481" s="2982" t="s">
        <v>3158</v>
      </c>
      <c r="D481" s="2972" t="s">
        <v>3183</v>
      </c>
      <c r="E481" s="2982">
        <v>606</v>
      </c>
      <c r="F481" s="2983">
        <v>80.52</v>
      </c>
      <c r="G481" s="2979">
        <v>14.98</v>
      </c>
      <c r="H481" s="2979">
        <v>95.5</v>
      </c>
      <c r="I481" s="2974" t="s">
        <v>3055</v>
      </c>
      <c r="J481" s="2981" t="s">
        <v>3155</v>
      </c>
      <c r="L481" s="2976"/>
      <c r="M481" s="2976"/>
      <c r="N481" s="2976"/>
      <c r="O481" s="2976"/>
      <c r="P481" s="2976"/>
      <c r="Q481" s="2976"/>
      <c r="R481" s="2976"/>
      <c r="S481" s="2976"/>
      <c r="T481" s="2976"/>
      <c r="U481" s="2976"/>
      <c r="V481" s="2976"/>
      <c r="W481" s="2976"/>
      <c r="X481" s="2976"/>
      <c r="Y481" s="2976"/>
      <c r="Z481" s="2976"/>
      <c r="AA481" s="2976"/>
      <c r="AB481" s="2976"/>
      <c r="AC481" s="2976"/>
      <c r="AD481" s="2976"/>
      <c r="AE481" s="2976"/>
      <c r="AF481" s="2976"/>
    </row>
    <row r="482" spans="1:32">
      <c r="A482" s="2972">
        <v>481</v>
      </c>
      <c r="B482" s="2974" t="s">
        <v>3243</v>
      </c>
      <c r="C482" s="2982" t="s">
        <v>3158</v>
      </c>
      <c r="D482" s="2972" t="s">
        <v>3183</v>
      </c>
      <c r="E482" s="2982">
        <v>607</v>
      </c>
      <c r="F482" s="2983">
        <v>58.35</v>
      </c>
      <c r="G482" s="2979">
        <v>10.85</v>
      </c>
      <c r="H482" s="2979">
        <v>69.2</v>
      </c>
      <c r="I482" s="2974" t="s">
        <v>3055</v>
      </c>
      <c r="J482" s="2981" t="s">
        <v>3155</v>
      </c>
      <c r="L482" s="2976"/>
      <c r="M482" s="2976"/>
      <c r="N482" s="2976"/>
      <c r="O482" s="2976"/>
      <c r="P482" s="2976"/>
      <c r="Q482" s="2976"/>
      <c r="R482" s="2976"/>
      <c r="S482" s="2976"/>
      <c r="T482" s="2976"/>
      <c r="U482" s="2976"/>
      <c r="V482" s="2976"/>
      <c r="W482" s="2976"/>
      <c r="X482" s="2976"/>
      <c r="Y482" s="2976"/>
      <c r="Z482" s="2976"/>
      <c r="AA482" s="2976"/>
      <c r="AB482" s="2976"/>
      <c r="AC482" s="2976"/>
      <c r="AD482" s="2976"/>
      <c r="AE482" s="2976"/>
      <c r="AF482" s="2976"/>
    </row>
    <row r="483" spans="1:32">
      <c r="A483" s="2972">
        <v>482</v>
      </c>
      <c r="B483" s="2974" t="s">
        <v>3244</v>
      </c>
      <c r="C483" s="2982" t="s">
        <v>3152</v>
      </c>
      <c r="D483" s="2972" t="s">
        <v>3183</v>
      </c>
      <c r="E483" s="2982">
        <v>102</v>
      </c>
      <c r="F483" s="2983">
        <v>79.91</v>
      </c>
      <c r="G483" s="2979">
        <v>14.93</v>
      </c>
      <c r="H483" s="2979">
        <v>94.84</v>
      </c>
      <c r="I483" s="2974" t="s">
        <v>3055</v>
      </c>
      <c r="J483" s="2981" t="s">
        <v>3155</v>
      </c>
      <c r="L483" s="2976"/>
      <c r="M483" s="2976"/>
      <c r="N483" s="2976"/>
      <c r="O483" s="2976"/>
      <c r="P483" s="2976"/>
      <c r="Q483" s="2976"/>
      <c r="R483" s="2976"/>
      <c r="S483" s="2976"/>
      <c r="T483" s="2976"/>
      <c r="U483" s="2976"/>
      <c r="V483" s="2976"/>
      <c r="W483" s="2976"/>
      <c r="X483" s="2976"/>
      <c r="Y483" s="2976"/>
      <c r="Z483" s="2976"/>
      <c r="AA483" s="2976"/>
      <c r="AB483" s="2976"/>
      <c r="AC483" s="2976"/>
      <c r="AD483" s="2976"/>
      <c r="AE483" s="2976"/>
      <c r="AF483" s="2976"/>
    </row>
    <row r="484" spans="1:32">
      <c r="A484" s="2972">
        <v>483</v>
      </c>
      <c r="B484" s="2974" t="s">
        <v>3244</v>
      </c>
      <c r="C484" s="2982" t="s">
        <v>3152</v>
      </c>
      <c r="D484" s="2972" t="s">
        <v>3183</v>
      </c>
      <c r="E484" s="2982">
        <v>103</v>
      </c>
      <c r="F484" s="2983">
        <v>75.650000000000006</v>
      </c>
      <c r="G484" s="2979">
        <v>14.13</v>
      </c>
      <c r="H484" s="2979">
        <v>89.78</v>
      </c>
      <c r="I484" s="2974" t="s">
        <v>3055</v>
      </c>
      <c r="J484" s="2981" t="s">
        <v>3155</v>
      </c>
      <c r="L484" s="2976"/>
      <c r="M484" s="2976"/>
      <c r="N484" s="2976"/>
      <c r="O484" s="2976"/>
      <c r="P484" s="2976"/>
      <c r="Q484" s="2976"/>
      <c r="R484" s="2976"/>
      <c r="S484" s="2976"/>
      <c r="T484" s="2976"/>
      <c r="U484" s="2976"/>
      <c r="V484" s="2976"/>
      <c r="W484" s="2976"/>
      <c r="X484" s="2976"/>
      <c r="Y484" s="2976"/>
      <c r="Z484" s="2976"/>
      <c r="AA484" s="2976"/>
      <c r="AB484" s="2976"/>
      <c r="AC484" s="2976"/>
      <c r="AD484" s="2976"/>
      <c r="AE484" s="2976"/>
      <c r="AF484" s="2976"/>
    </row>
    <row r="485" spans="1:32">
      <c r="A485" s="2972">
        <v>484</v>
      </c>
      <c r="B485" s="2974" t="s">
        <v>3244</v>
      </c>
      <c r="C485" s="2982" t="s">
        <v>3152</v>
      </c>
      <c r="D485" s="2972" t="s">
        <v>3183</v>
      </c>
      <c r="E485" s="2982">
        <v>106</v>
      </c>
      <c r="F485" s="2983">
        <v>80.52</v>
      </c>
      <c r="G485" s="2979">
        <v>15.04</v>
      </c>
      <c r="H485" s="2979">
        <v>95.56</v>
      </c>
      <c r="I485" s="2974" t="s">
        <v>3055</v>
      </c>
      <c r="J485" s="2981" t="s">
        <v>3155</v>
      </c>
      <c r="L485" s="2976"/>
      <c r="M485" s="2976"/>
      <c r="N485" s="2976"/>
      <c r="O485" s="2976"/>
      <c r="P485" s="2976"/>
      <c r="Q485" s="2976"/>
      <c r="R485" s="2976"/>
      <c r="S485" s="2976"/>
      <c r="T485" s="2976"/>
      <c r="U485" s="2976"/>
      <c r="V485" s="2976"/>
      <c r="W485" s="2976"/>
      <c r="X485" s="2976"/>
      <c r="Y485" s="2976"/>
      <c r="Z485" s="2976"/>
      <c r="AA485" s="2976"/>
      <c r="AB485" s="2976"/>
      <c r="AC485" s="2976"/>
      <c r="AD485" s="2976"/>
      <c r="AE485" s="2976"/>
      <c r="AF485" s="2976"/>
    </row>
    <row r="486" spans="1:32">
      <c r="A486" s="2972">
        <v>485</v>
      </c>
      <c r="B486" s="2974" t="s">
        <v>3244</v>
      </c>
      <c r="C486" s="2982" t="s">
        <v>3159</v>
      </c>
      <c r="D486" s="2972" t="s">
        <v>3183</v>
      </c>
      <c r="E486" s="2982">
        <v>201</v>
      </c>
      <c r="F486" s="2983">
        <v>58.35</v>
      </c>
      <c r="G486" s="2979">
        <v>10.9</v>
      </c>
      <c r="H486" s="2979">
        <v>69.25</v>
      </c>
      <c r="I486" s="2974" t="s">
        <v>3055</v>
      </c>
      <c r="J486" s="2981" t="s">
        <v>3155</v>
      </c>
      <c r="L486" s="2976"/>
      <c r="M486" s="2976"/>
      <c r="N486" s="2976"/>
      <c r="O486" s="2976"/>
      <c r="P486" s="2976"/>
      <c r="Q486" s="2976"/>
      <c r="R486" s="2976"/>
      <c r="S486" s="2976"/>
      <c r="T486" s="2976"/>
      <c r="U486" s="2976"/>
      <c r="V486" s="2976"/>
      <c r="W486" s="2976"/>
      <c r="X486" s="2976"/>
      <c r="Y486" s="2976"/>
      <c r="Z486" s="2976"/>
      <c r="AA486" s="2976"/>
      <c r="AB486" s="2976"/>
      <c r="AC486" s="2976"/>
      <c r="AD486" s="2976"/>
      <c r="AE486" s="2976"/>
      <c r="AF486" s="2976"/>
    </row>
    <row r="487" spans="1:32">
      <c r="A487" s="2972">
        <v>486</v>
      </c>
      <c r="B487" s="2974" t="s">
        <v>3244</v>
      </c>
      <c r="C487" s="2982" t="s">
        <v>3159</v>
      </c>
      <c r="D487" s="2972" t="s">
        <v>3183</v>
      </c>
      <c r="E487" s="2982">
        <v>202</v>
      </c>
      <c r="F487" s="2983">
        <v>79.900000000000006</v>
      </c>
      <c r="G487" s="2979">
        <v>14.93</v>
      </c>
      <c r="H487" s="2979">
        <v>94.830000000000013</v>
      </c>
      <c r="I487" s="2974" t="s">
        <v>3055</v>
      </c>
      <c r="J487" s="2981" t="s">
        <v>3155</v>
      </c>
      <c r="L487" s="2976"/>
      <c r="M487" s="2976"/>
      <c r="N487" s="2976"/>
      <c r="O487" s="2976"/>
      <c r="P487" s="2976"/>
      <c r="Q487" s="2976"/>
      <c r="R487" s="2976"/>
      <c r="S487" s="2976"/>
      <c r="T487" s="2976"/>
      <c r="U487" s="2976"/>
      <c r="V487" s="2976"/>
      <c r="W487" s="2976"/>
      <c r="X487" s="2976"/>
      <c r="Y487" s="2976"/>
      <c r="Z487" s="2976"/>
      <c r="AA487" s="2976"/>
      <c r="AB487" s="2976"/>
      <c r="AC487" s="2976"/>
      <c r="AD487" s="2976"/>
      <c r="AE487" s="2976"/>
      <c r="AF487" s="2976"/>
    </row>
    <row r="488" spans="1:32">
      <c r="A488" s="2972">
        <v>487</v>
      </c>
      <c r="B488" s="2974" t="s">
        <v>3244</v>
      </c>
      <c r="C488" s="2982" t="s">
        <v>3159</v>
      </c>
      <c r="D488" s="2972" t="s">
        <v>3183</v>
      </c>
      <c r="E488" s="2982">
        <v>203</v>
      </c>
      <c r="F488" s="2983">
        <v>78.95</v>
      </c>
      <c r="G488" s="2979">
        <v>14.75</v>
      </c>
      <c r="H488" s="2979">
        <v>93.7</v>
      </c>
      <c r="I488" s="2974" t="s">
        <v>3055</v>
      </c>
      <c r="J488" s="2981" t="s">
        <v>3155</v>
      </c>
      <c r="L488" s="2976"/>
      <c r="M488" s="2976"/>
      <c r="N488" s="2976"/>
      <c r="O488" s="2976"/>
      <c r="P488" s="2976"/>
      <c r="Q488" s="2976"/>
      <c r="R488" s="2976"/>
      <c r="S488" s="2976"/>
      <c r="T488" s="2976"/>
      <c r="U488" s="2976"/>
      <c r="V488" s="2976"/>
      <c r="W488" s="2976"/>
      <c r="X488" s="2976"/>
      <c r="Y488" s="2976"/>
      <c r="Z488" s="2976"/>
      <c r="AA488" s="2976"/>
      <c r="AB488" s="2976"/>
      <c r="AC488" s="2976"/>
      <c r="AD488" s="2976"/>
      <c r="AE488" s="2976"/>
      <c r="AF488" s="2976"/>
    </row>
    <row r="489" spans="1:32">
      <c r="A489" s="2972">
        <v>488</v>
      </c>
      <c r="B489" s="2974" t="s">
        <v>3244</v>
      </c>
      <c r="C489" s="2982" t="s">
        <v>3159</v>
      </c>
      <c r="D489" s="2972" t="s">
        <v>3183</v>
      </c>
      <c r="E489" s="2982">
        <v>205</v>
      </c>
      <c r="F489" s="2983">
        <v>78.95</v>
      </c>
      <c r="G489" s="2979">
        <v>14.75</v>
      </c>
      <c r="H489" s="2979">
        <v>93.7</v>
      </c>
      <c r="I489" s="2974" t="s">
        <v>3055</v>
      </c>
      <c r="J489" s="2981" t="s">
        <v>3155</v>
      </c>
      <c r="L489" s="2976"/>
      <c r="M489" s="2976"/>
      <c r="N489" s="2976"/>
      <c r="O489" s="2976"/>
      <c r="P489" s="2976"/>
      <c r="Q489" s="2976"/>
      <c r="R489" s="2976"/>
      <c r="S489" s="2976"/>
      <c r="T489" s="2976"/>
      <c r="U489" s="2976"/>
      <c r="V489" s="2976"/>
      <c r="W489" s="2976"/>
      <c r="X489" s="2976"/>
      <c r="Y489" s="2976"/>
      <c r="Z489" s="2976"/>
      <c r="AA489" s="2976"/>
      <c r="AB489" s="2976"/>
      <c r="AC489" s="2976"/>
      <c r="AD489" s="2976"/>
      <c r="AE489" s="2976"/>
      <c r="AF489" s="2976"/>
    </row>
    <row r="490" spans="1:32">
      <c r="A490" s="2972">
        <v>489</v>
      </c>
      <c r="B490" s="2974" t="s">
        <v>3244</v>
      </c>
      <c r="C490" s="2982" t="s">
        <v>3159</v>
      </c>
      <c r="D490" s="2972" t="s">
        <v>3183</v>
      </c>
      <c r="E490" s="2982">
        <v>206</v>
      </c>
      <c r="F490" s="2983">
        <v>80.52</v>
      </c>
      <c r="G490" s="2979">
        <v>15.04</v>
      </c>
      <c r="H490" s="2979">
        <v>95.56</v>
      </c>
      <c r="I490" s="2974" t="s">
        <v>3055</v>
      </c>
      <c r="J490" s="2981" t="s">
        <v>3155</v>
      </c>
      <c r="L490" s="2976"/>
      <c r="M490" s="2976"/>
      <c r="N490" s="2976"/>
      <c r="O490" s="2976"/>
      <c r="P490" s="2976"/>
      <c r="Q490" s="2976"/>
      <c r="R490" s="2976"/>
      <c r="S490" s="2976"/>
      <c r="T490" s="2976"/>
      <c r="U490" s="2976"/>
      <c r="V490" s="2976"/>
      <c r="W490" s="2976"/>
      <c r="X490" s="2976"/>
      <c r="Y490" s="2976"/>
      <c r="Z490" s="2976"/>
      <c r="AA490" s="2976"/>
      <c r="AB490" s="2976"/>
      <c r="AC490" s="2976"/>
      <c r="AD490" s="2976"/>
      <c r="AE490" s="2976"/>
      <c r="AF490" s="2976"/>
    </row>
    <row r="491" spans="1:32">
      <c r="A491" s="2972">
        <v>490</v>
      </c>
      <c r="B491" s="2974" t="s">
        <v>3244</v>
      </c>
      <c r="C491" s="2982" t="s">
        <v>3159</v>
      </c>
      <c r="D491" s="2972" t="s">
        <v>3183</v>
      </c>
      <c r="E491" s="2982">
        <v>207</v>
      </c>
      <c r="F491" s="2983">
        <v>58.35</v>
      </c>
      <c r="G491" s="2979">
        <v>10.9</v>
      </c>
      <c r="H491" s="2979">
        <v>69.25</v>
      </c>
      <c r="I491" s="2974" t="s">
        <v>3055</v>
      </c>
      <c r="J491" s="2981" t="s">
        <v>3155</v>
      </c>
      <c r="L491" s="2976"/>
      <c r="M491" s="2976"/>
      <c r="N491" s="2976"/>
      <c r="O491" s="2976"/>
      <c r="P491" s="2976"/>
      <c r="Q491" s="2976"/>
      <c r="R491" s="2976"/>
      <c r="S491" s="2976"/>
      <c r="T491" s="2976"/>
      <c r="U491" s="2976"/>
      <c r="V491" s="2976"/>
      <c r="W491" s="2976"/>
      <c r="X491" s="2976"/>
      <c r="Y491" s="2976"/>
      <c r="Z491" s="2976"/>
      <c r="AA491" s="2976"/>
      <c r="AB491" s="2976"/>
      <c r="AC491" s="2976"/>
      <c r="AD491" s="2976"/>
      <c r="AE491" s="2976"/>
      <c r="AF491" s="2976"/>
    </row>
    <row r="492" spans="1:32">
      <c r="A492" s="2972">
        <v>491</v>
      </c>
      <c r="B492" s="2974" t="s">
        <v>3244</v>
      </c>
      <c r="C492" s="2982" t="s">
        <v>3153</v>
      </c>
      <c r="D492" s="2972" t="s">
        <v>3183</v>
      </c>
      <c r="E492" s="2982">
        <v>301</v>
      </c>
      <c r="F492" s="2983">
        <v>58.35</v>
      </c>
      <c r="G492" s="2979">
        <v>10.9</v>
      </c>
      <c r="H492" s="2979">
        <v>69.25</v>
      </c>
      <c r="I492" s="2974" t="s">
        <v>3055</v>
      </c>
      <c r="J492" s="2981" t="s">
        <v>3155</v>
      </c>
      <c r="L492" s="2976"/>
      <c r="M492" s="2976"/>
      <c r="N492" s="2976"/>
      <c r="O492" s="2976"/>
      <c r="P492" s="2976"/>
      <c r="Q492" s="2976"/>
      <c r="R492" s="2976"/>
      <c r="S492" s="2976"/>
      <c r="T492" s="2976"/>
      <c r="U492" s="2976"/>
      <c r="V492" s="2976"/>
      <c r="W492" s="2976"/>
      <c r="X492" s="2976"/>
      <c r="Y492" s="2976"/>
      <c r="Z492" s="2976"/>
      <c r="AA492" s="2976"/>
      <c r="AB492" s="2976"/>
      <c r="AC492" s="2976"/>
      <c r="AD492" s="2976"/>
      <c r="AE492" s="2976"/>
      <c r="AF492" s="2976"/>
    </row>
    <row r="493" spans="1:32">
      <c r="A493" s="2972">
        <v>492</v>
      </c>
      <c r="B493" s="2974" t="s">
        <v>3244</v>
      </c>
      <c r="C493" s="2982" t="s">
        <v>3153</v>
      </c>
      <c r="D493" s="2972" t="s">
        <v>3183</v>
      </c>
      <c r="E493" s="2982">
        <v>302</v>
      </c>
      <c r="F493" s="2983">
        <v>79.900000000000006</v>
      </c>
      <c r="G493" s="2979">
        <v>14.93</v>
      </c>
      <c r="H493" s="2979">
        <v>94.830000000000013</v>
      </c>
      <c r="I493" s="2974" t="s">
        <v>3055</v>
      </c>
      <c r="J493" s="2981" t="s">
        <v>3155</v>
      </c>
      <c r="L493" s="2976"/>
      <c r="M493" s="2976"/>
      <c r="N493" s="2976"/>
      <c r="O493" s="2976"/>
      <c r="P493" s="2976"/>
      <c r="Q493" s="2976"/>
      <c r="R493" s="2976"/>
      <c r="S493" s="2976"/>
      <c r="T493" s="2976"/>
      <c r="U493" s="2976"/>
      <c r="V493" s="2976"/>
      <c r="W493" s="2976"/>
      <c r="X493" s="2976"/>
      <c r="Y493" s="2976"/>
      <c r="Z493" s="2976"/>
      <c r="AA493" s="2976"/>
      <c r="AB493" s="2976"/>
      <c r="AC493" s="2976"/>
      <c r="AD493" s="2976"/>
      <c r="AE493" s="2976"/>
      <c r="AF493" s="2976"/>
    </row>
    <row r="494" spans="1:32">
      <c r="A494" s="2972">
        <v>493</v>
      </c>
      <c r="B494" s="2974" t="s">
        <v>3244</v>
      </c>
      <c r="C494" s="2982" t="s">
        <v>3153</v>
      </c>
      <c r="D494" s="2972" t="s">
        <v>3183</v>
      </c>
      <c r="E494" s="2982">
        <v>303</v>
      </c>
      <c r="F494" s="2983">
        <v>78.95</v>
      </c>
      <c r="G494" s="2979">
        <v>14.75</v>
      </c>
      <c r="H494" s="2979">
        <v>93.7</v>
      </c>
      <c r="I494" s="2974" t="s">
        <v>3055</v>
      </c>
      <c r="J494" s="2981" t="s">
        <v>3155</v>
      </c>
      <c r="L494" s="2976"/>
      <c r="M494" s="2976"/>
      <c r="N494" s="2976"/>
      <c r="O494" s="2976"/>
      <c r="P494" s="2976"/>
      <c r="Q494" s="2976"/>
      <c r="R494" s="2976"/>
      <c r="S494" s="2976"/>
      <c r="T494" s="2976"/>
      <c r="U494" s="2976"/>
      <c r="V494" s="2976"/>
      <c r="W494" s="2976"/>
      <c r="X494" s="2976"/>
      <c r="Y494" s="2976"/>
      <c r="Z494" s="2976"/>
      <c r="AA494" s="2976"/>
      <c r="AB494" s="2976"/>
      <c r="AC494" s="2976"/>
      <c r="AD494" s="2976"/>
      <c r="AE494" s="2976"/>
      <c r="AF494" s="2976"/>
    </row>
    <row r="495" spans="1:32">
      <c r="A495" s="2972">
        <v>494</v>
      </c>
      <c r="B495" s="2974" t="s">
        <v>3244</v>
      </c>
      <c r="C495" s="2982" t="s">
        <v>3153</v>
      </c>
      <c r="D495" s="2972" t="s">
        <v>3183</v>
      </c>
      <c r="E495" s="2982">
        <v>305</v>
      </c>
      <c r="F495" s="2983">
        <v>78.95</v>
      </c>
      <c r="G495" s="2979">
        <v>14.75</v>
      </c>
      <c r="H495" s="2979">
        <v>93.7</v>
      </c>
      <c r="I495" s="2974" t="s">
        <v>3055</v>
      </c>
      <c r="J495" s="2981" t="s">
        <v>3155</v>
      </c>
      <c r="L495" s="2976"/>
      <c r="M495" s="2976"/>
      <c r="N495" s="2976"/>
      <c r="O495" s="2976"/>
      <c r="P495" s="2976"/>
      <c r="Q495" s="2976"/>
      <c r="R495" s="2976"/>
      <c r="S495" s="2976"/>
      <c r="T495" s="2976"/>
      <c r="U495" s="2976"/>
      <c r="V495" s="2976"/>
      <c r="W495" s="2976"/>
      <c r="X495" s="2976"/>
      <c r="Y495" s="2976"/>
      <c r="Z495" s="2976"/>
      <c r="AA495" s="2976"/>
      <c r="AB495" s="2976"/>
      <c r="AC495" s="2976"/>
      <c r="AD495" s="2976"/>
      <c r="AE495" s="2976"/>
      <c r="AF495" s="2976"/>
    </row>
    <row r="496" spans="1:32">
      <c r="A496" s="2972">
        <v>495</v>
      </c>
      <c r="B496" s="2974" t="s">
        <v>3244</v>
      </c>
      <c r="C496" s="2982" t="s">
        <v>3153</v>
      </c>
      <c r="D496" s="2972" t="s">
        <v>3183</v>
      </c>
      <c r="E496" s="2982">
        <v>306</v>
      </c>
      <c r="F496" s="2983">
        <v>80.52</v>
      </c>
      <c r="G496" s="2979">
        <v>15.04</v>
      </c>
      <c r="H496" s="2979">
        <v>95.56</v>
      </c>
      <c r="I496" s="2974" t="s">
        <v>3055</v>
      </c>
      <c r="J496" s="2981" t="s">
        <v>3155</v>
      </c>
      <c r="L496" s="2976"/>
      <c r="M496" s="2976"/>
      <c r="N496" s="2976"/>
      <c r="O496" s="2976"/>
      <c r="P496" s="2976"/>
      <c r="Q496" s="2976"/>
      <c r="R496" s="2976"/>
      <c r="S496" s="2976"/>
      <c r="T496" s="2976"/>
      <c r="U496" s="2976"/>
      <c r="V496" s="2976"/>
      <c r="W496" s="2976"/>
      <c r="X496" s="2976"/>
      <c r="Y496" s="2976"/>
      <c r="Z496" s="2976"/>
      <c r="AA496" s="2976"/>
      <c r="AB496" s="2976"/>
      <c r="AC496" s="2976"/>
      <c r="AD496" s="2976"/>
      <c r="AE496" s="2976"/>
      <c r="AF496" s="2976"/>
    </row>
    <row r="497" spans="1:32">
      <c r="A497" s="2972">
        <v>496</v>
      </c>
      <c r="B497" s="2974" t="s">
        <v>3244</v>
      </c>
      <c r="C497" s="2982" t="s">
        <v>3153</v>
      </c>
      <c r="D497" s="2972" t="s">
        <v>3183</v>
      </c>
      <c r="E497" s="2982">
        <v>307</v>
      </c>
      <c r="F497" s="2983">
        <v>58.35</v>
      </c>
      <c r="G497" s="2979">
        <v>10.9</v>
      </c>
      <c r="H497" s="2979">
        <v>69.25</v>
      </c>
      <c r="I497" s="2974" t="s">
        <v>3055</v>
      </c>
      <c r="J497" s="2981" t="s">
        <v>3155</v>
      </c>
      <c r="L497" s="2976"/>
      <c r="M497" s="2976"/>
      <c r="N497" s="2976"/>
      <c r="O497" s="2976"/>
      <c r="P497" s="2976"/>
      <c r="Q497" s="2976"/>
      <c r="R497" s="2976"/>
      <c r="S497" s="2976"/>
      <c r="T497" s="2976"/>
      <c r="U497" s="2976"/>
      <c r="V497" s="2976"/>
      <c r="W497" s="2976"/>
      <c r="X497" s="2976"/>
      <c r="Y497" s="2976"/>
      <c r="Z497" s="2976"/>
      <c r="AA497" s="2976"/>
      <c r="AB497" s="2976"/>
      <c r="AC497" s="2976"/>
      <c r="AD497" s="2976"/>
      <c r="AE497" s="2976"/>
      <c r="AF497" s="2976"/>
    </row>
    <row r="498" spans="1:32">
      <c r="A498" s="2972">
        <v>497</v>
      </c>
      <c r="B498" s="2974" t="s">
        <v>3244</v>
      </c>
      <c r="C498" s="2982" t="s">
        <v>3156</v>
      </c>
      <c r="D498" s="2972" t="s">
        <v>3183</v>
      </c>
      <c r="E498" s="2982" t="s">
        <v>3145</v>
      </c>
      <c r="F498" s="2983">
        <v>58.35</v>
      </c>
      <c r="G498" s="2979">
        <v>10.9</v>
      </c>
      <c r="H498" s="2979">
        <v>69.25</v>
      </c>
      <c r="I498" s="2974" t="s">
        <v>3055</v>
      </c>
      <c r="J498" s="2981" t="s">
        <v>3155</v>
      </c>
      <c r="L498" s="2976"/>
      <c r="M498" s="2976"/>
      <c r="N498" s="2976"/>
      <c r="O498" s="2976"/>
      <c r="P498" s="2976"/>
      <c r="Q498" s="2976"/>
      <c r="R498" s="2976"/>
      <c r="S498" s="2976"/>
      <c r="T498" s="2976"/>
      <c r="U498" s="2976"/>
      <c r="V498" s="2976"/>
      <c r="W498" s="2976"/>
      <c r="X498" s="2976"/>
      <c r="Y498" s="2976"/>
      <c r="Z498" s="2976"/>
      <c r="AA498" s="2976"/>
      <c r="AB498" s="2976"/>
      <c r="AC498" s="2976"/>
      <c r="AD498" s="2976"/>
      <c r="AE498" s="2976"/>
      <c r="AF498" s="2976"/>
    </row>
    <row r="499" spans="1:32">
      <c r="A499" s="2972">
        <v>498</v>
      </c>
      <c r="B499" s="2974" t="s">
        <v>3244</v>
      </c>
      <c r="C499" s="2982" t="s">
        <v>3156</v>
      </c>
      <c r="D499" s="2972" t="s">
        <v>3183</v>
      </c>
      <c r="E499" s="2982" t="s">
        <v>3146</v>
      </c>
      <c r="F499" s="2983">
        <v>79.900000000000006</v>
      </c>
      <c r="G499" s="2979">
        <v>14.93</v>
      </c>
      <c r="H499" s="2979">
        <v>94.830000000000013</v>
      </c>
      <c r="I499" s="2974" t="s">
        <v>3055</v>
      </c>
      <c r="J499" s="2981" t="s">
        <v>3155</v>
      </c>
      <c r="L499" s="2976"/>
      <c r="M499" s="2976"/>
      <c r="N499" s="2976"/>
      <c r="O499" s="2976"/>
      <c r="P499" s="2976"/>
      <c r="Q499" s="2976"/>
      <c r="R499" s="2976"/>
      <c r="S499" s="2976"/>
      <c r="T499" s="2976"/>
      <c r="U499" s="2976"/>
      <c r="V499" s="2976"/>
      <c r="W499" s="2976"/>
      <c r="X499" s="2976"/>
      <c r="Y499" s="2976"/>
      <c r="Z499" s="2976"/>
      <c r="AA499" s="2976"/>
      <c r="AB499" s="2976"/>
      <c r="AC499" s="2976"/>
      <c r="AD499" s="2976"/>
      <c r="AE499" s="2976"/>
      <c r="AF499" s="2976"/>
    </row>
    <row r="500" spans="1:32">
      <c r="A500" s="2972">
        <v>499</v>
      </c>
      <c r="B500" s="2974" t="s">
        <v>3244</v>
      </c>
      <c r="C500" s="2982" t="s">
        <v>3156</v>
      </c>
      <c r="D500" s="2972" t="s">
        <v>3183</v>
      </c>
      <c r="E500" s="2982" t="s">
        <v>3147</v>
      </c>
      <c r="F500" s="2983">
        <v>78.95</v>
      </c>
      <c r="G500" s="2979">
        <v>14.75</v>
      </c>
      <c r="H500" s="2979">
        <v>93.7</v>
      </c>
      <c r="I500" s="2974" t="s">
        <v>3055</v>
      </c>
      <c r="J500" s="2981" t="s">
        <v>3155</v>
      </c>
      <c r="L500" s="2976"/>
      <c r="M500" s="2976"/>
      <c r="N500" s="2976"/>
      <c r="O500" s="2976"/>
      <c r="P500" s="2976"/>
      <c r="Q500" s="2976"/>
      <c r="R500" s="2976"/>
      <c r="S500" s="2976"/>
      <c r="T500" s="2976"/>
      <c r="U500" s="2976"/>
      <c r="V500" s="2976"/>
      <c r="W500" s="2976"/>
      <c r="X500" s="2976"/>
      <c r="Y500" s="2976"/>
      <c r="Z500" s="2976"/>
      <c r="AA500" s="2976"/>
      <c r="AB500" s="2976"/>
      <c r="AC500" s="2976"/>
      <c r="AD500" s="2976"/>
      <c r="AE500" s="2976"/>
      <c r="AF500" s="2976"/>
    </row>
    <row r="501" spans="1:32">
      <c r="A501" s="2972">
        <v>500</v>
      </c>
      <c r="B501" s="2974" t="s">
        <v>3244</v>
      </c>
      <c r="C501" s="2982" t="s">
        <v>3156</v>
      </c>
      <c r="D501" s="2972" t="s">
        <v>3183</v>
      </c>
      <c r="E501" s="2982" t="s">
        <v>3148</v>
      </c>
      <c r="F501" s="2983">
        <v>78.95</v>
      </c>
      <c r="G501" s="2979">
        <v>14.75</v>
      </c>
      <c r="H501" s="2979">
        <v>93.7</v>
      </c>
      <c r="I501" s="2974" t="s">
        <v>3055</v>
      </c>
      <c r="J501" s="2981" t="s">
        <v>3155</v>
      </c>
      <c r="L501" s="2976"/>
      <c r="M501" s="2976"/>
      <c r="N501" s="2976"/>
      <c r="O501" s="2976"/>
      <c r="P501" s="2976"/>
      <c r="Q501" s="2976"/>
      <c r="R501" s="2976"/>
      <c r="S501" s="2976"/>
      <c r="T501" s="2976"/>
      <c r="U501" s="2976"/>
      <c r="V501" s="2976"/>
      <c r="W501" s="2976"/>
      <c r="X501" s="2976"/>
      <c r="Y501" s="2976"/>
      <c r="Z501" s="2976"/>
      <c r="AA501" s="2976"/>
      <c r="AB501" s="2976"/>
      <c r="AC501" s="2976"/>
      <c r="AD501" s="2976"/>
      <c r="AE501" s="2976"/>
      <c r="AF501" s="2976"/>
    </row>
    <row r="502" spans="1:32">
      <c r="A502" s="2972">
        <v>501</v>
      </c>
      <c r="B502" s="2974" t="s">
        <v>3244</v>
      </c>
      <c r="C502" s="2982" t="s">
        <v>3156</v>
      </c>
      <c r="D502" s="2972" t="s">
        <v>3183</v>
      </c>
      <c r="E502" s="2982" t="s">
        <v>3149</v>
      </c>
      <c r="F502" s="2983">
        <v>80.52</v>
      </c>
      <c r="G502" s="2979">
        <v>15.04</v>
      </c>
      <c r="H502" s="2979">
        <v>95.56</v>
      </c>
      <c r="I502" s="2974" t="s">
        <v>3055</v>
      </c>
      <c r="J502" s="2981" t="s">
        <v>3155</v>
      </c>
      <c r="L502" s="2976"/>
      <c r="M502" s="2976"/>
      <c r="N502" s="2976"/>
      <c r="O502" s="2976"/>
      <c r="P502" s="2976"/>
      <c r="Q502" s="2976"/>
      <c r="R502" s="2976"/>
      <c r="S502" s="2976"/>
      <c r="T502" s="2976"/>
      <c r="U502" s="2976"/>
      <c r="V502" s="2976"/>
      <c r="W502" s="2976"/>
      <c r="X502" s="2976"/>
      <c r="Y502" s="2976"/>
      <c r="Z502" s="2976"/>
      <c r="AA502" s="2976"/>
      <c r="AB502" s="2976"/>
      <c r="AC502" s="2976"/>
      <c r="AD502" s="2976"/>
      <c r="AE502" s="2976"/>
      <c r="AF502" s="2976"/>
    </row>
    <row r="503" spans="1:32">
      <c r="A503" s="2972">
        <v>502</v>
      </c>
      <c r="B503" s="2974" t="s">
        <v>3244</v>
      </c>
      <c r="C503" s="2982" t="s">
        <v>3156</v>
      </c>
      <c r="D503" s="2972" t="s">
        <v>3183</v>
      </c>
      <c r="E503" s="2982" t="s">
        <v>3150</v>
      </c>
      <c r="F503" s="2983">
        <v>58.35</v>
      </c>
      <c r="G503" s="2979">
        <v>10.9</v>
      </c>
      <c r="H503" s="2979">
        <v>69.25</v>
      </c>
      <c r="I503" s="2974" t="s">
        <v>3055</v>
      </c>
      <c r="J503" s="2981" t="s">
        <v>3155</v>
      </c>
      <c r="L503" s="2976"/>
      <c r="M503" s="2976"/>
      <c r="N503" s="2976"/>
      <c r="O503" s="2976"/>
      <c r="P503" s="2976"/>
      <c r="Q503" s="2976"/>
      <c r="R503" s="2976"/>
      <c r="S503" s="2976"/>
      <c r="T503" s="2976"/>
      <c r="U503" s="2976"/>
      <c r="V503" s="2976"/>
      <c r="W503" s="2976"/>
      <c r="X503" s="2976"/>
      <c r="Y503" s="2976"/>
      <c r="Z503" s="2976"/>
      <c r="AA503" s="2976"/>
      <c r="AB503" s="2976"/>
      <c r="AC503" s="2976"/>
      <c r="AD503" s="2976"/>
      <c r="AE503" s="2976"/>
      <c r="AF503" s="2976"/>
    </row>
    <row r="504" spans="1:32">
      <c r="A504" s="2972">
        <v>503</v>
      </c>
      <c r="B504" s="2974" t="s">
        <v>3244</v>
      </c>
      <c r="C504" s="2982" t="s">
        <v>3157</v>
      </c>
      <c r="D504" s="2972" t="s">
        <v>3183</v>
      </c>
      <c r="E504" s="2982">
        <v>501</v>
      </c>
      <c r="F504" s="2983">
        <v>58.35</v>
      </c>
      <c r="G504" s="2979">
        <v>10.9</v>
      </c>
      <c r="H504" s="2979">
        <v>69.25</v>
      </c>
      <c r="I504" s="2974" t="s">
        <v>3055</v>
      </c>
      <c r="J504" s="2981" t="s">
        <v>3155</v>
      </c>
      <c r="L504" s="2976"/>
      <c r="M504" s="2976"/>
      <c r="N504" s="2976"/>
      <c r="O504" s="2976"/>
      <c r="P504" s="2976"/>
      <c r="Q504" s="2976"/>
      <c r="R504" s="2976"/>
      <c r="S504" s="2976"/>
      <c r="T504" s="2976"/>
      <c r="U504" s="2976"/>
      <c r="V504" s="2976"/>
      <c r="W504" s="2976"/>
      <c r="X504" s="2976"/>
      <c r="Y504" s="2976"/>
      <c r="Z504" s="2976"/>
      <c r="AA504" s="2976"/>
      <c r="AB504" s="2976"/>
      <c r="AC504" s="2976"/>
      <c r="AD504" s="2976"/>
      <c r="AE504" s="2976"/>
      <c r="AF504" s="2976"/>
    </row>
    <row r="505" spans="1:32">
      <c r="A505" s="2972">
        <v>504</v>
      </c>
      <c r="B505" s="2974" t="s">
        <v>3244</v>
      </c>
      <c r="C505" s="2982" t="s">
        <v>3157</v>
      </c>
      <c r="D505" s="2972" t="s">
        <v>3183</v>
      </c>
      <c r="E505" s="2982">
        <v>502</v>
      </c>
      <c r="F505" s="2983">
        <v>79.900000000000006</v>
      </c>
      <c r="G505" s="2979">
        <v>14.93</v>
      </c>
      <c r="H505" s="2979">
        <v>94.830000000000013</v>
      </c>
      <c r="I505" s="2974" t="s">
        <v>3055</v>
      </c>
      <c r="J505" s="2981" t="s">
        <v>3155</v>
      </c>
      <c r="L505" s="2976"/>
      <c r="M505" s="2976"/>
      <c r="N505" s="2976"/>
      <c r="O505" s="2976"/>
      <c r="P505" s="2976"/>
      <c r="Q505" s="2976"/>
      <c r="R505" s="2976"/>
      <c r="S505" s="2976"/>
      <c r="T505" s="2976"/>
      <c r="U505" s="2976"/>
      <c r="V505" s="2976"/>
      <c r="W505" s="2976"/>
      <c r="X505" s="2976"/>
      <c r="Y505" s="2976"/>
      <c r="Z505" s="2976"/>
      <c r="AA505" s="2976"/>
      <c r="AB505" s="2976"/>
      <c r="AC505" s="2976"/>
      <c r="AD505" s="2976"/>
      <c r="AE505" s="2976"/>
      <c r="AF505" s="2976"/>
    </row>
    <row r="506" spans="1:32">
      <c r="A506" s="2972">
        <v>505</v>
      </c>
      <c r="B506" s="2974" t="s">
        <v>3244</v>
      </c>
      <c r="C506" s="2982" t="s">
        <v>3157</v>
      </c>
      <c r="D506" s="2972" t="s">
        <v>3183</v>
      </c>
      <c r="E506" s="2982">
        <v>503</v>
      </c>
      <c r="F506" s="2983">
        <v>78.95</v>
      </c>
      <c r="G506" s="2979">
        <v>14.75</v>
      </c>
      <c r="H506" s="2979">
        <v>93.7</v>
      </c>
      <c r="I506" s="2974" t="s">
        <v>3055</v>
      </c>
      <c r="J506" s="2981" t="s">
        <v>3155</v>
      </c>
      <c r="L506" s="2976"/>
      <c r="M506" s="2976"/>
      <c r="N506" s="2976"/>
      <c r="O506" s="2976"/>
      <c r="P506" s="2976"/>
      <c r="Q506" s="2976"/>
      <c r="R506" s="2976"/>
      <c r="S506" s="2976"/>
      <c r="T506" s="2976"/>
      <c r="U506" s="2976"/>
      <c r="V506" s="2976"/>
      <c r="W506" s="2976"/>
      <c r="X506" s="2976"/>
      <c r="Y506" s="2976"/>
      <c r="Z506" s="2976"/>
      <c r="AA506" s="2976"/>
      <c r="AB506" s="2976"/>
      <c r="AC506" s="2976"/>
      <c r="AD506" s="2976"/>
      <c r="AE506" s="2976"/>
      <c r="AF506" s="2976"/>
    </row>
    <row r="507" spans="1:32">
      <c r="A507" s="2972">
        <v>506</v>
      </c>
      <c r="B507" s="2974" t="s">
        <v>3244</v>
      </c>
      <c r="C507" s="2982" t="s">
        <v>3157</v>
      </c>
      <c r="D507" s="2972" t="s">
        <v>3183</v>
      </c>
      <c r="E507" s="2982">
        <v>505</v>
      </c>
      <c r="F507" s="2983">
        <v>78.95</v>
      </c>
      <c r="G507" s="2979">
        <v>14.75</v>
      </c>
      <c r="H507" s="2979">
        <v>93.7</v>
      </c>
      <c r="I507" s="2974" t="s">
        <v>3055</v>
      </c>
      <c r="J507" s="2981" t="s">
        <v>3155</v>
      </c>
      <c r="L507" s="2976"/>
      <c r="M507" s="2976"/>
      <c r="N507" s="2976"/>
      <c r="O507" s="2976"/>
      <c r="P507" s="2976"/>
      <c r="Q507" s="2976"/>
      <c r="R507" s="2976"/>
      <c r="S507" s="2976"/>
      <c r="T507" s="2976"/>
      <c r="U507" s="2976"/>
      <c r="V507" s="2976"/>
      <c r="W507" s="2976"/>
      <c r="X507" s="2976"/>
      <c r="Y507" s="2976"/>
      <c r="Z507" s="2976"/>
      <c r="AA507" s="2976"/>
      <c r="AB507" s="2976"/>
      <c r="AC507" s="2976"/>
      <c r="AD507" s="2976"/>
      <c r="AE507" s="2976"/>
      <c r="AF507" s="2976"/>
    </row>
    <row r="508" spans="1:32">
      <c r="A508" s="2972">
        <v>507</v>
      </c>
      <c r="B508" s="2974" t="s">
        <v>3244</v>
      </c>
      <c r="C508" s="2982" t="s">
        <v>3157</v>
      </c>
      <c r="D508" s="2972" t="s">
        <v>3183</v>
      </c>
      <c r="E508" s="2982">
        <v>506</v>
      </c>
      <c r="F508" s="2983">
        <v>80.52</v>
      </c>
      <c r="G508" s="2979">
        <v>15.04</v>
      </c>
      <c r="H508" s="2979">
        <v>95.56</v>
      </c>
      <c r="I508" s="2974" t="s">
        <v>3055</v>
      </c>
      <c r="J508" s="2981" t="s">
        <v>3155</v>
      </c>
      <c r="L508" s="2976"/>
      <c r="M508" s="2976"/>
      <c r="N508" s="2976"/>
      <c r="O508" s="2976"/>
      <c r="P508" s="2976"/>
      <c r="Q508" s="2976"/>
      <c r="R508" s="2976"/>
      <c r="S508" s="2976"/>
      <c r="T508" s="2976"/>
      <c r="U508" s="2976"/>
      <c r="V508" s="2976"/>
      <c r="W508" s="2976"/>
      <c r="X508" s="2976"/>
      <c r="Y508" s="2976"/>
      <c r="Z508" s="2976"/>
      <c r="AA508" s="2976"/>
      <c r="AB508" s="2976"/>
      <c r="AC508" s="2976"/>
      <c r="AD508" s="2976"/>
      <c r="AE508" s="2976"/>
      <c r="AF508" s="2976"/>
    </row>
    <row r="509" spans="1:32">
      <c r="A509" s="2972">
        <v>508</v>
      </c>
      <c r="B509" s="2974" t="s">
        <v>3244</v>
      </c>
      <c r="C509" s="2982" t="s">
        <v>3157</v>
      </c>
      <c r="D509" s="2972" t="s">
        <v>3183</v>
      </c>
      <c r="E509" s="2982">
        <v>507</v>
      </c>
      <c r="F509" s="2983">
        <v>58.35</v>
      </c>
      <c r="G509" s="2979">
        <v>10.9</v>
      </c>
      <c r="H509" s="2979">
        <v>69.25</v>
      </c>
      <c r="I509" s="2974" t="s">
        <v>3055</v>
      </c>
      <c r="J509" s="2981" t="s">
        <v>3155</v>
      </c>
      <c r="L509" s="2976"/>
      <c r="M509" s="2976"/>
      <c r="N509" s="2976"/>
      <c r="O509" s="2976"/>
      <c r="P509" s="2976"/>
      <c r="Q509" s="2976"/>
      <c r="R509" s="2976"/>
      <c r="S509" s="2976"/>
      <c r="T509" s="2976"/>
      <c r="U509" s="2976"/>
      <c r="V509" s="2976"/>
      <c r="W509" s="2976"/>
      <c r="X509" s="2976"/>
      <c r="Y509" s="2976"/>
      <c r="Z509" s="2976"/>
      <c r="AA509" s="2976"/>
      <c r="AB509" s="2976"/>
      <c r="AC509" s="2976"/>
      <c r="AD509" s="2976"/>
      <c r="AE509" s="2976"/>
      <c r="AF509" s="2976"/>
    </row>
    <row r="510" spans="1:32">
      <c r="A510" s="2972">
        <v>509</v>
      </c>
      <c r="B510" s="2974" t="s">
        <v>3244</v>
      </c>
      <c r="C510" s="2982" t="s">
        <v>3158</v>
      </c>
      <c r="D510" s="2972" t="s">
        <v>3183</v>
      </c>
      <c r="E510" s="2982">
        <v>601</v>
      </c>
      <c r="F510" s="2983">
        <v>58.35</v>
      </c>
      <c r="G510" s="2979">
        <v>10.9</v>
      </c>
      <c r="H510" s="2979">
        <v>69.25</v>
      </c>
      <c r="I510" s="2974" t="s">
        <v>3055</v>
      </c>
      <c r="J510" s="2981" t="s">
        <v>3155</v>
      </c>
      <c r="L510" s="2976"/>
      <c r="M510" s="2976"/>
      <c r="N510" s="2976"/>
      <c r="O510" s="2976"/>
      <c r="P510" s="2976"/>
      <c r="Q510" s="2976"/>
      <c r="R510" s="2976"/>
      <c r="S510" s="2976"/>
      <c r="T510" s="2976"/>
      <c r="U510" s="2976"/>
      <c r="V510" s="2976"/>
      <c r="W510" s="2976"/>
      <c r="X510" s="2976"/>
      <c r="Y510" s="2976"/>
      <c r="Z510" s="2976"/>
      <c r="AA510" s="2976"/>
      <c r="AB510" s="2976"/>
      <c r="AC510" s="2976"/>
      <c r="AD510" s="2976"/>
      <c r="AE510" s="2976"/>
      <c r="AF510" s="2976"/>
    </row>
    <row r="511" spans="1:32">
      <c r="A511" s="2972">
        <v>510</v>
      </c>
      <c r="B511" s="2974" t="s">
        <v>3244</v>
      </c>
      <c r="C511" s="2982" t="s">
        <v>3158</v>
      </c>
      <c r="D511" s="2972" t="s">
        <v>3183</v>
      </c>
      <c r="E511" s="2982">
        <v>602</v>
      </c>
      <c r="F511" s="2983">
        <v>79.900000000000006</v>
      </c>
      <c r="G511" s="2979">
        <v>14.93</v>
      </c>
      <c r="H511" s="2979">
        <v>94.830000000000013</v>
      </c>
      <c r="I511" s="2974" t="s">
        <v>3055</v>
      </c>
      <c r="J511" s="2981" t="s">
        <v>3155</v>
      </c>
      <c r="L511" s="2976"/>
      <c r="M511" s="2976"/>
      <c r="N511" s="2976"/>
      <c r="O511" s="2976"/>
      <c r="P511" s="2976"/>
      <c r="Q511" s="2976"/>
      <c r="R511" s="2976"/>
      <c r="S511" s="2976"/>
      <c r="T511" s="2976"/>
      <c r="U511" s="2976"/>
      <c r="V511" s="2976"/>
      <c r="W511" s="2976"/>
      <c r="X511" s="2976"/>
      <c r="Y511" s="2976"/>
      <c r="Z511" s="2976"/>
      <c r="AA511" s="2976"/>
      <c r="AB511" s="2976"/>
      <c r="AC511" s="2976"/>
      <c r="AD511" s="2976"/>
      <c r="AE511" s="2976"/>
      <c r="AF511" s="2976"/>
    </row>
    <row r="512" spans="1:32">
      <c r="A512" s="2972">
        <v>511</v>
      </c>
      <c r="B512" s="2974" t="s">
        <v>3244</v>
      </c>
      <c r="C512" s="2982" t="s">
        <v>3158</v>
      </c>
      <c r="D512" s="2972" t="s">
        <v>3183</v>
      </c>
      <c r="E512" s="2982">
        <v>603</v>
      </c>
      <c r="F512" s="2983">
        <v>78.95</v>
      </c>
      <c r="G512" s="2979">
        <v>14.75</v>
      </c>
      <c r="H512" s="2979">
        <v>93.7</v>
      </c>
      <c r="I512" s="2974" t="s">
        <v>3055</v>
      </c>
      <c r="J512" s="2981" t="s">
        <v>3155</v>
      </c>
      <c r="L512" s="2976"/>
      <c r="M512" s="2976"/>
      <c r="N512" s="2976"/>
      <c r="O512" s="2976"/>
      <c r="P512" s="2976"/>
      <c r="Q512" s="2976"/>
      <c r="R512" s="2976"/>
      <c r="S512" s="2976"/>
      <c r="T512" s="2976"/>
      <c r="U512" s="2976"/>
      <c r="V512" s="2976"/>
      <c r="W512" s="2976"/>
      <c r="X512" s="2976"/>
      <c r="Y512" s="2976"/>
      <c r="Z512" s="2976"/>
      <c r="AA512" s="2976"/>
      <c r="AB512" s="2976"/>
      <c r="AC512" s="2976"/>
      <c r="AD512" s="2976"/>
      <c r="AE512" s="2976"/>
      <c r="AF512" s="2976"/>
    </row>
    <row r="513" spans="1:32">
      <c r="A513" s="2972">
        <v>512</v>
      </c>
      <c r="B513" s="2974" t="s">
        <v>3244</v>
      </c>
      <c r="C513" s="2982" t="s">
        <v>3158</v>
      </c>
      <c r="D513" s="2972" t="s">
        <v>3183</v>
      </c>
      <c r="E513" s="2982">
        <v>605</v>
      </c>
      <c r="F513" s="2983">
        <v>78.95</v>
      </c>
      <c r="G513" s="2979">
        <v>14.75</v>
      </c>
      <c r="H513" s="2979">
        <v>93.7</v>
      </c>
      <c r="I513" s="2974" t="s">
        <v>3055</v>
      </c>
      <c r="J513" s="2981" t="s">
        <v>3155</v>
      </c>
      <c r="L513" s="2976"/>
      <c r="M513" s="2976"/>
      <c r="N513" s="2976"/>
      <c r="O513" s="2976"/>
      <c r="P513" s="2976"/>
      <c r="Q513" s="2976"/>
      <c r="R513" s="2976"/>
      <c r="S513" s="2976"/>
      <c r="T513" s="2976"/>
      <c r="U513" s="2976"/>
      <c r="V513" s="2976"/>
      <c r="W513" s="2976"/>
      <c r="X513" s="2976"/>
      <c r="Y513" s="2976"/>
      <c r="Z513" s="2976"/>
      <c r="AA513" s="2976"/>
      <c r="AB513" s="2976"/>
      <c r="AC513" s="2976"/>
      <c r="AD513" s="2976"/>
      <c r="AE513" s="2976"/>
      <c r="AF513" s="2976"/>
    </row>
    <row r="514" spans="1:32">
      <c r="A514" s="2972">
        <v>513</v>
      </c>
      <c r="B514" s="2974" t="s">
        <v>3244</v>
      </c>
      <c r="C514" s="2982" t="s">
        <v>3158</v>
      </c>
      <c r="D514" s="2972" t="s">
        <v>3183</v>
      </c>
      <c r="E514" s="2982">
        <v>606</v>
      </c>
      <c r="F514" s="2983">
        <v>80.52</v>
      </c>
      <c r="G514" s="2979">
        <v>15.04</v>
      </c>
      <c r="H514" s="2979">
        <v>95.56</v>
      </c>
      <c r="I514" s="2974" t="s">
        <v>3055</v>
      </c>
      <c r="J514" s="2981" t="s">
        <v>3155</v>
      </c>
      <c r="L514" s="2976"/>
      <c r="M514" s="2976"/>
      <c r="N514" s="2976"/>
      <c r="O514" s="2976"/>
      <c r="P514" s="2976"/>
      <c r="Q514" s="2976"/>
      <c r="R514" s="2976"/>
      <c r="S514" s="2976"/>
      <c r="T514" s="2976"/>
      <c r="U514" s="2976"/>
      <c r="V514" s="2976"/>
      <c r="W514" s="2976"/>
      <c r="X514" s="2976"/>
      <c r="Y514" s="2976"/>
      <c r="Z514" s="2976"/>
      <c r="AA514" s="2976"/>
      <c r="AB514" s="2976"/>
      <c r="AC514" s="2976"/>
      <c r="AD514" s="2976"/>
      <c r="AE514" s="2976"/>
      <c r="AF514" s="2976"/>
    </row>
    <row r="515" spans="1:32">
      <c r="A515" s="2972">
        <v>514</v>
      </c>
      <c r="B515" s="2974" t="s">
        <v>3244</v>
      </c>
      <c r="C515" s="2982" t="s">
        <v>3158</v>
      </c>
      <c r="D515" s="2972" t="s">
        <v>3183</v>
      </c>
      <c r="E515" s="2982">
        <v>607</v>
      </c>
      <c r="F515" s="2983">
        <v>58.35</v>
      </c>
      <c r="G515" s="2979">
        <v>10.9</v>
      </c>
      <c r="H515" s="2979">
        <v>69.25</v>
      </c>
      <c r="I515" s="2974" t="s">
        <v>3055</v>
      </c>
      <c r="J515" s="2981" t="s">
        <v>3155</v>
      </c>
      <c r="K515" s="2992">
        <f>SUM(H296:H515)</f>
        <v>16905.079999999998</v>
      </c>
      <c r="L515" s="2976"/>
      <c r="M515" s="2976"/>
      <c r="N515" s="2976"/>
      <c r="O515" s="2976"/>
      <c r="P515" s="2976"/>
      <c r="Q515" s="2976"/>
      <c r="R515" s="2976"/>
      <c r="S515" s="2976"/>
      <c r="T515" s="2976"/>
      <c r="U515" s="2976"/>
      <c r="V515" s="2976"/>
      <c r="W515" s="2976"/>
      <c r="X515" s="2976"/>
      <c r="Y515" s="2976"/>
      <c r="Z515" s="2976"/>
      <c r="AA515" s="2976"/>
      <c r="AB515" s="2976"/>
      <c r="AC515" s="2976"/>
      <c r="AD515" s="2976"/>
      <c r="AE515" s="2976"/>
      <c r="AF515" s="2976"/>
    </row>
    <row r="516" spans="1:32">
      <c r="A516" s="2972">
        <v>515</v>
      </c>
      <c r="B516" s="2974" t="s">
        <v>3200</v>
      </c>
      <c r="C516" s="2973" t="s">
        <v>3207</v>
      </c>
      <c r="D516" s="2972" t="s">
        <v>3183</v>
      </c>
      <c r="E516" s="2974">
        <v>101</v>
      </c>
      <c r="F516" s="2980">
        <v>55.78</v>
      </c>
      <c r="G516" s="2979">
        <v>12.45</v>
      </c>
      <c r="H516" s="2979">
        <v>68.23</v>
      </c>
      <c r="I516" s="2979" t="s">
        <v>3055</v>
      </c>
      <c r="J516" s="2974" t="s">
        <v>3143</v>
      </c>
      <c r="L516" s="2976"/>
      <c r="M516" s="2976"/>
      <c r="N516" s="2976"/>
      <c r="O516" s="2976"/>
      <c r="P516" s="2976"/>
      <c r="Q516" s="2976"/>
      <c r="R516" s="2976"/>
      <c r="S516" s="2976"/>
      <c r="T516" s="2976"/>
      <c r="U516" s="2976"/>
      <c r="V516" s="2976"/>
      <c r="W516" s="2976"/>
      <c r="X516" s="2976"/>
      <c r="Y516" s="2976"/>
      <c r="Z516" s="2976"/>
      <c r="AA516" s="2976"/>
      <c r="AB516" s="2976"/>
      <c r="AC516" s="2976"/>
      <c r="AD516" s="2976"/>
      <c r="AE516" s="2976"/>
      <c r="AF516" s="2976"/>
    </row>
    <row r="517" spans="1:32">
      <c r="A517" s="2972">
        <v>516</v>
      </c>
      <c r="B517" s="2974" t="s">
        <v>3200</v>
      </c>
      <c r="C517" s="2973" t="s">
        <v>3207</v>
      </c>
      <c r="D517" s="2972" t="s">
        <v>3183</v>
      </c>
      <c r="E517" s="2974">
        <v>102</v>
      </c>
      <c r="F517" s="2974">
        <v>56.82</v>
      </c>
      <c r="G517" s="2979">
        <v>12.68</v>
      </c>
      <c r="H517" s="2979">
        <v>69.5</v>
      </c>
      <c r="I517" s="2979" t="s">
        <v>3055</v>
      </c>
      <c r="J517" s="2974" t="s">
        <v>3144</v>
      </c>
      <c r="L517" s="2976"/>
      <c r="M517" s="2976"/>
      <c r="N517" s="2976"/>
      <c r="O517" s="2976"/>
      <c r="P517" s="2976"/>
      <c r="Q517" s="2976"/>
      <c r="R517" s="2976"/>
      <c r="S517" s="2976"/>
      <c r="T517" s="2976"/>
      <c r="U517" s="2976"/>
      <c r="V517" s="2976"/>
      <c r="W517" s="2976"/>
      <c r="X517" s="2976"/>
      <c r="Y517" s="2976"/>
      <c r="Z517" s="2976"/>
      <c r="AA517" s="2976"/>
      <c r="AB517" s="2976"/>
      <c r="AC517" s="2976"/>
      <c r="AD517" s="2976"/>
      <c r="AE517" s="2976"/>
      <c r="AF517" s="2976"/>
    </row>
    <row r="518" spans="1:32">
      <c r="A518" s="2972">
        <v>517</v>
      </c>
      <c r="B518" s="2974" t="s">
        <v>3200</v>
      </c>
      <c r="C518" s="2973" t="s">
        <v>3207</v>
      </c>
      <c r="D518" s="2972" t="s">
        <v>3183</v>
      </c>
      <c r="E518" s="2974">
        <v>103</v>
      </c>
      <c r="F518" s="2974">
        <v>56.86</v>
      </c>
      <c r="G518" s="2979">
        <v>12.69</v>
      </c>
      <c r="H518" s="2979">
        <v>69.55</v>
      </c>
      <c r="I518" s="2979" t="s">
        <v>3055</v>
      </c>
      <c r="J518" s="2974" t="s">
        <v>3144</v>
      </c>
      <c r="L518" s="2976"/>
      <c r="M518" s="2976"/>
      <c r="N518" s="2976"/>
      <c r="O518" s="2976"/>
      <c r="P518" s="2976"/>
      <c r="Q518" s="2976"/>
      <c r="R518" s="2976"/>
      <c r="S518" s="2976"/>
      <c r="T518" s="2976"/>
      <c r="U518" s="2976"/>
      <c r="V518" s="2976"/>
      <c r="W518" s="2976"/>
      <c r="X518" s="2976"/>
      <c r="Y518" s="2976"/>
      <c r="Z518" s="2976"/>
      <c r="AA518" s="2976"/>
      <c r="AB518" s="2976"/>
      <c r="AC518" s="2976"/>
      <c r="AD518" s="2976"/>
      <c r="AE518" s="2976"/>
      <c r="AF518" s="2976"/>
    </row>
    <row r="519" spans="1:32">
      <c r="A519" s="2972">
        <v>518</v>
      </c>
      <c r="B519" s="2974" t="s">
        <v>3200</v>
      </c>
      <c r="C519" s="2973" t="s">
        <v>3207</v>
      </c>
      <c r="D519" s="2972" t="s">
        <v>3183</v>
      </c>
      <c r="E519" s="2974">
        <v>105</v>
      </c>
      <c r="F519" s="2974">
        <v>56.86</v>
      </c>
      <c r="G519" s="2979">
        <v>12.69</v>
      </c>
      <c r="H519" s="2979">
        <v>69.55</v>
      </c>
      <c r="I519" s="2979" t="s">
        <v>3055</v>
      </c>
      <c r="J519" s="2974" t="s">
        <v>3144</v>
      </c>
      <c r="L519" s="2976"/>
      <c r="M519" s="2976"/>
      <c r="N519" s="2976"/>
      <c r="O519" s="2976"/>
      <c r="P519" s="2976"/>
      <c r="Q519" s="2976"/>
      <c r="R519" s="2976"/>
      <c r="S519" s="2976"/>
      <c r="T519" s="2976"/>
      <c r="U519" s="2976"/>
      <c r="V519" s="2976"/>
      <c r="W519" s="2976"/>
      <c r="X519" s="2976"/>
      <c r="Y519" s="2976"/>
      <c r="Z519" s="2976"/>
      <c r="AA519" s="2976"/>
      <c r="AB519" s="2976"/>
      <c r="AC519" s="2976"/>
      <c r="AD519" s="2976"/>
      <c r="AE519" s="2976"/>
      <c r="AF519" s="2976"/>
    </row>
    <row r="520" spans="1:32">
      <c r="A520" s="2972">
        <v>519</v>
      </c>
      <c r="B520" s="2974" t="s">
        <v>3200</v>
      </c>
      <c r="C520" s="2973" t="s">
        <v>3207</v>
      </c>
      <c r="D520" s="2972" t="s">
        <v>3183</v>
      </c>
      <c r="E520" s="2974">
        <v>106</v>
      </c>
      <c r="F520" s="2974">
        <v>57.02</v>
      </c>
      <c r="G520" s="2979">
        <v>12.72</v>
      </c>
      <c r="H520" s="2979">
        <v>69.740000000000009</v>
      </c>
      <c r="I520" s="2979" t="s">
        <v>3055</v>
      </c>
      <c r="J520" s="2974" t="s">
        <v>3144</v>
      </c>
      <c r="L520" s="2976"/>
      <c r="M520" s="2976"/>
      <c r="N520" s="2976"/>
      <c r="O520" s="2976"/>
      <c r="P520" s="2976"/>
      <c r="Q520" s="2976"/>
      <c r="R520" s="2976"/>
      <c r="S520" s="2976"/>
      <c r="T520" s="2976"/>
      <c r="U520" s="2976"/>
      <c r="V520" s="2976"/>
      <c r="W520" s="2976"/>
      <c r="X520" s="2976"/>
      <c r="Y520" s="2976"/>
      <c r="Z520" s="2976"/>
      <c r="AA520" s="2976"/>
      <c r="AB520" s="2976"/>
      <c r="AC520" s="2976"/>
      <c r="AD520" s="2976"/>
      <c r="AE520" s="2976"/>
      <c r="AF520" s="2976"/>
    </row>
    <row r="521" spans="1:32">
      <c r="A521" s="2972">
        <v>520</v>
      </c>
      <c r="B521" s="2974" t="s">
        <v>3200</v>
      </c>
      <c r="C521" s="2973" t="s">
        <v>3208</v>
      </c>
      <c r="D521" s="2972" t="s">
        <v>3183</v>
      </c>
      <c r="E521" s="2974">
        <v>201</v>
      </c>
      <c r="F521" s="2974">
        <v>55.78</v>
      </c>
      <c r="G521" s="2979">
        <v>12.45</v>
      </c>
      <c r="H521" s="2979">
        <v>68.23</v>
      </c>
      <c r="I521" s="2979" t="s">
        <v>3055</v>
      </c>
      <c r="J521" s="2974" t="s">
        <v>3143</v>
      </c>
      <c r="L521" s="2976"/>
      <c r="M521" s="2976"/>
      <c r="N521" s="2976"/>
      <c r="O521" s="2976"/>
      <c r="P521" s="2976"/>
      <c r="Q521" s="2976"/>
      <c r="R521" s="2976"/>
      <c r="S521" s="2976"/>
      <c r="T521" s="2976"/>
      <c r="U521" s="2976"/>
      <c r="V521" s="2976"/>
      <c r="W521" s="2976"/>
      <c r="X521" s="2976"/>
      <c r="Y521" s="2976"/>
      <c r="Z521" s="2976"/>
      <c r="AA521" s="2976"/>
      <c r="AB521" s="2976"/>
      <c r="AC521" s="2976"/>
      <c r="AD521" s="2976"/>
      <c r="AE521" s="2976"/>
      <c r="AF521" s="2976"/>
    </row>
    <row r="522" spans="1:32">
      <c r="A522" s="2972">
        <v>521</v>
      </c>
      <c r="B522" s="2974" t="s">
        <v>3200</v>
      </c>
      <c r="C522" s="2973" t="s">
        <v>3208</v>
      </c>
      <c r="D522" s="2972" t="s">
        <v>3183</v>
      </c>
      <c r="E522" s="2974">
        <v>202</v>
      </c>
      <c r="F522" s="2974">
        <v>56.82</v>
      </c>
      <c r="G522" s="2979">
        <v>12.68</v>
      </c>
      <c r="H522" s="2979">
        <v>69.5</v>
      </c>
      <c r="I522" s="2979" t="s">
        <v>3055</v>
      </c>
      <c r="J522" s="2974" t="s">
        <v>3144</v>
      </c>
      <c r="L522" s="2976"/>
      <c r="M522" s="2976"/>
      <c r="N522" s="2976"/>
      <c r="O522" s="2976"/>
      <c r="P522" s="2976"/>
      <c r="Q522" s="2976"/>
      <c r="R522" s="2976"/>
      <c r="S522" s="2976"/>
      <c r="T522" s="2976"/>
      <c r="U522" s="2976"/>
      <c r="V522" s="2976"/>
      <c r="W522" s="2976"/>
      <c r="X522" s="2976"/>
      <c r="Y522" s="2976"/>
      <c r="Z522" s="2976"/>
      <c r="AA522" s="2976"/>
      <c r="AB522" s="2976"/>
      <c r="AC522" s="2976"/>
      <c r="AD522" s="2976"/>
      <c r="AE522" s="2976"/>
      <c r="AF522" s="2976"/>
    </row>
    <row r="523" spans="1:32">
      <c r="A523" s="2972">
        <v>522</v>
      </c>
      <c r="B523" s="2974" t="s">
        <v>3200</v>
      </c>
      <c r="C523" s="2973" t="s">
        <v>3208</v>
      </c>
      <c r="D523" s="2972" t="s">
        <v>3183</v>
      </c>
      <c r="E523" s="2974">
        <v>203</v>
      </c>
      <c r="F523" s="2980">
        <v>56.86</v>
      </c>
      <c r="G523" s="2979">
        <v>12.69</v>
      </c>
      <c r="H523" s="2979">
        <v>69.55</v>
      </c>
      <c r="I523" s="2979" t="s">
        <v>3055</v>
      </c>
      <c r="J523" s="2974" t="s">
        <v>3144</v>
      </c>
      <c r="L523" s="2976"/>
      <c r="M523" s="2976"/>
      <c r="N523" s="2976"/>
      <c r="O523" s="2976"/>
      <c r="P523" s="2976"/>
      <c r="Q523" s="2976"/>
      <c r="R523" s="2976"/>
      <c r="S523" s="2976"/>
      <c r="T523" s="2976"/>
      <c r="U523" s="2976"/>
      <c r="V523" s="2976"/>
      <c r="W523" s="2976"/>
      <c r="X523" s="2976"/>
      <c r="Y523" s="2976"/>
      <c r="Z523" s="2976"/>
      <c r="AA523" s="2976"/>
      <c r="AB523" s="2976"/>
      <c r="AC523" s="2976"/>
      <c r="AD523" s="2976"/>
      <c r="AE523" s="2976"/>
      <c r="AF523" s="2976"/>
    </row>
    <row r="524" spans="1:32">
      <c r="A524" s="2972">
        <v>523</v>
      </c>
      <c r="B524" s="2974" t="s">
        <v>3200</v>
      </c>
      <c r="C524" s="2973" t="s">
        <v>3208</v>
      </c>
      <c r="D524" s="2972" t="s">
        <v>3183</v>
      </c>
      <c r="E524" s="2974">
        <v>205</v>
      </c>
      <c r="F524" s="2974">
        <v>56.86</v>
      </c>
      <c r="G524" s="2979">
        <v>12.69</v>
      </c>
      <c r="H524" s="2979">
        <v>69.55</v>
      </c>
      <c r="I524" s="2979" t="s">
        <v>3055</v>
      </c>
      <c r="J524" s="2974" t="s">
        <v>3144</v>
      </c>
      <c r="L524" s="2976"/>
      <c r="M524" s="2976"/>
      <c r="N524" s="2976"/>
      <c r="O524" s="2976"/>
      <c r="P524" s="2976"/>
      <c r="Q524" s="2976"/>
      <c r="R524" s="2976"/>
      <c r="S524" s="2976"/>
      <c r="T524" s="2976"/>
      <c r="U524" s="2976"/>
      <c r="V524" s="2976"/>
      <c r="W524" s="2976"/>
      <c r="X524" s="2976"/>
      <c r="Y524" s="2976"/>
      <c r="Z524" s="2976"/>
      <c r="AA524" s="2976"/>
      <c r="AB524" s="2976"/>
      <c r="AC524" s="2976"/>
      <c r="AD524" s="2976"/>
      <c r="AE524" s="2976"/>
      <c r="AF524" s="2976"/>
    </row>
    <row r="525" spans="1:32">
      <c r="A525" s="2972">
        <v>524</v>
      </c>
      <c r="B525" s="2974" t="s">
        <v>3200</v>
      </c>
      <c r="C525" s="2973" t="s">
        <v>3208</v>
      </c>
      <c r="D525" s="2972" t="s">
        <v>3183</v>
      </c>
      <c r="E525" s="2974">
        <v>206</v>
      </c>
      <c r="F525" s="2974">
        <v>57.02</v>
      </c>
      <c r="G525" s="2979">
        <v>12.72</v>
      </c>
      <c r="H525" s="2979">
        <v>69.740000000000009</v>
      </c>
      <c r="I525" s="2979" t="s">
        <v>3055</v>
      </c>
      <c r="J525" s="2974" t="s">
        <v>3144</v>
      </c>
      <c r="L525" s="2976"/>
      <c r="M525" s="2976"/>
      <c r="N525" s="2976"/>
      <c r="O525" s="2976"/>
      <c r="P525" s="2976"/>
      <c r="Q525" s="2976"/>
      <c r="R525" s="2976"/>
      <c r="S525" s="2976"/>
      <c r="T525" s="2976"/>
      <c r="U525" s="2976"/>
      <c r="V525" s="2976"/>
      <c r="W525" s="2976"/>
      <c r="X525" s="2976"/>
      <c r="Y525" s="2976"/>
      <c r="Z525" s="2976"/>
      <c r="AA525" s="2976"/>
      <c r="AB525" s="2976"/>
      <c r="AC525" s="2976"/>
      <c r="AD525" s="2976"/>
      <c r="AE525" s="2976"/>
      <c r="AF525" s="2976"/>
    </row>
    <row r="526" spans="1:32">
      <c r="A526" s="2972">
        <v>525</v>
      </c>
      <c r="B526" s="2974" t="s">
        <v>3200</v>
      </c>
      <c r="C526" s="2973" t="s">
        <v>3209</v>
      </c>
      <c r="D526" s="2972" t="s">
        <v>3183</v>
      </c>
      <c r="E526" s="2974">
        <v>301</v>
      </c>
      <c r="F526" s="2974">
        <v>55.64</v>
      </c>
      <c r="G526" s="2979">
        <v>12.41</v>
      </c>
      <c r="H526" s="2979">
        <v>68.05</v>
      </c>
      <c r="I526" s="2979" t="s">
        <v>3055</v>
      </c>
      <c r="J526" s="2974" t="s">
        <v>3143</v>
      </c>
      <c r="L526" s="2976"/>
      <c r="M526" s="2976"/>
      <c r="N526" s="2976"/>
      <c r="O526" s="2976"/>
      <c r="P526" s="2976"/>
      <c r="Q526" s="2976"/>
      <c r="R526" s="2976"/>
      <c r="S526" s="2976"/>
      <c r="T526" s="2976"/>
      <c r="U526" s="2976"/>
      <c r="V526" s="2976"/>
      <c r="W526" s="2976"/>
      <c r="X526" s="2976"/>
      <c r="Y526" s="2976"/>
      <c r="Z526" s="2976"/>
      <c r="AA526" s="2976"/>
      <c r="AB526" s="2976"/>
      <c r="AC526" s="2976"/>
      <c r="AD526" s="2976"/>
      <c r="AE526" s="2976"/>
      <c r="AF526" s="2976"/>
    </row>
    <row r="527" spans="1:32">
      <c r="A527" s="2972">
        <v>526</v>
      </c>
      <c r="B527" s="2974" t="s">
        <v>3200</v>
      </c>
      <c r="C527" s="2973" t="s">
        <v>3209</v>
      </c>
      <c r="D527" s="2972" t="s">
        <v>3183</v>
      </c>
      <c r="E527" s="2974">
        <v>302</v>
      </c>
      <c r="F527" s="2974">
        <v>56.82</v>
      </c>
      <c r="G527" s="2979">
        <v>12.68</v>
      </c>
      <c r="H527" s="2979">
        <v>69.5</v>
      </c>
      <c r="I527" s="2979" t="s">
        <v>3055</v>
      </c>
      <c r="J527" s="2974" t="s">
        <v>3144</v>
      </c>
      <c r="L527" s="2976"/>
      <c r="M527" s="2976"/>
      <c r="N527" s="2976"/>
      <c r="O527" s="2976"/>
      <c r="P527" s="2976"/>
      <c r="Q527" s="2976"/>
      <c r="R527" s="2976"/>
      <c r="S527" s="2976"/>
      <c r="T527" s="2976"/>
      <c r="U527" s="2976"/>
      <c r="V527" s="2976"/>
      <c r="W527" s="2976"/>
      <c r="X527" s="2976"/>
      <c r="Y527" s="2976"/>
      <c r="Z527" s="2976"/>
      <c r="AA527" s="2976"/>
      <c r="AB527" s="2976"/>
      <c r="AC527" s="2976"/>
      <c r="AD527" s="2976"/>
      <c r="AE527" s="2976"/>
      <c r="AF527" s="2976"/>
    </row>
    <row r="528" spans="1:32">
      <c r="A528" s="2972">
        <v>527</v>
      </c>
      <c r="B528" s="2974" t="s">
        <v>3200</v>
      </c>
      <c r="C528" s="2973" t="s">
        <v>3209</v>
      </c>
      <c r="D528" s="2972" t="s">
        <v>3183</v>
      </c>
      <c r="E528" s="2974">
        <v>303</v>
      </c>
      <c r="F528" s="2974">
        <v>56.86</v>
      </c>
      <c r="G528" s="2979">
        <v>12.69</v>
      </c>
      <c r="H528" s="2979">
        <v>69.55</v>
      </c>
      <c r="I528" s="2979" t="s">
        <v>3055</v>
      </c>
      <c r="J528" s="2974" t="s">
        <v>3144</v>
      </c>
      <c r="L528" s="2976"/>
      <c r="M528" s="2976"/>
      <c r="N528" s="2976"/>
      <c r="O528" s="2976"/>
      <c r="P528" s="2976"/>
      <c r="Q528" s="2976"/>
      <c r="R528" s="2976"/>
      <c r="S528" s="2976"/>
      <c r="T528" s="2976"/>
      <c r="U528" s="2976"/>
      <c r="V528" s="2976"/>
      <c r="W528" s="2976"/>
      <c r="X528" s="2976"/>
      <c r="Y528" s="2976"/>
      <c r="Z528" s="2976"/>
      <c r="AA528" s="2976"/>
      <c r="AB528" s="2976"/>
      <c r="AC528" s="2976"/>
      <c r="AD528" s="2976"/>
      <c r="AE528" s="2976"/>
      <c r="AF528" s="2976"/>
    </row>
    <row r="529" spans="1:32">
      <c r="A529" s="2972">
        <v>528</v>
      </c>
      <c r="B529" s="2974" t="s">
        <v>3200</v>
      </c>
      <c r="C529" s="2973" t="s">
        <v>3209</v>
      </c>
      <c r="D529" s="2972" t="s">
        <v>3183</v>
      </c>
      <c r="E529" s="2974">
        <v>305</v>
      </c>
      <c r="F529" s="2974">
        <v>56.86</v>
      </c>
      <c r="G529" s="2979">
        <v>12.69</v>
      </c>
      <c r="H529" s="2979">
        <v>69.55</v>
      </c>
      <c r="I529" s="2979" t="s">
        <v>3055</v>
      </c>
      <c r="J529" s="2974" t="s">
        <v>3144</v>
      </c>
      <c r="L529" s="2976"/>
      <c r="M529" s="2976"/>
      <c r="N529" s="2976"/>
      <c r="O529" s="2976"/>
      <c r="P529" s="2976"/>
      <c r="Q529" s="2976"/>
      <c r="R529" s="2976"/>
      <c r="S529" s="2976"/>
      <c r="T529" s="2976"/>
      <c r="U529" s="2976"/>
      <c r="V529" s="2976"/>
      <c r="W529" s="2976"/>
      <c r="X529" s="2976"/>
      <c r="Y529" s="2976"/>
      <c r="Z529" s="2976"/>
      <c r="AA529" s="2976"/>
      <c r="AB529" s="2976"/>
      <c r="AC529" s="2976"/>
      <c r="AD529" s="2976"/>
      <c r="AE529" s="2976"/>
      <c r="AF529" s="2976"/>
    </row>
    <row r="530" spans="1:32">
      <c r="A530" s="2972">
        <v>529</v>
      </c>
      <c r="B530" s="2974" t="s">
        <v>3200</v>
      </c>
      <c r="C530" s="2973" t="s">
        <v>3209</v>
      </c>
      <c r="D530" s="2972" t="s">
        <v>3183</v>
      </c>
      <c r="E530" s="2974">
        <v>306</v>
      </c>
      <c r="F530" s="2980">
        <v>57.02</v>
      </c>
      <c r="G530" s="2979">
        <v>12.72</v>
      </c>
      <c r="H530" s="2979">
        <v>69.740000000000009</v>
      </c>
      <c r="I530" s="2979" t="s">
        <v>3055</v>
      </c>
      <c r="J530" s="2974" t="s">
        <v>3144</v>
      </c>
      <c r="L530" s="2976"/>
      <c r="M530" s="2976"/>
      <c r="N530" s="2976"/>
      <c r="O530" s="2976"/>
      <c r="P530" s="2976"/>
      <c r="Q530" s="2976"/>
      <c r="R530" s="2976"/>
      <c r="S530" s="2976"/>
      <c r="T530" s="2976"/>
      <c r="U530" s="2976"/>
      <c r="V530" s="2976"/>
      <c r="W530" s="2976"/>
      <c r="X530" s="2976"/>
      <c r="Y530" s="2976"/>
      <c r="Z530" s="2976"/>
      <c r="AA530" s="2976"/>
      <c r="AB530" s="2976"/>
      <c r="AC530" s="2976"/>
      <c r="AD530" s="2976"/>
      <c r="AE530" s="2976"/>
      <c r="AF530" s="2976"/>
    </row>
    <row r="531" spans="1:32">
      <c r="A531" s="2972">
        <v>530</v>
      </c>
      <c r="B531" s="2974" t="s">
        <v>3200</v>
      </c>
      <c r="C531" s="2973" t="s">
        <v>3209</v>
      </c>
      <c r="D531" s="2972" t="s">
        <v>3183</v>
      </c>
      <c r="E531" s="2974">
        <v>307</v>
      </c>
      <c r="F531" s="2974">
        <v>55.9</v>
      </c>
      <c r="G531" s="2979">
        <v>12.47</v>
      </c>
      <c r="H531" s="2979">
        <v>68.37</v>
      </c>
      <c r="I531" s="2979" t="s">
        <v>3055</v>
      </c>
      <c r="J531" s="2974" t="s">
        <v>3143</v>
      </c>
      <c r="L531" s="2976"/>
      <c r="M531" s="2976"/>
      <c r="N531" s="2976"/>
      <c r="O531" s="2976"/>
      <c r="P531" s="2976"/>
      <c r="Q531" s="2976"/>
      <c r="R531" s="2976"/>
      <c r="S531" s="2976"/>
      <c r="T531" s="2976"/>
      <c r="U531" s="2976"/>
      <c r="V531" s="2976"/>
      <c r="W531" s="2976"/>
      <c r="X531" s="2976"/>
      <c r="Y531" s="2976"/>
      <c r="Z531" s="2976"/>
      <c r="AA531" s="2976"/>
      <c r="AB531" s="2976"/>
      <c r="AC531" s="2976"/>
      <c r="AD531" s="2976"/>
      <c r="AE531" s="2976"/>
      <c r="AF531" s="2976"/>
    </row>
    <row r="532" spans="1:32">
      <c r="A532" s="2972">
        <v>531</v>
      </c>
      <c r="B532" s="2974" t="s">
        <v>3200</v>
      </c>
      <c r="C532" s="2973" t="s">
        <v>3209</v>
      </c>
      <c r="D532" s="2972" t="s">
        <v>3183</v>
      </c>
      <c r="E532" s="2974">
        <v>308</v>
      </c>
      <c r="F532" s="2974">
        <v>52.68</v>
      </c>
      <c r="G532" s="2979">
        <v>11.75</v>
      </c>
      <c r="H532" s="2979">
        <v>64.430000000000007</v>
      </c>
      <c r="I532" s="2979" t="s">
        <v>3055</v>
      </c>
      <c r="J532" s="2974" t="s">
        <v>3143</v>
      </c>
      <c r="L532" s="2976"/>
      <c r="M532" s="2976"/>
      <c r="N532" s="2976"/>
      <c r="O532" s="2976"/>
      <c r="P532" s="2976"/>
      <c r="Q532" s="2976"/>
      <c r="R532" s="2976"/>
      <c r="S532" s="2976"/>
      <c r="T532" s="2976"/>
      <c r="U532" s="2976"/>
      <c r="V532" s="2976"/>
      <c r="W532" s="2976"/>
      <c r="X532" s="2976"/>
      <c r="Y532" s="2976"/>
      <c r="Z532" s="2976"/>
      <c r="AA532" s="2976"/>
      <c r="AB532" s="2976"/>
      <c r="AC532" s="2976"/>
      <c r="AD532" s="2976"/>
      <c r="AE532" s="2976"/>
      <c r="AF532" s="2976"/>
    </row>
    <row r="533" spans="1:32">
      <c r="A533" s="2972">
        <v>532</v>
      </c>
      <c r="B533" s="2974" t="s">
        <v>3200</v>
      </c>
      <c r="C533" s="2973" t="s">
        <v>3210</v>
      </c>
      <c r="D533" s="2972" t="s">
        <v>3183</v>
      </c>
      <c r="E533" s="2974" t="s">
        <v>3145</v>
      </c>
      <c r="F533" s="2974">
        <v>55.78</v>
      </c>
      <c r="G533" s="2979">
        <v>12.45</v>
      </c>
      <c r="H533" s="2979">
        <v>68.23</v>
      </c>
      <c r="I533" s="2979" t="s">
        <v>3055</v>
      </c>
      <c r="J533" s="2974" t="s">
        <v>3143</v>
      </c>
      <c r="L533" s="2976"/>
      <c r="M533" s="2976"/>
      <c r="N533" s="2976"/>
      <c r="O533" s="2976"/>
      <c r="P533" s="2976"/>
      <c r="Q533" s="2976"/>
      <c r="R533" s="2976"/>
      <c r="S533" s="2976"/>
      <c r="T533" s="2976"/>
      <c r="U533" s="2976"/>
      <c r="V533" s="2976"/>
      <c r="W533" s="2976"/>
      <c r="X533" s="2976"/>
      <c r="Y533" s="2976"/>
      <c r="Z533" s="2976"/>
      <c r="AA533" s="2976"/>
      <c r="AB533" s="2976"/>
      <c r="AC533" s="2976"/>
      <c r="AD533" s="2976"/>
      <c r="AE533" s="2976"/>
      <c r="AF533" s="2976"/>
    </row>
    <row r="534" spans="1:32">
      <c r="A534" s="2972">
        <v>533</v>
      </c>
      <c r="B534" s="2974" t="s">
        <v>3200</v>
      </c>
      <c r="C534" s="2973" t="s">
        <v>3210</v>
      </c>
      <c r="D534" s="2972" t="s">
        <v>3183</v>
      </c>
      <c r="E534" s="2974" t="s">
        <v>3146</v>
      </c>
      <c r="F534" s="2974">
        <v>56.82</v>
      </c>
      <c r="G534" s="2979">
        <v>12.68</v>
      </c>
      <c r="H534" s="2979">
        <v>69.5</v>
      </c>
      <c r="I534" s="2979" t="s">
        <v>3055</v>
      </c>
      <c r="J534" s="2974" t="s">
        <v>3144</v>
      </c>
      <c r="L534" s="2976"/>
      <c r="M534" s="2976"/>
      <c r="N534" s="2976"/>
      <c r="O534" s="2976"/>
      <c r="P534" s="2976"/>
      <c r="Q534" s="2976"/>
      <c r="R534" s="2976"/>
      <c r="S534" s="2976"/>
      <c r="T534" s="2976"/>
      <c r="U534" s="2976"/>
      <c r="V534" s="2976"/>
      <c r="W534" s="2976"/>
      <c r="X534" s="2976"/>
      <c r="Y534" s="2976"/>
      <c r="Z534" s="2976"/>
      <c r="AA534" s="2976"/>
      <c r="AB534" s="2976"/>
      <c r="AC534" s="2976"/>
      <c r="AD534" s="2976"/>
      <c r="AE534" s="2976"/>
      <c r="AF534" s="2976"/>
    </row>
    <row r="535" spans="1:32">
      <c r="A535" s="2972">
        <v>534</v>
      </c>
      <c r="B535" s="2974" t="s">
        <v>3200</v>
      </c>
      <c r="C535" s="2973" t="s">
        <v>3210</v>
      </c>
      <c r="D535" s="2972" t="s">
        <v>3183</v>
      </c>
      <c r="E535" s="2974" t="s">
        <v>3147</v>
      </c>
      <c r="F535" s="2974">
        <v>56.86</v>
      </c>
      <c r="G535" s="2979">
        <v>12.69</v>
      </c>
      <c r="H535" s="2979">
        <v>69.55</v>
      </c>
      <c r="I535" s="2979" t="s">
        <v>3055</v>
      </c>
      <c r="J535" s="2974" t="s">
        <v>3144</v>
      </c>
      <c r="L535" s="2976"/>
      <c r="M535" s="2976"/>
      <c r="N535" s="2976"/>
      <c r="O535" s="2976"/>
      <c r="P535" s="2976"/>
      <c r="Q535" s="2976"/>
      <c r="R535" s="2976"/>
      <c r="S535" s="2976"/>
      <c r="T535" s="2976"/>
      <c r="U535" s="2976"/>
      <c r="V535" s="2976"/>
      <c r="W535" s="2976"/>
      <c r="X535" s="2976"/>
      <c r="Y535" s="2976"/>
      <c r="Z535" s="2976"/>
      <c r="AA535" s="2976"/>
      <c r="AB535" s="2976"/>
      <c r="AC535" s="2976"/>
      <c r="AD535" s="2976"/>
      <c r="AE535" s="2976"/>
      <c r="AF535" s="2976"/>
    </row>
    <row r="536" spans="1:32">
      <c r="A536" s="2972">
        <v>535</v>
      </c>
      <c r="B536" s="2974" t="s">
        <v>3200</v>
      </c>
      <c r="C536" s="2973" t="s">
        <v>3210</v>
      </c>
      <c r="D536" s="2972" t="s">
        <v>3183</v>
      </c>
      <c r="E536" s="2974" t="s">
        <v>3148</v>
      </c>
      <c r="F536" s="2974">
        <v>56.86</v>
      </c>
      <c r="G536" s="2979">
        <v>12.69</v>
      </c>
      <c r="H536" s="2979">
        <v>69.55</v>
      </c>
      <c r="I536" s="2979" t="s">
        <v>3055</v>
      </c>
      <c r="J536" s="2974" t="s">
        <v>3144</v>
      </c>
      <c r="L536" s="2976"/>
      <c r="M536" s="2976"/>
      <c r="N536" s="2976"/>
      <c r="O536" s="2976"/>
      <c r="P536" s="2976"/>
      <c r="Q536" s="2976"/>
      <c r="R536" s="2976"/>
      <c r="S536" s="2976"/>
      <c r="T536" s="2976"/>
      <c r="U536" s="2976"/>
      <c r="V536" s="2976"/>
      <c r="W536" s="2976"/>
      <c r="X536" s="2976"/>
      <c r="Y536" s="2976"/>
      <c r="Z536" s="2976"/>
      <c r="AA536" s="2976"/>
      <c r="AB536" s="2976"/>
      <c r="AC536" s="2976"/>
      <c r="AD536" s="2976"/>
      <c r="AE536" s="2976"/>
      <c r="AF536" s="2976"/>
    </row>
    <row r="537" spans="1:32">
      <c r="A537" s="2972">
        <v>536</v>
      </c>
      <c r="B537" s="2974" t="s">
        <v>3200</v>
      </c>
      <c r="C537" s="2973" t="s">
        <v>3210</v>
      </c>
      <c r="D537" s="2972" t="s">
        <v>3183</v>
      </c>
      <c r="E537" s="2974" t="s">
        <v>3149</v>
      </c>
      <c r="F537" s="2980">
        <v>57.02</v>
      </c>
      <c r="G537" s="2979">
        <v>12.72</v>
      </c>
      <c r="H537" s="2979">
        <v>69.740000000000009</v>
      </c>
      <c r="I537" s="2979" t="s">
        <v>3055</v>
      </c>
      <c r="J537" s="2974" t="s">
        <v>3144</v>
      </c>
      <c r="L537" s="2976"/>
      <c r="M537" s="2976"/>
      <c r="N537" s="2976"/>
      <c r="O537" s="2976"/>
      <c r="P537" s="2976"/>
      <c r="Q537" s="2976"/>
      <c r="R537" s="2976"/>
      <c r="S537" s="2976"/>
      <c r="T537" s="2976"/>
      <c r="U537" s="2976"/>
      <c r="V537" s="2976"/>
      <c r="W537" s="2976"/>
      <c r="X537" s="2976"/>
      <c r="Y537" s="2976"/>
      <c r="Z537" s="2976"/>
      <c r="AA537" s="2976"/>
      <c r="AB537" s="2976"/>
      <c r="AC537" s="2976"/>
      <c r="AD537" s="2976"/>
      <c r="AE537" s="2976"/>
      <c r="AF537" s="2976"/>
    </row>
    <row r="538" spans="1:32">
      <c r="A538" s="2972">
        <v>537</v>
      </c>
      <c r="B538" s="2974" t="s">
        <v>3200</v>
      </c>
      <c r="C538" s="2973" t="s">
        <v>3210</v>
      </c>
      <c r="D538" s="2972" t="s">
        <v>3183</v>
      </c>
      <c r="E538" s="2974" t="s">
        <v>3150</v>
      </c>
      <c r="F538" s="2974">
        <v>55.9</v>
      </c>
      <c r="G538" s="2979">
        <v>12.47</v>
      </c>
      <c r="H538" s="2979">
        <v>68.37</v>
      </c>
      <c r="I538" s="2979" t="s">
        <v>3055</v>
      </c>
      <c r="J538" s="2974" t="s">
        <v>3143</v>
      </c>
      <c r="L538" s="2976"/>
      <c r="M538" s="2976"/>
      <c r="N538" s="2976"/>
      <c r="O538" s="2976"/>
      <c r="P538" s="2976"/>
      <c r="Q538" s="2976"/>
      <c r="R538" s="2976"/>
      <c r="S538" s="2976"/>
      <c r="T538" s="2976"/>
      <c r="U538" s="2976"/>
      <c r="V538" s="2976"/>
      <c r="W538" s="2976"/>
      <c r="X538" s="2976"/>
      <c r="Y538" s="2976"/>
      <c r="Z538" s="2976"/>
      <c r="AA538" s="2976"/>
      <c r="AB538" s="2976"/>
      <c r="AC538" s="2976"/>
      <c r="AD538" s="2976"/>
      <c r="AE538" s="2976"/>
      <c r="AF538" s="2976"/>
    </row>
    <row r="539" spans="1:32">
      <c r="A539" s="2972">
        <v>538</v>
      </c>
      <c r="B539" s="2974" t="s">
        <v>3200</v>
      </c>
      <c r="C539" s="2973" t="s">
        <v>3210</v>
      </c>
      <c r="D539" s="2972" t="s">
        <v>3183</v>
      </c>
      <c r="E539" s="2974" t="s">
        <v>3151</v>
      </c>
      <c r="F539" s="2974">
        <v>52.68</v>
      </c>
      <c r="G539" s="2979">
        <v>11.75</v>
      </c>
      <c r="H539" s="2979">
        <v>64.430000000000007</v>
      </c>
      <c r="I539" s="2979" t="s">
        <v>3055</v>
      </c>
      <c r="J539" s="2974" t="s">
        <v>3143</v>
      </c>
      <c r="L539" s="2976"/>
      <c r="M539" s="2976"/>
      <c r="N539" s="2976"/>
      <c r="O539" s="2976"/>
      <c r="P539" s="2976"/>
      <c r="Q539" s="2976"/>
      <c r="R539" s="2976"/>
      <c r="S539" s="2976"/>
      <c r="T539" s="2976"/>
      <c r="U539" s="2976"/>
      <c r="V539" s="2976"/>
      <c r="W539" s="2976"/>
      <c r="X539" s="2976"/>
      <c r="Y539" s="2976"/>
      <c r="Z539" s="2976"/>
      <c r="AA539" s="2976"/>
      <c r="AB539" s="2976"/>
      <c r="AC539" s="2976"/>
      <c r="AD539" s="2976"/>
      <c r="AE539" s="2976"/>
      <c r="AF539" s="2976"/>
    </row>
    <row r="540" spans="1:32">
      <c r="A540" s="2972">
        <v>539</v>
      </c>
      <c r="B540" s="2974" t="s">
        <v>3200</v>
      </c>
      <c r="C540" s="2973" t="s">
        <v>3211</v>
      </c>
      <c r="D540" s="2972" t="s">
        <v>3183</v>
      </c>
      <c r="E540" s="2974">
        <v>501</v>
      </c>
      <c r="F540" s="2974">
        <v>55.78</v>
      </c>
      <c r="G540" s="2979">
        <v>12.45</v>
      </c>
      <c r="H540" s="2979">
        <v>68.23</v>
      </c>
      <c r="I540" s="2979" t="s">
        <v>3055</v>
      </c>
      <c r="J540" s="2974" t="s">
        <v>3143</v>
      </c>
      <c r="L540" s="2976"/>
      <c r="M540" s="2976"/>
      <c r="N540" s="2976"/>
      <c r="O540" s="2976"/>
      <c r="P540" s="2976"/>
      <c r="Q540" s="2976"/>
      <c r="R540" s="2976"/>
      <c r="S540" s="2976"/>
      <c r="T540" s="2976"/>
      <c r="U540" s="2976"/>
      <c r="V540" s="2976"/>
      <c r="W540" s="2976"/>
      <c r="X540" s="2976"/>
      <c r="Y540" s="2976"/>
      <c r="Z540" s="2976"/>
      <c r="AA540" s="2976"/>
      <c r="AB540" s="2976"/>
      <c r="AC540" s="2976"/>
      <c r="AD540" s="2976"/>
      <c r="AE540" s="2976"/>
      <c r="AF540" s="2976"/>
    </row>
    <row r="541" spans="1:32">
      <c r="A541" s="2972">
        <v>540</v>
      </c>
      <c r="B541" s="2974" t="s">
        <v>3200</v>
      </c>
      <c r="C541" s="2973" t="s">
        <v>3211</v>
      </c>
      <c r="D541" s="2972" t="s">
        <v>3183</v>
      </c>
      <c r="E541" s="2974">
        <v>503</v>
      </c>
      <c r="F541" s="2974">
        <v>56.86</v>
      </c>
      <c r="G541" s="2979">
        <v>12.69</v>
      </c>
      <c r="H541" s="2979">
        <v>69.55</v>
      </c>
      <c r="I541" s="2979" t="s">
        <v>3055</v>
      </c>
      <c r="J541" s="2974" t="s">
        <v>3144</v>
      </c>
      <c r="L541" s="2976"/>
      <c r="M541" s="2976"/>
      <c r="N541" s="2976"/>
      <c r="O541" s="2976"/>
      <c r="P541" s="2976"/>
      <c r="Q541" s="2976"/>
      <c r="R541" s="2976"/>
      <c r="S541" s="2976"/>
      <c r="T541" s="2976"/>
      <c r="U541" s="2976"/>
      <c r="V541" s="2976"/>
      <c r="W541" s="2976"/>
      <c r="X541" s="2976"/>
      <c r="Y541" s="2976"/>
      <c r="Z541" s="2976"/>
      <c r="AA541" s="2976"/>
      <c r="AB541" s="2976"/>
      <c r="AC541" s="2976"/>
      <c r="AD541" s="2976"/>
      <c r="AE541" s="2976"/>
      <c r="AF541" s="2976"/>
    </row>
    <row r="542" spans="1:32">
      <c r="A542" s="2972">
        <v>541</v>
      </c>
      <c r="B542" s="2974" t="s">
        <v>3200</v>
      </c>
      <c r="C542" s="2973" t="s">
        <v>3211</v>
      </c>
      <c r="D542" s="2972" t="s">
        <v>3183</v>
      </c>
      <c r="E542" s="2974">
        <v>505</v>
      </c>
      <c r="F542" s="2974">
        <v>56.86</v>
      </c>
      <c r="G542" s="2979">
        <v>12.69</v>
      </c>
      <c r="H542" s="2979">
        <v>69.55</v>
      </c>
      <c r="I542" s="2979" t="s">
        <v>3055</v>
      </c>
      <c r="J542" s="2974" t="s">
        <v>3144</v>
      </c>
      <c r="L542" s="2976"/>
      <c r="M542" s="2976"/>
      <c r="N542" s="2976"/>
      <c r="O542" s="2976"/>
      <c r="P542" s="2976"/>
      <c r="Q542" s="2976"/>
      <c r="R542" s="2976"/>
      <c r="S542" s="2976"/>
      <c r="T542" s="2976"/>
      <c r="U542" s="2976"/>
      <c r="V542" s="2976"/>
      <c r="W542" s="2976"/>
      <c r="X542" s="2976"/>
      <c r="Y542" s="2976"/>
      <c r="Z542" s="2976"/>
      <c r="AA542" s="2976"/>
      <c r="AB542" s="2976"/>
      <c r="AC542" s="2976"/>
      <c r="AD542" s="2976"/>
      <c r="AE542" s="2976"/>
      <c r="AF542" s="2976"/>
    </row>
    <row r="543" spans="1:32">
      <c r="A543" s="2972">
        <v>542</v>
      </c>
      <c r="B543" s="2974" t="s">
        <v>3200</v>
      </c>
      <c r="C543" s="2973" t="s">
        <v>3211</v>
      </c>
      <c r="D543" s="2972" t="s">
        <v>3183</v>
      </c>
      <c r="E543" s="2974">
        <v>506</v>
      </c>
      <c r="F543" s="2980">
        <v>57.02</v>
      </c>
      <c r="G543" s="2979">
        <v>12.72</v>
      </c>
      <c r="H543" s="2979">
        <v>69.740000000000009</v>
      </c>
      <c r="I543" s="2979" t="s">
        <v>3055</v>
      </c>
      <c r="J543" s="2974" t="s">
        <v>3144</v>
      </c>
      <c r="L543" s="2976"/>
      <c r="M543" s="2976"/>
      <c r="N543" s="2976"/>
      <c r="O543" s="2976"/>
      <c r="P543" s="2976"/>
      <c r="Q543" s="2976"/>
      <c r="R543" s="2976"/>
      <c r="S543" s="2976"/>
      <c r="T543" s="2976"/>
      <c r="U543" s="2976"/>
      <c r="V543" s="2976"/>
      <c r="W543" s="2976"/>
      <c r="X543" s="2976"/>
      <c r="Y543" s="2976"/>
      <c r="Z543" s="2976"/>
      <c r="AA543" s="2976"/>
      <c r="AB543" s="2976"/>
      <c r="AC543" s="2976"/>
      <c r="AD543" s="2976"/>
      <c r="AE543" s="2976"/>
      <c r="AF543" s="2976"/>
    </row>
    <row r="544" spans="1:32">
      <c r="A544" s="2972">
        <v>543</v>
      </c>
      <c r="B544" s="2974" t="s">
        <v>3200</v>
      </c>
      <c r="C544" s="2973" t="s">
        <v>3211</v>
      </c>
      <c r="D544" s="2972" t="s">
        <v>3183</v>
      </c>
      <c r="E544" s="2974">
        <v>507</v>
      </c>
      <c r="F544" s="2974">
        <v>55.9</v>
      </c>
      <c r="G544" s="2979">
        <v>12.47</v>
      </c>
      <c r="H544" s="2979">
        <v>68.37</v>
      </c>
      <c r="I544" s="2979" t="s">
        <v>3055</v>
      </c>
      <c r="J544" s="2974" t="s">
        <v>3143</v>
      </c>
      <c r="L544" s="2976"/>
      <c r="M544" s="2976"/>
      <c r="N544" s="2976"/>
      <c r="O544" s="2976"/>
      <c r="P544" s="2976"/>
      <c r="Q544" s="2976"/>
      <c r="R544" s="2976"/>
      <c r="S544" s="2976"/>
      <c r="T544" s="2976"/>
      <c r="U544" s="2976"/>
      <c r="V544" s="2976"/>
      <c r="W544" s="2976"/>
      <c r="X544" s="2976"/>
      <c r="Y544" s="2976"/>
      <c r="Z544" s="2976"/>
      <c r="AA544" s="2976"/>
      <c r="AB544" s="2976"/>
      <c r="AC544" s="2976"/>
      <c r="AD544" s="2976"/>
      <c r="AE544" s="2976"/>
      <c r="AF544" s="2976"/>
    </row>
    <row r="545" spans="1:32">
      <c r="A545" s="2972">
        <v>544</v>
      </c>
      <c r="B545" s="2974" t="s">
        <v>3200</v>
      </c>
      <c r="C545" s="2973" t="s">
        <v>3211</v>
      </c>
      <c r="D545" s="2972" t="s">
        <v>3183</v>
      </c>
      <c r="E545" s="2974">
        <v>508</v>
      </c>
      <c r="F545" s="2974">
        <v>52.68</v>
      </c>
      <c r="G545" s="2979">
        <v>11.75</v>
      </c>
      <c r="H545" s="2979">
        <v>64.430000000000007</v>
      </c>
      <c r="I545" s="2979" t="s">
        <v>3055</v>
      </c>
      <c r="J545" s="2974" t="s">
        <v>3143</v>
      </c>
      <c r="L545" s="2976"/>
      <c r="M545" s="2976"/>
      <c r="N545" s="2976"/>
      <c r="O545" s="2976"/>
      <c r="P545" s="2976"/>
      <c r="Q545" s="2976"/>
      <c r="R545" s="2976"/>
      <c r="S545" s="2976"/>
      <c r="T545" s="2976"/>
      <c r="U545" s="2976"/>
      <c r="V545" s="2976"/>
      <c r="W545" s="2976"/>
      <c r="X545" s="2976"/>
      <c r="Y545" s="2976"/>
      <c r="Z545" s="2976"/>
      <c r="AA545" s="2976"/>
      <c r="AB545" s="2976"/>
      <c r="AC545" s="2976"/>
      <c r="AD545" s="2976"/>
      <c r="AE545" s="2976"/>
      <c r="AF545" s="2976"/>
    </row>
    <row r="546" spans="1:32">
      <c r="A546" s="2972">
        <v>545</v>
      </c>
      <c r="B546" s="2974" t="s">
        <v>3200</v>
      </c>
      <c r="C546" s="2973" t="s">
        <v>3212</v>
      </c>
      <c r="D546" s="2972" t="s">
        <v>3183</v>
      </c>
      <c r="E546" s="2974">
        <v>601</v>
      </c>
      <c r="F546" s="2974">
        <v>55.78</v>
      </c>
      <c r="G546" s="2979">
        <v>12.45</v>
      </c>
      <c r="H546" s="2979">
        <v>68.23</v>
      </c>
      <c r="I546" s="2979" t="s">
        <v>3055</v>
      </c>
      <c r="J546" s="2974" t="s">
        <v>3143</v>
      </c>
      <c r="L546" s="2976"/>
      <c r="M546" s="2976"/>
      <c r="N546" s="2976"/>
      <c r="O546" s="2976"/>
      <c r="P546" s="2976"/>
      <c r="Q546" s="2976"/>
      <c r="R546" s="2976"/>
      <c r="S546" s="2976"/>
      <c r="T546" s="2976"/>
      <c r="U546" s="2976"/>
      <c r="V546" s="2976"/>
      <c r="W546" s="2976"/>
      <c r="X546" s="2976"/>
      <c r="Y546" s="2976"/>
      <c r="Z546" s="2976"/>
      <c r="AA546" s="2976"/>
      <c r="AB546" s="2976"/>
      <c r="AC546" s="2976"/>
      <c r="AD546" s="2976"/>
      <c r="AE546" s="2976"/>
      <c r="AF546" s="2976"/>
    </row>
    <row r="547" spans="1:32">
      <c r="A547" s="2972">
        <v>546</v>
      </c>
      <c r="B547" s="2974" t="s">
        <v>3200</v>
      </c>
      <c r="C547" s="2973" t="s">
        <v>3212</v>
      </c>
      <c r="D547" s="2972" t="s">
        <v>3183</v>
      </c>
      <c r="E547" s="2974">
        <v>602</v>
      </c>
      <c r="F547" s="2974">
        <v>56.82</v>
      </c>
      <c r="G547" s="2979">
        <v>12.68</v>
      </c>
      <c r="H547" s="2979">
        <v>69.5</v>
      </c>
      <c r="I547" s="2979" t="s">
        <v>3055</v>
      </c>
      <c r="J547" s="2974" t="s">
        <v>3144</v>
      </c>
      <c r="L547" s="2976"/>
      <c r="M547" s="2976"/>
      <c r="N547" s="2976"/>
      <c r="O547" s="2976"/>
      <c r="P547" s="2976"/>
      <c r="Q547" s="2976"/>
      <c r="R547" s="2976"/>
      <c r="S547" s="2976"/>
      <c r="T547" s="2976"/>
      <c r="U547" s="2976"/>
      <c r="V547" s="2976"/>
      <c r="W547" s="2976"/>
      <c r="X547" s="2976"/>
      <c r="Y547" s="2976"/>
      <c r="Z547" s="2976"/>
      <c r="AA547" s="2976"/>
      <c r="AB547" s="2976"/>
      <c r="AC547" s="2976"/>
      <c r="AD547" s="2976"/>
      <c r="AE547" s="2976"/>
      <c r="AF547" s="2976"/>
    </row>
    <row r="548" spans="1:32">
      <c r="A548" s="2972">
        <v>547</v>
      </c>
      <c r="B548" s="2974" t="s">
        <v>3200</v>
      </c>
      <c r="C548" s="2973" t="s">
        <v>3212</v>
      </c>
      <c r="D548" s="2972" t="s">
        <v>3183</v>
      </c>
      <c r="E548" s="2974">
        <v>603</v>
      </c>
      <c r="F548" s="2974">
        <v>56.86</v>
      </c>
      <c r="G548" s="2979">
        <v>12.69</v>
      </c>
      <c r="H548" s="2979">
        <v>69.55</v>
      </c>
      <c r="I548" s="2979" t="s">
        <v>3055</v>
      </c>
      <c r="J548" s="2974" t="s">
        <v>3144</v>
      </c>
      <c r="L548" s="2976"/>
      <c r="M548" s="2976"/>
      <c r="N548" s="2976"/>
      <c r="O548" s="2976"/>
      <c r="P548" s="2976"/>
      <c r="Q548" s="2976"/>
      <c r="R548" s="2976"/>
      <c r="S548" s="2976"/>
      <c r="T548" s="2976"/>
      <c r="U548" s="2976"/>
      <c r="V548" s="2976"/>
      <c r="W548" s="2976"/>
      <c r="X548" s="2976"/>
      <c r="Y548" s="2976"/>
      <c r="Z548" s="2976"/>
      <c r="AA548" s="2976"/>
      <c r="AB548" s="2976"/>
      <c r="AC548" s="2976"/>
      <c r="AD548" s="2976"/>
      <c r="AE548" s="2976"/>
      <c r="AF548" s="2976"/>
    </row>
    <row r="549" spans="1:32">
      <c r="A549" s="2972">
        <v>548</v>
      </c>
      <c r="B549" s="2974" t="s">
        <v>3200</v>
      </c>
      <c r="C549" s="2973" t="s">
        <v>3212</v>
      </c>
      <c r="D549" s="2972" t="s">
        <v>3183</v>
      </c>
      <c r="E549" s="2974">
        <v>605</v>
      </c>
      <c r="F549" s="2974">
        <v>56.86</v>
      </c>
      <c r="G549" s="2979">
        <v>12.69</v>
      </c>
      <c r="H549" s="2979">
        <v>69.55</v>
      </c>
      <c r="I549" s="2979" t="s">
        <v>3055</v>
      </c>
      <c r="J549" s="2974" t="s">
        <v>3144</v>
      </c>
      <c r="L549" s="2976"/>
      <c r="M549" s="2976"/>
      <c r="N549" s="2976"/>
      <c r="O549" s="2976"/>
      <c r="P549" s="2976"/>
      <c r="Q549" s="2976"/>
      <c r="R549" s="2976"/>
      <c r="S549" s="2976"/>
      <c r="T549" s="2976"/>
      <c r="U549" s="2976"/>
      <c r="V549" s="2976"/>
      <c r="W549" s="2976"/>
      <c r="X549" s="2976"/>
      <c r="Y549" s="2976"/>
      <c r="Z549" s="2976"/>
      <c r="AA549" s="2976"/>
      <c r="AB549" s="2976"/>
      <c r="AC549" s="2976"/>
      <c r="AD549" s="2976"/>
      <c r="AE549" s="2976"/>
      <c r="AF549" s="2976"/>
    </row>
    <row r="550" spans="1:32">
      <c r="A550" s="2972">
        <v>549</v>
      </c>
      <c r="B550" s="2974" t="s">
        <v>3200</v>
      </c>
      <c r="C550" s="2973" t="s">
        <v>3212</v>
      </c>
      <c r="D550" s="2972" t="s">
        <v>3183</v>
      </c>
      <c r="E550" s="2974">
        <v>606</v>
      </c>
      <c r="F550" s="2980">
        <v>57.02</v>
      </c>
      <c r="G550" s="2979">
        <v>12.72</v>
      </c>
      <c r="H550" s="2979">
        <v>69.740000000000009</v>
      </c>
      <c r="I550" s="2979" t="s">
        <v>3055</v>
      </c>
      <c r="J550" s="2974" t="s">
        <v>3144</v>
      </c>
      <c r="L550" s="2976"/>
      <c r="M550" s="2976"/>
      <c r="N550" s="2976"/>
      <c r="O550" s="2976"/>
      <c r="P550" s="2976"/>
      <c r="Q550" s="2976"/>
      <c r="R550" s="2976"/>
      <c r="S550" s="2976"/>
      <c r="T550" s="2976"/>
      <c r="U550" s="2976"/>
      <c r="V550" s="2976"/>
      <c r="W550" s="2976"/>
      <c r="X550" s="2976"/>
      <c r="Y550" s="2976"/>
      <c r="Z550" s="2976"/>
      <c r="AA550" s="2976"/>
      <c r="AB550" s="2976"/>
      <c r="AC550" s="2976"/>
      <c r="AD550" s="2976"/>
      <c r="AE550" s="2976"/>
      <c r="AF550" s="2976"/>
    </row>
    <row r="551" spans="1:32">
      <c r="A551" s="2972">
        <v>550</v>
      </c>
      <c r="B551" s="2974" t="s">
        <v>3200</v>
      </c>
      <c r="C551" s="2973" t="s">
        <v>3212</v>
      </c>
      <c r="D551" s="2972" t="s">
        <v>3183</v>
      </c>
      <c r="E551" s="2974">
        <v>607</v>
      </c>
      <c r="F551" s="2974">
        <v>55.9</v>
      </c>
      <c r="G551" s="2979">
        <v>12.47</v>
      </c>
      <c r="H551" s="2979">
        <v>68.37</v>
      </c>
      <c r="I551" s="2979" t="s">
        <v>3055</v>
      </c>
      <c r="J551" s="2974" t="s">
        <v>3143</v>
      </c>
      <c r="L551" s="2976"/>
      <c r="M551" s="2976"/>
      <c r="N551" s="2976"/>
      <c r="O551" s="2976"/>
      <c r="P551" s="2976"/>
      <c r="Q551" s="2976"/>
      <c r="R551" s="2976"/>
      <c r="S551" s="2976"/>
      <c r="T551" s="2976"/>
      <c r="U551" s="2976"/>
      <c r="V551" s="2976"/>
      <c r="W551" s="2976"/>
      <c r="X551" s="2976"/>
      <c r="Y551" s="2976"/>
      <c r="Z551" s="2976"/>
      <c r="AA551" s="2976"/>
      <c r="AB551" s="2976"/>
      <c r="AC551" s="2976"/>
      <c r="AD551" s="2976"/>
      <c r="AE551" s="2976"/>
      <c r="AF551" s="2976"/>
    </row>
    <row r="552" spans="1:32">
      <c r="A552" s="2972">
        <v>551</v>
      </c>
      <c r="B552" s="2974" t="s">
        <v>3200</v>
      </c>
      <c r="C552" s="2973" t="s">
        <v>3212</v>
      </c>
      <c r="D552" s="2972" t="s">
        <v>3183</v>
      </c>
      <c r="E552" s="2974">
        <v>608</v>
      </c>
      <c r="F552" s="2974">
        <v>52.68</v>
      </c>
      <c r="G552" s="2979">
        <v>11.75</v>
      </c>
      <c r="H552" s="2979">
        <v>64.430000000000007</v>
      </c>
      <c r="I552" s="2979" t="s">
        <v>3055</v>
      </c>
      <c r="J552" s="2974" t="s">
        <v>3143</v>
      </c>
      <c r="L552" s="2976"/>
      <c r="M552" s="2976"/>
      <c r="N552" s="2976"/>
      <c r="O552" s="2976"/>
      <c r="P552" s="2976"/>
      <c r="Q552" s="2976"/>
      <c r="R552" s="2976"/>
      <c r="S552" s="2976"/>
      <c r="T552" s="2976"/>
      <c r="U552" s="2976"/>
      <c r="V552" s="2976"/>
      <c r="W552" s="2976"/>
      <c r="X552" s="2976"/>
      <c r="Y552" s="2976"/>
      <c r="Z552" s="2976"/>
      <c r="AA552" s="2976"/>
      <c r="AB552" s="2976"/>
      <c r="AC552" s="2976"/>
      <c r="AD552" s="2976"/>
      <c r="AE552" s="2976"/>
      <c r="AF552" s="2976"/>
    </row>
    <row r="553" spans="1:32">
      <c r="A553" s="2972">
        <v>552</v>
      </c>
      <c r="B553" s="2974" t="s">
        <v>3234</v>
      </c>
      <c r="C553" s="2982" t="s">
        <v>3153</v>
      </c>
      <c r="D553" s="2972" t="s">
        <v>3183</v>
      </c>
      <c r="E553" s="2974">
        <v>301</v>
      </c>
      <c r="F553" s="2974">
        <v>54.01</v>
      </c>
      <c r="G553" s="2974">
        <v>14.91</v>
      </c>
      <c r="H553" s="2974">
        <v>68.92</v>
      </c>
      <c r="I553" s="2974" t="s">
        <v>3055</v>
      </c>
      <c r="J553" s="2974" t="s">
        <v>3154</v>
      </c>
      <c r="L553" s="2976"/>
      <c r="M553" s="2976"/>
      <c r="N553" s="2976"/>
      <c r="O553" s="2976"/>
      <c r="P553" s="2976"/>
      <c r="Q553" s="2976"/>
      <c r="R553" s="2976"/>
      <c r="S553" s="2976"/>
      <c r="T553" s="2976"/>
      <c r="U553" s="2976"/>
      <c r="V553" s="2976"/>
      <c r="W553" s="2976"/>
      <c r="X553" s="2976"/>
      <c r="Y553" s="2976"/>
      <c r="Z553" s="2976"/>
      <c r="AA553" s="2976"/>
      <c r="AB553" s="2976"/>
      <c r="AC553" s="2976"/>
      <c r="AD553" s="2976"/>
      <c r="AE553" s="2976"/>
      <c r="AF553" s="2976"/>
    </row>
    <row r="554" spans="1:32">
      <c r="A554" s="2972">
        <v>553</v>
      </c>
      <c r="B554" s="2974" t="s">
        <v>3234</v>
      </c>
      <c r="C554" s="2982" t="s">
        <v>3153</v>
      </c>
      <c r="D554" s="2972" t="s">
        <v>3183</v>
      </c>
      <c r="E554" s="2974">
        <v>302</v>
      </c>
      <c r="F554" s="2974">
        <v>56.75</v>
      </c>
      <c r="G554" s="2974">
        <v>15.66</v>
      </c>
      <c r="H554" s="2974">
        <v>72.41</v>
      </c>
      <c r="I554" s="2974" t="s">
        <v>3055</v>
      </c>
      <c r="J554" s="2974" t="s">
        <v>3155</v>
      </c>
      <c r="L554" s="2976"/>
      <c r="M554" s="2976"/>
      <c r="N554" s="2976"/>
      <c r="O554" s="2976"/>
      <c r="P554" s="2976"/>
      <c r="Q554" s="2976"/>
      <c r="R554" s="2976"/>
      <c r="S554" s="2976"/>
      <c r="T554" s="2976"/>
      <c r="U554" s="2976"/>
      <c r="V554" s="2976"/>
      <c r="W554" s="2976"/>
      <c r="X554" s="2976"/>
      <c r="Y554" s="2976"/>
      <c r="Z554" s="2976"/>
      <c r="AA554" s="2976"/>
      <c r="AB554" s="2976"/>
      <c r="AC554" s="2976"/>
      <c r="AD554" s="2976"/>
      <c r="AE554" s="2976"/>
      <c r="AF554" s="2976"/>
    </row>
    <row r="555" spans="1:32">
      <c r="A555" s="2972">
        <v>554</v>
      </c>
      <c r="B555" s="2974" t="s">
        <v>3234</v>
      </c>
      <c r="C555" s="2982" t="s">
        <v>3153</v>
      </c>
      <c r="D555" s="2972" t="s">
        <v>3183</v>
      </c>
      <c r="E555" s="2974">
        <v>303</v>
      </c>
      <c r="F555" s="2974">
        <v>56.78</v>
      </c>
      <c r="G555" s="2974">
        <v>15.67</v>
      </c>
      <c r="H555" s="2974">
        <v>72.45</v>
      </c>
      <c r="I555" s="2974" t="s">
        <v>3055</v>
      </c>
      <c r="J555" s="2974" t="s">
        <v>3155</v>
      </c>
      <c r="L555" s="2976"/>
      <c r="M555" s="2976"/>
      <c r="N555" s="2976"/>
      <c r="O555" s="2976"/>
      <c r="P555" s="2976"/>
      <c r="Q555" s="2976"/>
      <c r="R555" s="2976"/>
      <c r="S555" s="2976"/>
      <c r="T555" s="2976"/>
      <c r="U555" s="2976"/>
      <c r="V555" s="2976"/>
      <c r="W555" s="2976"/>
      <c r="X555" s="2976"/>
      <c r="Y555" s="2976"/>
      <c r="Z555" s="2976"/>
      <c r="AA555" s="2976"/>
      <c r="AB555" s="2976"/>
      <c r="AC555" s="2976"/>
      <c r="AD555" s="2976"/>
      <c r="AE555" s="2976"/>
      <c r="AF555" s="2976"/>
    </row>
    <row r="556" spans="1:32">
      <c r="A556" s="2972">
        <v>555</v>
      </c>
      <c r="B556" s="2974" t="s">
        <v>3234</v>
      </c>
      <c r="C556" s="2982" t="s">
        <v>3153</v>
      </c>
      <c r="D556" s="2972" t="s">
        <v>3183</v>
      </c>
      <c r="E556" s="2974">
        <v>305</v>
      </c>
      <c r="F556" s="2974">
        <v>56.78</v>
      </c>
      <c r="G556" s="2974">
        <v>15.67</v>
      </c>
      <c r="H556" s="2974">
        <v>72.45</v>
      </c>
      <c r="I556" s="2974" t="s">
        <v>3055</v>
      </c>
      <c r="J556" s="2974" t="s">
        <v>3155</v>
      </c>
      <c r="L556" s="2976"/>
      <c r="M556" s="2976"/>
      <c r="N556" s="2976"/>
      <c r="O556" s="2976"/>
      <c r="P556" s="2976"/>
      <c r="Q556" s="2976"/>
      <c r="R556" s="2976"/>
      <c r="S556" s="2976"/>
      <c r="T556" s="2976"/>
      <c r="U556" s="2976"/>
      <c r="V556" s="2976"/>
      <c r="W556" s="2976"/>
      <c r="X556" s="2976"/>
      <c r="Y556" s="2976"/>
      <c r="Z556" s="2976"/>
      <c r="AA556" s="2976"/>
      <c r="AB556" s="2976"/>
      <c r="AC556" s="2976"/>
      <c r="AD556" s="2976"/>
      <c r="AE556" s="2976"/>
      <c r="AF556" s="2976"/>
    </row>
    <row r="557" spans="1:32">
      <c r="A557" s="2972">
        <v>556</v>
      </c>
      <c r="B557" s="2974" t="s">
        <v>3234</v>
      </c>
      <c r="C557" s="2982" t="s">
        <v>3153</v>
      </c>
      <c r="D557" s="2972" t="s">
        <v>3183</v>
      </c>
      <c r="E557" s="2974">
        <v>306</v>
      </c>
      <c r="F557" s="2974">
        <v>56.75</v>
      </c>
      <c r="G557" s="2974">
        <v>15.66</v>
      </c>
      <c r="H557" s="2974">
        <v>72.41</v>
      </c>
      <c r="I557" s="2974" t="s">
        <v>3055</v>
      </c>
      <c r="J557" s="2974" t="s">
        <v>3155</v>
      </c>
      <c r="L557" s="2976"/>
      <c r="M557" s="2976"/>
      <c r="N557" s="2976"/>
      <c r="O557" s="2976"/>
      <c r="P557" s="2976"/>
      <c r="Q557" s="2976"/>
      <c r="R557" s="2976"/>
      <c r="S557" s="2976"/>
      <c r="T557" s="2976"/>
      <c r="U557" s="2976"/>
      <c r="V557" s="2976"/>
      <c r="W557" s="2976"/>
      <c r="X557" s="2976"/>
      <c r="Y557" s="2976"/>
      <c r="Z557" s="2976"/>
      <c r="AA557" s="2976"/>
      <c r="AB557" s="2976"/>
      <c r="AC557" s="2976"/>
      <c r="AD557" s="2976"/>
      <c r="AE557" s="2976"/>
      <c r="AF557" s="2976"/>
    </row>
    <row r="558" spans="1:32">
      <c r="A558" s="2972">
        <v>557</v>
      </c>
      <c r="B558" s="2974" t="s">
        <v>3234</v>
      </c>
      <c r="C558" s="2982" t="s">
        <v>3153</v>
      </c>
      <c r="D558" s="2972" t="s">
        <v>3183</v>
      </c>
      <c r="E558" s="2974">
        <v>307</v>
      </c>
      <c r="F558" s="2974">
        <v>54.01</v>
      </c>
      <c r="G558" s="2974">
        <v>14.91</v>
      </c>
      <c r="H558" s="2974">
        <v>68.92</v>
      </c>
      <c r="I558" s="2974" t="s">
        <v>3055</v>
      </c>
      <c r="J558" s="2974" t="s">
        <v>3154</v>
      </c>
      <c r="L558" s="2976"/>
      <c r="M558" s="2976"/>
      <c r="N558" s="2976"/>
      <c r="O558" s="2976"/>
      <c r="P558" s="2976"/>
      <c r="Q558" s="2976"/>
      <c r="R558" s="2976"/>
      <c r="S558" s="2976"/>
      <c r="T558" s="2976"/>
      <c r="U558" s="2976"/>
      <c r="V558" s="2976"/>
      <c r="W558" s="2976"/>
      <c r="X558" s="2976"/>
      <c r="Y558" s="2976"/>
      <c r="Z558" s="2976"/>
      <c r="AA558" s="2976"/>
      <c r="AB558" s="2976"/>
      <c r="AC558" s="2976"/>
      <c r="AD558" s="2976"/>
      <c r="AE558" s="2976"/>
      <c r="AF558" s="2976"/>
    </row>
    <row r="559" spans="1:32">
      <c r="A559" s="2972">
        <v>558</v>
      </c>
      <c r="B559" s="2974" t="s">
        <v>3234</v>
      </c>
      <c r="C559" s="2982" t="s">
        <v>3156</v>
      </c>
      <c r="D559" s="2972" t="s">
        <v>3183</v>
      </c>
      <c r="E559" s="2974" t="s">
        <v>3145</v>
      </c>
      <c r="F559" s="2974">
        <v>54.01</v>
      </c>
      <c r="G559" s="2974">
        <v>14.91</v>
      </c>
      <c r="H559" s="2974">
        <v>68.92</v>
      </c>
      <c r="I559" s="2974" t="s">
        <v>3055</v>
      </c>
      <c r="J559" s="2974" t="s">
        <v>3154</v>
      </c>
      <c r="L559" s="2976"/>
      <c r="M559" s="2976"/>
      <c r="N559" s="2976"/>
      <c r="O559" s="2976"/>
      <c r="P559" s="2976"/>
      <c r="Q559" s="2976"/>
      <c r="R559" s="2976"/>
      <c r="S559" s="2976"/>
      <c r="T559" s="2976"/>
      <c r="U559" s="2976"/>
      <c r="V559" s="2976"/>
      <c r="W559" s="2976"/>
      <c r="X559" s="2976"/>
      <c r="Y559" s="2976"/>
      <c r="Z559" s="2976"/>
      <c r="AA559" s="2976"/>
      <c r="AB559" s="2976"/>
      <c r="AC559" s="2976"/>
      <c r="AD559" s="2976"/>
      <c r="AE559" s="2976"/>
      <c r="AF559" s="2976"/>
    </row>
    <row r="560" spans="1:32">
      <c r="A560" s="2972">
        <v>559</v>
      </c>
      <c r="B560" s="2974" t="s">
        <v>3234</v>
      </c>
      <c r="C560" s="2982" t="s">
        <v>3156</v>
      </c>
      <c r="D560" s="2972" t="s">
        <v>3183</v>
      </c>
      <c r="E560" s="2974" t="s">
        <v>3146</v>
      </c>
      <c r="F560" s="2974">
        <v>56.75</v>
      </c>
      <c r="G560" s="2974">
        <v>15.66</v>
      </c>
      <c r="H560" s="2974">
        <v>72.41</v>
      </c>
      <c r="I560" s="2974" t="s">
        <v>3055</v>
      </c>
      <c r="J560" s="2974" t="s">
        <v>3155</v>
      </c>
      <c r="L560" s="2976"/>
      <c r="M560" s="2976"/>
      <c r="N560" s="2976"/>
      <c r="O560" s="2976"/>
      <c r="P560" s="2976"/>
      <c r="Q560" s="2976"/>
      <c r="R560" s="2976"/>
      <c r="S560" s="2976"/>
      <c r="T560" s="2976"/>
      <c r="U560" s="2976"/>
      <c r="V560" s="2976"/>
      <c r="W560" s="2976"/>
      <c r="X560" s="2976"/>
      <c r="Y560" s="2976"/>
      <c r="Z560" s="2976"/>
      <c r="AA560" s="2976"/>
      <c r="AB560" s="2976"/>
      <c r="AC560" s="2976"/>
      <c r="AD560" s="2976"/>
      <c r="AE560" s="2976"/>
      <c r="AF560" s="2976"/>
    </row>
    <row r="561" spans="1:32">
      <c r="A561" s="2972">
        <v>560</v>
      </c>
      <c r="B561" s="2974" t="s">
        <v>3234</v>
      </c>
      <c r="C561" s="2982" t="s">
        <v>3156</v>
      </c>
      <c r="D561" s="2972" t="s">
        <v>3183</v>
      </c>
      <c r="E561" s="2974" t="s">
        <v>3147</v>
      </c>
      <c r="F561" s="2974">
        <v>56.78</v>
      </c>
      <c r="G561" s="2974">
        <v>15.67</v>
      </c>
      <c r="H561" s="2974">
        <v>72.45</v>
      </c>
      <c r="I561" s="2974" t="s">
        <v>3055</v>
      </c>
      <c r="J561" s="2974" t="s">
        <v>3155</v>
      </c>
      <c r="L561" s="2976"/>
      <c r="M561" s="2976"/>
      <c r="N561" s="2976"/>
      <c r="O561" s="2976"/>
      <c r="P561" s="2976"/>
      <c r="Q561" s="2976"/>
      <c r="R561" s="2976"/>
      <c r="S561" s="2976"/>
      <c r="T561" s="2976"/>
      <c r="U561" s="2976"/>
      <c r="V561" s="2976"/>
      <c r="W561" s="2976"/>
      <c r="X561" s="2976"/>
      <c r="Y561" s="2976"/>
      <c r="Z561" s="2976"/>
      <c r="AA561" s="2976"/>
      <c r="AB561" s="2976"/>
      <c r="AC561" s="2976"/>
      <c r="AD561" s="2976"/>
      <c r="AE561" s="2976"/>
      <c r="AF561" s="2976"/>
    </row>
    <row r="562" spans="1:32">
      <c r="A562" s="2972">
        <v>561</v>
      </c>
      <c r="B562" s="2974" t="s">
        <v>3234</v>
      </c>
      <c r="C562" s="2982" t="s">
        <v>3156</v>
      </c>
      <c r="D562" s="2972" t="s">
        <v>3183</v>
      </c>
      <c r="E562" s="2974" t="s">
        <v>3148</v>
      </c>
      <c r="F562" s="2974">
        <v>56.78</v>
      </c>
      <c r="G562" s="2974">
        <v>15.67</v>
      </c>
      <c r="H562" s="2974">
        <v>72.45</v>
      </c>
      <c r="I562" s="2974" t="s">
        <v>3055</v>
      </c>
      <c r="J562" s="2974" t="s">
        <v>3155</v>
      </c>
      <c r="L562" s="2976"/>
      <c r="M562" s="2976"/>
      <c r="N562" s="2976"/>
      <c r="O562" s="2976"/>
      <c r="P562" s="2976"/>
      <c r="Q562" s="2976"/>
      <c r="R562" s="2976"/>
      <c r="S562" s="2976"/>
      <c r="T562" s="2976"/>
      <c r="U562" s="2976"/>
      <c r="V562" s="2976"/>
      <c r="W562" s="2976"/>
      <c r="X562" s="2976"/>
      <c r="Y562" s="2976"/>
      <c r="Z562" s="2976"/>
      <c r="AA562" s="2976"/>
      <c r="AB562" s="2976"/>
      <c r="AC562" s="2976"/>
      <c r="AD562" s="2976"/>
      <c r="AE562" s="2976"/>
      <c r="AF562" s="2976"/>
    </row>
    <row r="563" spans="1:32">
      <c r="A563" s="2972">
        <v>562</v>
      </c>
      <c r="B563" s="2974" t="s">
        <v>3234</v>
      </c>
      <c r="C563" s="2982" t="s">
        <v>3156</v>
      </c>
      <c r="D563" s="2972" t="s">
        <v>3183</v>
      </c>
      <c r="E563" s="2974" t="s">
        <v>3149</v>
      </c>
      <c r="F563" s="2974">
        <v>56.75</v>
      </c>
      <c r="G563" s="2974">
        <v>15.66</v>
      </c>
      <c r="H563" s="2974">
        <v>72.41</v>
      </c>
      <c r="I563" s="2974" t="s">
        <v>3055</v>
      </c>
      <c r="J563" s="2974" t="s">
        <v>3155</v>
      </c>
      <c r="L563" s="2976"/>
      <c r="M563" s="2976"/>
      <c r="N563" s="2976"/>
      <c r="O563" s="2976"/>
      <c r="P563" s="2976"/>
      <c r="Q563" s="2976"/>
      <c r="R563" s="2976"/>
      <c r="S563" s="2976"/>
      <c r="T563" s="2976"/>
      <c r="U563" s="2976"/>
      <c r="V563" s="2976"/>
      <c r="W563" s="2976"/>
      <c r="X563" s="2976"/>
      <c r="Y563" s="2976"/>
      <c r="Z563" s="2976"/>
      <c r="AA563" s="2976"/>
      <c r="AB563" s="2976"/>
      <c r="AC563" s="2976"/>
      <c r="AD563" s="2976"/>
      <c r="AE563" s="2976"/>
      <c r="AF563" s="2976"/>
    </row>
    <row r="564" spans="1:32">
      <c r="A564" s="2972">
        <v>563</v>
      </c>
      <c r="B564" s="2974" t="s">
        <v>3234</v>
      </c>
      <c r="C564" s="2982" t="s">
        <v>3156</v>
      </c>
      <c r="D564" s="2972" t="s">
        <v>3183</v>
      </c>
      <c r="E564" s="2974" t="s">
        <v>3150</v>
      </c>
      <c r="F564" s="2974">
        <v>54.01</v>
      </c>
      <c r="G564" s="2974">
        <v>14.91</v>
      </c>
      <c r="H564" s="2974">
        <v>68.92</v>
      </c>
      <c r="I564" s="2974" t="s">
        <v>3055</v>
      </c>
      <c r="J564" s="2974" t="s">
        <v>3154</v>
      </c>
      <c r="L564" s="2976"/>
      <c r="M564" s="2976"/>
      <c r="N564" s="2976"/>
      <c r="O564" s="2976"/>
      <c r="P564" s="2976"/>
      <c r="Q564" s="2976"/>
      <c r="R564" s="2976"/>
      <c r="S564" s="2976"/>
      <c r="T564" s="2976"/>
      <c r="U564" s="2976"/>
      <c r="V564" s="2976"/>
      <c r="W564" s="2976"/>
      <c r="X564" s="2976"/>
      <c r="Y564" s="2976"/>
      <c r="Z564" s="2976"/>
      <c r="AA564" s="2976"/>
      <c r="AB564" s="2976"/>
      <c r="AC564" s="2976"/>
      <c r="AD564" s="2976"/>
      <c r="AE564" s="2976"/>
      <c r="AF564" s="2976"/>
    </row>
    <row r="565" spans="1:32">
      <c r="A565" s="2972">
        <v>564</v>
      </c>
      <c r="B565" s="2974" t="s">
        <v>3234</v>
      </c>
      <c r="C565" s="2982" t="s">
        <v>3157</v>
      </c>
      <c r="D565" s="2972" t="s">
        <v>3183</v>
      </c>
      <c r="E565" s="2974">
        <v>501</v>
      </c>
      <c r="F565" s="2974">
        <v>54.01</v>
      </c>
      <c r="G565" s="2974">
        <v>14.91</v>
      </c>
      <c r="H565" s="2974">
        <v>68.92</v>
      </c>
      <c r="I565" s="2974" t="s">
        <v>3055</v>
      </c>
      <c r="J565" s="2974" t="s">
        <v>3154</v>
      </c>
      <c r="L565" s="2976"/>
      <c r="M565" s="2976"/>
      <c r="N565" s="2976"/>
      <c r="O565" s="2976"/>
      <c r="P565" s="2976"/>
      <c r="Q565" s="2976"/>
      <c r="R565" s="2976"/>
      <c r="S565" s="2976"/>
      <c r="T565" s="2976"/>
      <c r="U565" s="2976"/>
      <c r="V565" s="2976"/>
      <c r="W565" s="2976"/>
      <c r="X565" s="2976"/>
      <c r="Y565" s="2976"/>
      <c r="Z565" s="2976"/>
      <c r="AA565" s="2976"/>
      <c r="AB565" s="2976"/>
      <c r="AC565" s="2976"/>
      <c r="AD565" s="2976"/>
      <c r="AE565" s="2976"/>
      <c r="AF565" s="2976"/>
    </row>
    <row r="566" spans="1:32">
      <c r="A566" s="2972">
        <v>565</v>
      </c>
      <c r="B566" s="2974" t="s">
        <v>3234</v>
      </c>
      <c r="C566" s="2982" t="s">
        <v>3157</v>
      </c>
      <c r="D566" s="2972" t="s">
        <v>3183</v>
      </c>
      <c r="E566" s="2974">
        <v>502</v>
      </c>
      <c r="F566" s="2974">
        <v>56.75</v>
      </c>
      <c r="G566" s="2974">
        <v>15.66</v>
      </c>
      <c r="H566" s="2974">
        <v>72.41</v>
      </c>
      <c r="I566" s="2974" t="s">
        <v>3055</v>
      </c>
      <c r="J566" s="2974" t="s">
        <v>3155</v>
      </c>
      <c r="L566" s="2976"/>
      <c r="M566" s="2976"/>
      <c r="N566" s="2976"/>
      <c r="O566" s="2976"/>
      <c r="P566" s="2976"/>
      <c r="Q566" s="2976"/>
      <c r="R566" s="2976"/>
      <c r="S566" s="2976"/>
      <c r="T566" s="2976"/>
      <c r="U566" s="2976"/>
      <c r="V566" s="2976"/>
      <c r="W566" s="2976"/>
      <c r="X566" s="2976"/>
      <c r="Y566" s="2976"/>
      <c r="Z566" s="2976"/>
      <c r="AA566" s="2976"/>
      <c r="AB566" s="2976"/>
      <c r="AC566" s="2976"/>
      <c r="AD566" s="2976"/>
      <c r="AE566" s="2976"/>
      <c r="AF566" s="2976"/>
    </row>
    <row r="567" spans="1:32">
      <c r="A567" s="2972">
        <v>566</v>
      </c>
      <c r="B567" s="2974" t="s">
        <v>3234</v>
      </c>
      <c r="C567" s="2982" t="s">
        <v>3157</v>
      </c>
      <c r="D567" s="2972" t="s">
        <v>3183</v>
      </c>
      <c r="E567" s="2974">
        <v>503</v>
      </c>
      <c r="F567" s="2974">
        <v>56.78</v>
      </c>
      <c r="G567" s="2974">
        <v>15.67</v>
      </c>
      <c r="H567" s="2974">
        <v>72.45</v>
      </c>
      <c r="I567" s="2974" t="s">
        <v>3055</v>
      </c>
      <c r="J567" s="2974" t="s">
        <v>3155</v>
      </c>
      <c r="L567" s="2976"/>
      <c r="M567" s="2976"/>
      <c r="N567" s="2976"/>
      <c r="O567" s="2976"/>
      <c r="P567" s="2976"/>
      <c r="Q567" s="2976"/>
      <c r="R567" s="2976"/>
      <c r="S567" s="2976"/>
      <c r="T567" s="2976"/>
      <c r="U567" s="2976"/>
      <c r="V567" s="2976"/>
      <c r="W567" s="2976"/>
      <c r="X567" s="2976"/>
      <c r="Y567" s="2976"/>
      <c r="Z567" s="2976"/>
      <c r="AA567" s="2976"/>
      <c r="AB567" s="2976"/>
      <c r="AC567" s="2976"/>
      <c r="AD567" s="2976"/>
      <c r="AE567" s="2976"/>
      <c r="AF567" s="2976"/>
    </row>
    <row r="568" spans="1:32">
      <c r="A568" s="2972">
        <v>567</v>
      </c>
      <c r="B568" s="2974" t="s">
        <v>3234</v>
      </c>
      <c r="C568" s="2982" t="s">
        <v>3157</v>
      </c>
      <c r="D568" s="2972" t="s">
        <v>3183</v>
      </c>
      <c r="E568" s="2974">
        <v>505</v>
      </c>
      <c r="F568" s="2974">
        <v>56.78</v>
      </c>
      <c r="G568" s="2974">
        <v>15.67</v>
      </c>
      <c r="H568" s="2974">
        <v>72.45</v>
      </c>
      <c r="I568" s="2974" t="s">
        <v>3055</v>
      </c>
      <c r="J568" s="2974" t="s">
        <v>3155</v>
      </c>
      <c r="L568" s="2976"/>
      <c r="M568" s="2976"/>
      <c r="N568" s="2976"/>
      <c r="O568" s="2976"/>
      <c r="P568" s="2976"/>
      <c r="Q568" s="2976"/>
      <c r="R568" s="2976"/>
      <c r="S568" s="2976"/>
      <c r="T568" s="2976"/>
      <c r="U568" s="2976"/>
      <c r="V568" s="2976"/>
      <c r="W568" s="2976"/>
      <c r="X568" s="2976"/>
      <c r="Y568" s="2976"/>
      <c r="Z568" s="2976"/>
      <c r="AA568" s="2976"/>
      <c r="AB568" s="2976"/>
      <c r="AC568" s="2976"/>
      <c r="AD568" s="2976"/>
      <c r="AE568" s="2976"/>
      <c r="AF568" s="2976"/>
    </row>
    <row r="569" spans="1:32">
      <c r="A569" s="2972">
        <v>568</v>
      </c>
      <c r="B569" s="2974" t="s">
        <v>3234</v>
      </c>
      <c r="C569" s="2982" t="s">
        <v>3157</v>
      </c>
      <c r="D569" s="2972" t="s">
        <v>3183</v>
      </c>
      <c r="E569" s="2974">
        <v>506</v>
      </c>
      <c r="F569" s="2974">
        <v>56.75</v>
      </c>
      <c r="G569" s="2974">
        <v>15.66</v>
      </c>
      <c r="H569" s="2974">
        <v>72.41</v>
      </c>
      <c r="I569" s="2974" t="s">
        <v>3055</v>
      </c>
      <c r="J569" s="2974" t="s">
        <v>3155</v>
      </c>
      <c r="L569" s="2976"/>
      <c r="M569" s="2976"/>
      <c r="N569" s="2976"/>
      <c r="O569" s="2976"/>
      <c r="P569" s="2976"/>
      <c r="Q569" s="2976"/>
      <c r="R569" s="2976"/>
      <c r="S569" s="2976"/>
      <c r="T569" s="2976"/>
      <c r="U569" s="2976"/>
      <c r="V569" s="2976"/>
      <c r="W569" s="2976"/>
      <c r="X569" s="2976"/>
      <c r="Y569" s="2976"/>
      <c r="Z569" s="2976"/>
      <c r="AA569" s="2976"/>
      <c r="AB569" s="2976"/>
      <c r="AC569" s="2976"/>
      <c r="AD569" s="2976"/>
      <c r="AE569" s="2976"/>
      <c r="AF569" s="2976"/>
    </row>
    <row r="570" spans="1:32">
      <c r="A570" s="2972">
        <v>569</v>
      </c>
      <c r="B570" s="2974" t="s">
        <v>3234</v>
      </c>
      <c r="C570" s="2982" t="s">
        <v>3157</v>
      </c>
      <c r="D570" s="2972" t="s">
        <v>3183</v>
      </c>
      <c r="E570" s="2974">
        <v>507</v>
      </c>
      <c r="F570" s="2974">
        <v>54.01</v>
      </c>
      <c r="G570" s="2974">
        <v>14.91</v>
      </c>
      <c r="H570" s="2974">
        <v>68.92</v>
      </c>
      <c r="I570" s="2974" t="s">
        <v>3055</v>
      </c>
      <c r="J570" s="2974" t="s">
        <v>3154</v>
      </c>
      <c r="L570" s="2976"/>
      <c r="M570" s="2976"/>
      <c r="N570" s="2976"/>
      <c r="O570" s="2976"/>
      <c r="P570" s="2976"/>
      <c r="Q570" s="2976"/>
      <c r="R570" s="2976"/>
      <c r="S570" s="2976"/>
      <c r="T570" s="2976"/>
      <c r="U570" s="2976"/>
      <c r="V570" s="2976"/>
      <c r="W570" s="2976"/>
      <c r="X570" s="2976"/>
      <c r="Y570" s="2976"/>
      <c r="Z570" s="2976"/>
      <c r="AA570" s="2976"/>
      <c r="AB570" s="2976"/>
      <c r="AC570" s="2976"/>
      <c r="AD570" s="2976"/>
      <c r="AE570" s="2976"/>
      <c r="AF570" s="2976"/>
    </row>
    <row r="571" spans="1:32">
      <c r="A571" s="2972">
        <v>570</v>
      </c>
      <c r="B571" s="2974" t="s">
        <v>3234</v>
      </c>
      <c r="C571" s="2982" t="s">
        <v>3158</v>
      </c>
      <c r="D571" s="2972" t="s">
        <v>3183</v>
      </c>
      <c r="E571" s="2974">
        <v>601</v>
      </c>
      <c r="F571" s="2974">
        <v>54.01</v>
      </c>
      <c r="G571" s="2974">
        <v>14.91</v>
      </c>
      <c r="H571" s="2974">
        <v>68.92</v>
      </c>
      <c r="I571" s="2974" t="s">
        <v>3055</v>
      </c>
      <c r="J571" s="2974" t="s">
        <v>3154</v>
      </c>
      <c r="L571" s="2976"/>
      <c r="M571" s="2976"/>
      <c r="N571" s="2976"/>
      <c r="O571" s="2976"/>
      <c r="P571" s="2976"/>
      <c r="Q571" s="2976"/>
      <c r="R571" s="2976"/>
      <c r="S571" s="2976"/>
      <c r="T571" s="2976"/>
      <c r="U571" s="2976"/>
      <c r="V571" s="2976"/>
      <c r="W571" s="2976"/>
      <c r="X571" s="2976"/>
      <c r="Y571" s="2976"/>
      <c r="Z571" s="2976"/>
      <c r="AA571" s="2976"/>
      <c r="AB571" s="2976"/>
      <c r="AC571" s="2976"/>
      <c r="AD571" s="2976"/>
      <c r="AE571" s="2976"/>
      <c r="AF571" s="2976"/>
    </row>
    <row r="572" spans="1:32">
      <c r="A572" s="2972">
        <v>571</v>
      </c>
      <c r="B572" s="2974" t="s">
        <v>3234</v>
      </c>
      <c r="C572" s="2982" t="s">
        <v>3158</v>
      </c>
      <c r="D572" s="2972" t="s">
        <v>3183</v>
      </c>
      <c r="E572" s="2974">
        <v>602</v>
      </c>
      <c r="F572" s="2974">
        <v>56.75</v>
      </c>
      <c r="G572" s="2974">
        <v>15.66</v>
      </c>
      <c r="H572" s="2974">
        <v>72.41</v>
      </c>
      <c r="I572" s="2974" t="s">
        <v>3055</v>
      </c>
      <c r="J572" s="2974" t="s">
        <v>3155</v>
      </c>
      <c r="L572" s="2976"/>
      <c r="M572" s="2976"/>
      <c r="N572" s="2976"/>
      <c r="O572" s="2976"/>
      <c r="P572" s="2976"/>
      <c r="Q572" s="2976"/>
      <c r="R572" s="2976"/>
      <c r="S572" s="2976"/>
      <c r="T572" s="2976"/>
      <c r="U572" s="2976"/>
      <c r="V572" s="2976"/>
      <c r="W572" s="2976"/>
      <c r="X572" s="2976"/>
      <c r="Y572" s="2976"/>
      <c r="Z572" s="2976"/>
      <c r="AA572" s="2976"/>
      <c r="AB572" s="2976"/>
      <c r="AC572" s="2976"/>
      <c r="AD572" s="2976"/>
      <c r="AE572" s="2976"/>
      <c r="AF572" s="2976"/>
    </row>
    <row r="573" spans="1:32">
      <c r="A573" s="2972">
        <v>572</v>
      </c>
      <c r="B573" s="2974" t="s">
        <v>3234</v>
      </c>
      <c r="C573" s="2982" t="s">
        <v>3158</v>
      </c>
      <c r="D573" s="2972" t="s">
        <v>3183</v>
      </c>
      <c r="E573" s="2974">
        <v>603</v>
      </c>
      <c r="F573" s="2974">
        <v>56.78</v>
      </c>
      <c r="G573" s="2974">
        <v>15.67</v>
      </c>
      <c r="H573" s="2974">
        <v>72.45</v>
      </c>
      <c r="I573" s="2974" t="s">
        <v>3055</v>
      </c>
      <c r="J573" s="2974" t="s">
        <v>3155</v>
      </c>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row>
    <row r="574" spans="1:32">
      <c r="A574" s="2972">
        <v>573</v>
      </c>
      <c r="B574" s="2974" t="s">
        <v>3234</v>
      </c>
      <c r="C574" s="2982" t="s">
        <v>3158</v>
      </c>
      <c r="D574" s="2972" t="s">
        <v>3183</v>
      </c>
      <c r="E574" s="2974">
        <v>605</v>
      </c>
      <c r="F574" s="2974">
        <v>56.78</v>
      </c>
      <c r="G574" s="2974">
        <v>15.67</v>
      </c>
      <c r="H574" s="2974">
        <v>72.45</v>
      </c>
      <c r="I574" s="2974" t="s">
        <v>3055</v>
      </c>
      <c r="J574" s="2974" t="s">
        <v>3155</v>
      </c>
      <c r="L574" s="2976"/>
      <c r="M574" s="2976"/>
      <c r="N574" s="2976"/>
      <c r="O574" s="2976"/>
      <c r="P574" s="2976"/>
      <c r="Q574" s="2976"/>
      <c r="R574" s="2976"/>
      <c r="S574" s="2976"/>
      <c r="T574" s="2976"/>
      <c r="U574" s="2976"/>
      <c r="V574" s="2976"/>
      <c r="W574" s="2976"/>
      <c r="X574" s="2976"/>
      <c r="Y574" s="2976"/>
      <c r="Z574" s="2976"/>
      <c r="AA574" s="2976"/>
      <c r="AB574" s="2976"/>
      <c r="AC574" s="2976"/>
      <c r="AD574" s="2976"/>
      <c r="AE574" s="2976"/>
      <c r="AF574" s="2976"/>
    </row>
    <row r="575" spans="1:32">
      <c r="A575" s="2972">
        <v>574</v>
      </c>
      <c r="B575" s="2974" t="s">
        <v>3234</v>
      </c>
      <c r="C575" s="2982" t="s">
        <v>3158</v>
      </c>
      <c r="D575" s="2972" t="s">
        <v>3183</v>
      </c>
      <c r="E575" s="2974">
        <v>606</v>
      </c>
      <c r="F575" s="2974">
        <v>56.75</v>
      </c>
      <c r="G575" s="2974">
        <v>15.66</v>
      </c>
      <c r="H575" s="2974">
        <v>72.41</v>
      </c>
      <c r="I575" s="2974" t="s">
        <v>3055</v>
      </c>
      <c r="J575" s="2974" t="s">
        <v>3155</v>
      </c>
      <c r="L575" s="2976"/>
      <c r="M575" s="2976"/>
      <c r="N575" s="2976"/>
      <c r="O575" s="2976"/>
      <c r="P575" s="2976"/>
      <c r="Q575" s="2976"/>
      <c r="R575" s="2976"/>
      <c r="S575" s="2976"/>
      <c r="T575" s="2976"/>
      <c r="U575" s="2976"/>
      <c r="V575" s="2976"/>
      <c r="W575" s="2976"/>
      <c r="X575" s="2976"/>
      <c r="Y575" s="2976"/>
      <c r="Z575" s="2976"/>
      <c r="AA575" s="2976"/>
      <c r="AB575" s="2976"/>
      <c r="AC575" s="2976"/>
      <c r="AD575" s="2976"/>
      <c r="AE575" s="2976"/>
      <c r="AF575" s="2976"/>
    </row>
    <row r="576" spans="1:32">
      <c r="A576" s="2972">
        <v>575</v>
      </c>
      <c r="B576" s="2974" t="s">
        <v>3234</v>
      </c>
      <c r="C576" s="2982" t="s">
        <v>3158</v>
      </c>
      <c r="D576" s="2972" t="s">
        <v>3183</v>
      </c>
      <c r="E576" s="2974">
        <v>607</v>
      </c>
      <c r="F576" s="2974">
        <v>54.01</v>
      </c>
      <c r="G576" s="2974">
        <v>14.91</v>
      </c>
      <c r="H576" s="2974">
        <v>68.92</v>
      </c>
      <c r="I576" s="2974" t="s">
        <v>3055</v>
      </c>
      <c r="J576" s="2974" t="s">
        <v>3154</v>
      </c>
      <c r="L576" s="2976"/>
      <c r="M576" s="2976"/>
      <c r="N576" s="2976"/>
      <c r="O576" s="2976"/>
      <c r="P576" s="2976"/>
      <c r="Q576" s="2976"/>
      <c r="R576" s="2976"/>
      <c r="S576" s="2976"/>
      <c r="T576" s="2976"/>
      <c r="U576" s="2976"/>
      <c r="V576" s="2976"/>
      <c r="W576" s="2976"/>
      <c r="X576" s="2976"/>
      <c r="Y576" s="2976"/>
      <c r="Z576" s="2976"/>
      <c r="AA576" s="2976"/>
      <c r="AB576" s="2976"/>
      <c r="AC576" s="2976"/>
      <c r="AD576" s="2976"/>
      <c r="AE576" s="2976"/>
      <c r="AF576" s="2976"/>
    </row>
    <row r="577" spans="1:32">
      <c r="A577" s="2972">
        <v>576</v>
      </c>
      <c r="B577" s="2974" t="s">
        <v>3235</v>
      </c>
      <c r="C577" s="2982" t="s">
        <v>3153</v>
      </c>
      <c r="D577" s="2972" t="s">
        <v>3183</v>
      </c>
      <c r="E577" s="2982">
        <v>301</v>
      </c>
      <c r="F577" s="2983">
        <v>55.51</v>
      </c>
      <c r="G577" s="2979">
        <v>14.17</v>
      </c>
      <c r="H577" s="2979">
        <v>69.679999999999993</v>
      </c>
      <c r="I577" s="2980" t="s">
        <v>3055</v>
      </c>
      <c r="J577" s="2981" t="s">
        <v>3154</v>
      </c>
      <c r="L577" s="2976"/>
      <c r="M577" s="2976"/>
      <c r="N577" s="2976"/>
      <c r="O577" s="2976"/>
      <c r="P577" s="2976"/>
      <c r="Q577" s="2976"/>
      <c r="R577" s="2976"/>
      <c r="S577" s="2976"/>
      <c r="T577" s="2976"/>
      <c r="U577" s="2976"/>
      <c r="V577" s="2976"/>
      <c r="W577" s="2976"/>
      <c r="X577" s="2976"/>
      <c r="Y577" s="2976"/>
      <c r="Z577" s="2976"/>
      <c r="AA577" s="2976"/>
      <c r="AB577" s="2976"/>
      <c r="AC577" s="2976"/>
      <c r="AD577" s="2976"/>
      <c r="AE577" s="2976"/>
      <c r="AF577" s="2976"/>
    </row>
    <row r="578" spans="1:32">
      <c r="A578" s="2972">
        <v>577</v>
      </c>
      <c r="B578" s="2974" t="s">
        <v>3235</v>
      </c>
      <c r="C578" s="2982" t="s">
        <v>3153</v>
      </c>
      <c r="D578" s="2972" t="s">
        <v>3183</v>
      </c>
      <c r="E578" s="2982">
        <v>302</v>
      </c>
      <c r="F578" s="2983">
        <v>56.75</v>
      </c>
      <c r="G578" s="2979">
        <v>14.48</v>
      </c>
      <c r="H578" s="2979">
        <v>71.23</v>
      </c>
      <c r="I578" s="2980" t="s">
        <v>3055</v>
      </c>
      <c r="J578" s="2981" t="s">
        <v>3155</v>
      </c>
      <c r="L578" s="2976"/>
      <c r="M578" s="2976"/>
      <c r="N578" s="2976"/>
      <c r="O578" s="2976"/>
      <c r="P578" s="2976"/>
      <c r="Q578" s="2976"/>
      <c r="R578" s="2976"/>
      <c r="S578" s="2976"/>
      <c r="T578" s="2976"/>
      <c r="U578" s="2976"/>
      <c r="V578" s="2976"/>
      <c r="W578" s="2976"/>
      <c r="X578" s="2976"/>
      <c r="Y578" s="2976"/>
      <c r="Z578" s="2976"/>
      <c r="AA578" s="2976"/>
      <c r="AB578" s="2976"/>
      <c r="AC578" s="2976"/>
      <c r="AD578" s="2976"/>
      <c r="AE578" s="2976"/>
      <c r="AF578" s="2976"/>
    </row>
    <row r="579" spans="1:32">
      <c r="A579" s="2972">
        <v>578</v>
      </c>
      <c r="B579" s="2974" t="s">
        <v>3235</v>
      </c>
      <c r="C579" s="2982" t="s">
        <v>3153</v>
      </c>
      <c r="D579" s="2972" t="s">
        <v>3183</v>
      </c>
      <c r="E579" s="2982">
        <v>303</v>
      </c>
      <c r="F579" s="2983">
        <v>56.78</v>
      </c>
      <c r="G579" s="2979">
        <v>14.49</v>
      </c>
      <c r="H579" s="2979">
        <v>71.27</v>
      </c>
      <c r="I579" s="2980" t="s">
        <v>3055</v>
      </c>
      <c r="J579" s="2981" t="s">
        <v>3155</v>
      </c>
      <c r="L579" s="2976"/>
      <c r="M579" s="2976"/>
      <c r="N579" s="2976"/>
      <c r="O579" s="2976"/>
      <c r="P579" s="2976"/>
      <c r="Q579" s="2976"/>
      <c r="R579" s="2976"/>
      <c r="S579" s="2976"/>
      <c r="T579" s="2976"/>
      <c r="U579" s="2976"/>
      <c r="V579" s="2976"/>
      <c r="W579" s="2976"/>
      <c r="X579" s="2976"/>
      <c r="Y579" s="2976"/>
      <c r="Z579" s="2976"/>
      <c r="AA579" s="2976"/>
      <c r="AB579" s="2976"/>
      <c r="AC579" s="2976"/>
      <c r="AD579" s="2976"/>
      <c r="AE579" s="2976"/>
      <c r="AF579" s="2976"/>
    </row>
    <row r="580" spans="1:32">
      <c r="A580" s="2972">
        <v>579</v>
      </c>
      <c r="B580" s="2974" t="s">
        <v>3235</v>
      </c>
      <c r="C580" s="2982" t="s">
        <v>3153</v>
      </c>
      <c r="D580" s="2972" t="s">
        <v>3183</v>
      </c>
      <c r="E580" s="2982">
        <v>305</v>
      </c>
      <c r="F580" s="2983">
        <v>56.78</v>
      </c>
      <c r="G580" s="2979">
        <v>14.49</v>
      </c>
      <c r="H580" s="2979">
        <v>71.27</v>
      </c>
      <c r="I580" s="2980" t="s">
        <v>3055</v>
      </c>
      <c r="J580" s="2981" t="s">
        <v>3155</v>
      </c>
      <c r="L580" s="2976"/>
      <c r="M580" s="2976"/>
      <c r="N580" s="2976"/>
      <c r="O580" s="2976"/>
      <c r="P580" s="2976"/>
      <c r="Q580" s="2976"/>
      <c r="R580" s="2976"/>
      <c r="S580" s="2976"/>
      <c r="T580" s="2976"/>
      <c r="U580" s="2976"/>
      <c r="V580" s="2976"/>
      <c r="W580" s="2976"/>
      <c r="X580" s="2976"/>
      <c r="Y580" s="2976"/>
      <c r="Z580" s="2976"/>
      <c r="AA580" s="2976"/>
      <c r="AB580" s="2976"/>
      <c r="AC580" s="2976"/>
      <c r="AD580" s="2976"/>
      <c r="AE580" s="2976"/>
      <c r="AF580" s="2976"/>
    </row>
    <row r="581" spans="1:32">
      <c r="A581" s="2972">
        <v>580</v>
      </c>
      <c r="B581" s="2974" t="s">
        <v>3235</v>
      </c>
      <c r="C581" s="2982" t="s">
        <v>3153</v>
      </c>
      <c r="D581" s="2972" t="s">
        <v>3183</v>
      </c>
      <c r="E581" s="2982">
        <v>306</v>
      </c>
      <c r="F581" s="2983">
        <v>56.78</v>
      </c>
      <c r="G581" s="2979">
        <v>14.49</v>
      </c>
      <c r="H581" s="2979">
        <v>71.27</v>
      </c>
      <c r="I581" s="2980" t="s">
        <v>3055</v>
      </c>
      <c r="J581" s="2981" t="s">
        <v>3155</v>
      </c>
      <c r="L581" s="2976"/>
      <c r="M581" s="2976"/>
      <c r="N581" s="2976"/>
      <c r="O581" s="2976"/>
      <c r="P581" s="2976"/>
      <c r="Q581" s="2976"/>
      <c r="R581" s="2976"/>
      <c r="S581" s="2976"/>
      <c r="T581" s="2976"/>
      <c r="U581" s="2976"/>
      <c r="V581" s="2976"/>
      <c r="W581" s="2976"/>
      <c r="X581" s="2976"/>
      <c r="Y581" s="2976"/>
      <c r="Z581" s="2976"/>
      <c r="AA581" s="2976"/>
      <c r="AB581" s="2976"/>
      <c r="AC581" s="2976"/>
      <c r="AD581" s="2976"/>
      <c r="AE581" s="2976"/>
      <c r="AF581" s="2976"/>
    </row>
    <row r="582" spans="1:32">
      <c r="A582" s="2972">
        <v>581</v>
      </c>
      <c r="B582" s="2974" t="s">
        <v>3235</v>
      </c>
      <c r="C582" s="2982" t="s">
        <v>3153</v>
      </c>
      <c r="D582" s="2972" t="s">
        <v>3183</v>
      </c>
      <c r="E582" s="2982">
        <v>307</v>
      </c>
      <c r="F582" s="2983">
        <v>55.66</v>
      </c>
      <c r="G582" s="2979">
        <v>14.21</v>
      </c>
      <c r="H582" s="2979">
        <v>69.87</v>
      </c>
      <c r="I582" s="2980" t="s">
        <v>3055</v>
      </c>
      <c r="J582" s="2981" t="s">
        <v>3154</v>
      </c>
      <c r="L582" s="2976"/>
      <c r="M582" s="2976"/>
      <c r="N582" s="2976"/>
      <c r="O582" s="2976"/>
      <c r="P582" s="2976"/>
      <c r="Q582" s="2976"/>
      <c r="R582" s="2976"/>
      <c r="S582" s="2976"/>
      <c r="T582" s="2976"/>
      <c r="U582" s="2976"/>
      <c r="V582" s="2976"/>
      <c r="W582" s="2976"/>
      <c r="X582" s="2976"/>
      <c r="Y582" s="2976"/>
      <c r="Z582" s="2976"/>
      <c r="AA582" s="2976"/>
      <c r="AB582" s="2976"/>
      <c r="AC582" s="2976"/>
      <c r="AD582" s="2976"/>
      <c r="AE582" s="2976"/>
      <c r="AF582" s="2976"/>
    </row>
    <row r="583" spans="1:32">
      <c r="A583" s="2972">
        <v>582</v>
      </c>
      <c r="B583" s="2974" t="s">
        <v>3235</v>
      </c>
      <c r="C583" s="2982" t="s">
        <v>3153</v>
      </c>
      <c r="D583" s="2972" t="s">
        <v>3183</v>
      </c>
      <c r="E583" s="2982">
        <v>308</v>
      </c>
      <c r="F583" s="2983">
        <v>52.68</v>
      </c>
      <c r="G583" s="2979">
        <v>13.45</v>
      </c>
      <c r="H583" s="2979">
        <v>66.13</v>
      </c>
      <c r="I583" s="2980" t="s">
        <v>3055</v>
      </c>
      <c r="J583" s="2981" t="s">
        <v>3154</v>
      </c>
      <c r="L583" s="2976"/>
      <c r="M583" s="2976"/>
      <c r="N583" s="2976"/>
      <c r="O583" s="2976"/>
      <c r="P583" s="2976"/>
      <c r="Q583" s="2976"/>
      <c r="R583" s="2976"/>
      <c r="S583" s="2976"/>
      <c r="T583" s="2976"/>
      <c r="U583" s="2976"/>
      <c r="V583" s="2976"/>
      <c r="W583" s="2976"/>
      <c r="X583" s="2976"/>
      <c r="Y583" s="2976"/>
      <c r="Z583" s="2976"/>
      <c r="AA583" s="2976"/>
      <c r="AB583" s="2976"/>
      <c r="AC583" s="2976"/>
      <c r="AD583" s="2976"/>
      <c r="AE583" s="2976"/>
      <c r="AF583" s="2976"/>
    </row>
    <row r="584" spans="1:32">
      <c r="A584" s="2972">
        <v>583</v>
      </c>
      <c r="B584" s="2974" t="s">
        <v>3235</v>
      </c>
      <c r="C584" s="2982" t="s">
        <v>3156</v>
      </c>
      <c r="D584" s="2972" t="s">
        <v>3183</v>
      </c>
      <c r="E584" s="2982" t="s">
        <v>3145</v>
      </c>
      <c r="F584" s="2983">
        <v>55.51</v>
      </c>
      <c r="G584" s="2979">
        <v>14.17</v>
      </c>
      <c r="H584" s="2979">
        <v>69.679999999999993</v>
      </c>
      <c r="I584" s="2980" t="s">
        <v>3055</v>
      </c>
      <c r="J584" s="2981" t="s">
        <v>3154</v>
      </c>
      <c r="L584" s="2976"/>
      <c r="M584" s="2976"/>
      <c r="N584" s="2976"/>
      <c r="O584" s="2976"/>
      <c r="P584" s="2976"/>
      <c r="Q584" s="2976"/>
      <c r="R584" s="2976"/>
      <c r="S584" s="2976"/>
      <c r="T584" s="2976"/>
      <c r="U584" s="2976"/>
      <c r="V584" s="2976"/>
      <c r="W584" s="2976"/>
      <c r="X584" s="2976"/>
      <c r="Y584" s="2976"/>
      <c r="Z584" s="2976"/>
      <c r="AA584" s="2976"/>
      <c r="AB584" s="2976"/>
      <c r="AC584" s="2976"/>
      <c r="AD584" s="2976"/>
      <c r="AE584" s="2976"/>
      <c r="AF584" s="2976"/>
    </row>
    <row r="585" spans="1:32">
      <c r="A585" s="2972">
        <v>584</v>
      </c>
      <c r="B585" s="2974" t="s">
        <v>3235</v>
      </c>
      <c r="C585" s="2982" t="s">
        <v>3156</v>
      </c>
      <c r="D585" s="2972" t="s">
        <v>3183</v>
      </c>
      <c r="E585" s="2982" t="s">
        <v>3146</v>
      </c>
      <c r="F585" s="2983">
        <v>56.75</v>
      </c>
      <c r="G585" s="2979">
        <v>14.48</v>
      </c>
      <c r="H585" s="2979">
        <v>71.23</v>
      </c>
      <c r="I585" s="2980" t="s">
        <v>3055</v>
      </c>
      <c r="J585" s="2981" t="s">
        <v>3155</v>
      </c>
      <c r="L585" s="2976"/>
      <c r="M585" s="2976"/>
      <c r="N585" s="2976"/>
      <c r="O585" s="2976"/>
      <c r="P585" s="2976"/>
      <c r="Q585" s="2976"/>
      <c r="R585" s="2976"/>
      <c r="S585" s="2976"/>
      <c r="T585" s="2976"/>
      <c r="U585" s="2976"/>
      <c r="V585" s="2976"/>
      <c r="W585" s="2976"/>
      <c r="X585" s="2976"/>
      <c r="Y585" s="2976"/>
      <c r="Z585" s="2976"/>
      <c r="AA585" s="2976"/>
      <c r="AB585" s="2976"/>
      <c r="AC585" s="2976"/>
      <c r="AD585" s="2976"/>
      <c r="AE585" s="2976"/>
      <c r="AF585" s="2976"/>
    </row>
    <row r="586" spans="1:32">
      <c r="A586" s="2972">
        <v>585</v>
      </c>
      <c r="B586" s="2974" t="s">
        <v>3235</v>
      </c>
      <c r="C586" s="2982" t="s">
        <v>3156</v>
      </c>
      <c r="D586" s="2972" t="s">
        <v>3183</v>
      </c>
      <c r="E586" s="2982" t="s">
        <v>3147</v>
      </c>
      <c r="F586" s="2983">
        <v>56.78</v>
      </c>
      <c r="G586" s="2979">
        <v>14.49</v>
      </c>
      <c r="H586" s="2979">
        <v>71.27</v>
      </c>
      <c r="I586" s="2980" t="s">
        <v>3055</v>
      </c>
      <c r="J586" s="2981" t="s">
        <v>3155</v>
      </c>
      <c r="L586" s="2976"/>
      <c r="M586" s="2976"/>
      <c r="N586" s="2976"/>
      <c r="O586" s="2976"/>
      <c r="P586" s="2976"/>
      <c r="Q586" s="2976"/>
      <c r="R586" s="2976"/>
      <c r="S586" s="2976"/>
      <c r="T586" s="2976"/>
      <c r="U586" s="2976"/>
      <c r="V586" s="2976"/>
      <c r="W586" s="2976"/>
      <c r="X586" s="2976"/>
      <c r="Y586" s="2976"/>
      <c r="Z586" s="2976"/>
      <c r="AA586" s="2976"/>
      <c r="AB586" s="2976"/>
      <c r="AC586" s="2976"/>
      <c r="AD586" s="2976"/>
      <c r="AE586" s="2976"/>
      <c r="AF586" s="2976"/>
    </row>
    <row r="587" spans="1:32">
      <c r="A587" s="2972">
        <v>586</v>
      </c>
      <c r="B587" s="2974" t="s">
        <v>3235</v>
      </c>
      <c r="C587" s="2982" t="s">
        <v>3156</v>
      </c>
      <c r="D587" s="2972" t="s">
        <v>3183</v>
      </c>
      <c r="E587" s="2982" t="s">
        <v>3148</v>
      </c>
      <c r="F587" s="2983">
        <v>56.78</v>
      </c>
      <c r="G587" s="2979">
        <v>14.49</v>
      </c>
      <c r="H587" s="2979">
        <v>71.27</v>
      </c>
      <c r="I587" s="2980" t="s">
        <v>3055</v>
      </c>
      <c r="J587" s="2981" t="s">
        <v>3155</v>
      </c>
      <c r="L587" s="2976"/>
      <c r="M587" s="2976"/>
      <c r="N587" s="2976"/>
      <c r="O587" s="2976"/>
      <c r="P587" s="2976"/>
      <c r="Q587" s="2976"/>
      <c r="R587" s="2976"/>
      <c r="S587" s="2976"/>
      <c r="T587" s="2976"/>
      <c r="U587" s="2976"/>
      <c r="V587" s="2976"/>
      <c r="W587" s="2976"/>
      <c r="X587" s="2976"/>
      <c r="Y587" s="2976"/>
      <c r="Z587" s="2976"/>
      <c r="AA587" s="2976"/>
      <c r="AB587" s="2976"/>
      <c r="AC587" s="2976"/>
      <c r="AD587" s="2976"/>
      <c r="AE587" s="2976"/>
      <c r="AF587" s="2976"/>
    </row>
    <row r="588" spans="1:32">
      <c r="A588" s="2972">
        <v>587</v>
      </c>
      <c r="B588" s="2974" t="s">
        <v>3235</v>
      </c>
      <c r="C588" s="2982" t="s">
        <v>3156</v>
      </c>
      <c r="D588" s="2972" t="s">
        <v>3183</v>
      </c>
      <c r="E588" s="2982" t="s">
        <v>3149</v>
      </c>
      <c r="F588" s="2983">
        <v>56.78</v>
      </c>
      <c r="G588" s="2979">
        <v>14.49</v>
      </c>
      <c r="H588" s="2979">
        <v>71.27</v>
      </c>
      <c r="I588" s="2980" t="s">
        <v>3055</v>
      </c>
      <c r="J588" s="2981" t="s">
        <v>3155</v>
      </c>
      <c r="L588" s="2976"/>
      <c r="M588" s="2976"/>
      <c r="N588" s="2976"/>
      <c r="O588" s="2976"/>
      <c r="P588" s="2976"/>
      <c r="Q588" s="2976"/>
      <c r="R588" s="2976"/>
      <c r="S588" s="2976"/>
      <c r="T588" s="2976"/>
      <c r="U588" s="2976"/>
      <c r="V588" s="2976"/>
      <c r="W588" s="2976"/>
      <c r="X588" s="2976"/>
      <c r="Y588" s="2976"/>
      <c r="Z588" s="2976"/>
      <c r="AA588" s="2976"/>
      <c r="AB588" s="2976"/>
      <c r="AC588" s="2976"/>
      <c r="AD588" s="2976"/>
      <c r="AE588" s="2976"/>
      <c r="AF588" s="2976"/>
    </row>
    <row r="589" spans="1:32">
      <c r="A589" s="2972">
        <v>588</v>
      </c>
      <c r="B589" s="2974" t="s">
        <v>3235</v>
      </c>
      <c r="C589" s="2982" t="s">
        <v>3156</v>
      </c>
      <c r="D589" s="2972" t="s">
        <v>3183</v>
      </c>
      <c r="E589" s="2982" t="s">
        <v>3150</v>
      </c>
      <c r="F589" s="2983">
        <v>55.66</v>
      </c>
      <c r="G589" s="2979">
        <v>14.21</v>
      </c>
      <c r="H589" s="2979">
        <v>69.87</v>
      </c>
      <c r="I589" s="2980" t="s">
        <v>3055</v>
      </c>
      <c r="J589" s="2981" t="s">
        <v>3154</v>
      </c>
      <c r="L589" s="2976"/>
      <c r="M589" s="2976"/>
      <c r="N589" s="2976"/>
      <c r="O589" s="2976"/>
      <c r="P589" s="2976"/>
      <c r="Q589" s="2976"/>
      <c r="R589" s="2976"/>
      <c r="S589" s="2976"/>
      <c r="T589" s="2976"/>
      <c r="U589" s="2976"/>
      <c r="V589" s="2976"/>
      <c r="W589" s="2976"/>
      <c r="X589" s="2976"/>
      <c r="Y589" s="2976"/>
      <c r="Z589" s="2976"/>
      <c r="AA589" s="2976"/>
      <c r="AB589" s="2976"/>
      <c r="AC589" s="2976"/>
      <c r="AD589" s="2976"/>
      <c r="AE589" s="2976"/>
      <c r="AF589" s="2976"/>
    </row>
    <row r="590" spans="1:32">
      <c r="A590" s="2972">
        <v>589</v>
      </c>
      <c r="B590" s="2974" t="s">
        <v>3235</v>
      </c>
      <c r="C590" s="2982" t="s">
        <v>3156</v>
      </c>
      <c r="D590" s="2972" t="s">
        <v>3183</v>
      </c>
      <c r="E590" s="2982" t="s">
        <v>3151</v>
      </c>
      <c r="F590" s="2983">
        <v>52.68</v>
      </c>
      <c r="G590" s="2979">
        <v>13.45</v>
      </c>
      <c r="H590" s="2979">
        <v>66.13</v>
      </c>
      <c r="I590" s="2980" t="s">
        <v>3055</v>
      </c>
      <c r="J590" s="2981" t="s">
        <v>3154</v>
      </c>
      <c r="L590" s="2976"/>
      <c r="M590" s="2976"/>
      <c r="N590" s="2976"/>
      <c r="O590" s="2976"/>
      <c r="P590" s="2976"/>
      <c r="Q590" s="2976"/>
      <c r="R590" s="2976"/>
      <c r="S590" s="2976"/>
      <c r="T590" s="2976"/>
      <c r="U590" s="2976"/>
      <c r="V590" s="2976"/>
      <c r="W590" s="2976"/>
      <c r="X590" s="2976"/>
      <c r="Y590" s="2976"/>
      <c r="Z590" s="2976"/>
      <c r="AA590" s="2976"/>
      <c r="AB590" s="2976"/>
      <c r="AC590" s="2976"/>
      <c r="AD590" s="2976"/>
      <c r="AE590" s="2976"/>
      <c r="AF590" s="2976"/>
    </row>
    <row r="591" spans="1:32">
      <c r="A591" s="2972">
        <v>590</v>
      </c>
      <c r="B591" s="2974" t="s">
        <v>3235</v>
      </c>
      <c r="C591" s="2982" t="s">
        <v>3157</v>
      </c>
      <c r="D591" s="2972" t="s">
        <v>3183</v>
      </c>
      <c r="E591" s="2982">
        <v>501</v>
      </c>
      <c r="F591" s="2983">
        <v>55.51</v>
      </c>
      <c r="G591" s="2979">
        <v>14.17</v>
      </c>
      <c r="H591" s="2979">
        <v>69.679999999999993</v>
      </c>
      <c r="I591" s="2980" t="s">
        <v>3055</v>
      </c>
      <c r="J591" s="2981" t="s">
        <v>3154</v>
      </c>
      <c r="L591" s="2976"/>
      <c r="M591" s="2976"/>
      <c r="N591" s="2976"/>
      <c r="O591" s="2976"/>
      <c r="P591" s="2976"/>
      <c r="Q591" s="2976"/>
      <c r="R591" s="2976"/>
      <c r="S591" s="2976"/>
      <c r="T591" s="2976"/>
      <c r="U591" s="2976"/>
      <c r="V591" s="2976"/>
      <c r="W591" s="2976"/>
      <c r="X591" s="2976"/>
      <c r="Y591" s="2976"/>
      <c r="Z591" s="2976"/>
      <c r="AA591" s="2976"/>
      <c r="AB591" s="2976"/>
      <c r="AC591" s="2976"/>
      <c r="AD591" s="2976"/>
      <c r="AE591" s="2976"/>
      <c r="AF591" s="2976"/>
    </row>
    <row r="592" spans="1:32">
      <c r="A592" s="2972">
        <v>591</v>
      </c>
      <c r="B592" s="2974" t="s">
        <v>3235</v>
      </c>
      <c r="C592" s="2982" t="s">
        <v>3157</v>
      </c>
      <c r="D592" s="2972" t="s">
        <v>3183</v>
      </c>
      <c r="E592" s="2982">
        <v>502</v>
      </c>
      <c r="F592" s="2983">
        <v>56.75</v>
      </c>
      <c r="G592" s="2979">
        <v>14.48</v>
      </c>
      <c r="H592" s="2979">
        <v>71.23</v>
      </c>
      <c r="I592" s="2980" t="s">
        <v>3055</v>
      </c>
      <c r="J592" s="2981" t="s">
        <v>3155</v>
      </c>
      <c r="L592" s="2976"/>
      <c r="M592" s="2976"/>
      <c r="N592" s="2976"/>
      <c r="O592" s="2976"/>
      <c r="P592" s="2976"/>
      <c r="Q592" s="2976"/>
      <c r="R592" s="2976"/>
      <c r="S592" s="2976"/>
      <c r="T592" s="2976"/>
      <c r="U592" s="2976"/>
      <c r="V592" s="2976"/>
      <c r="W592" s="2976"/>
      <c r="X592" s="2976"/>
      <c r="Y592" s="2976"/>
      <c r="Z592" s="2976"/>
      <c r="AA592" s="2976"/>
      <c r="AB592" s="2976"/>
      <c r="AC592" s="2976"/>
      <c r="AD592" s="2976"/>
      <c r="AE592" s="2976"/>
      <c r="AF592" s="2976"/>
    </row>
    <row r="593" spans="1:32">
      <c r="A593" s="2972">
        <v>592</v>
      </c>
      <c r="B593" s="2974" t="s">
        <v>3235</v>
      </c>
      <c r="C593" s="2982" t="s">
        <v>3157</v>
      </c>
      <c r="D593" s="2972" t="s">
        <v>3183</v>
      </c>
      <c r="E593" s="2982">
        <v>503</v>
      </c>
      <c r="F593" s="2983">
        <v>56.78</v>
      </c>
      <c r="G593" s="2979">
        <v>14.49</v>
      </c>
      <c r="H593" s="2979">
        <v>71.27</v>
      </c>
      <c r="I593" s="2980" t="s">
        <v>3055</v>
      </c>
      <c r="J593" s="2981" t="s">
        <v>3155</v>
      </c>
      <c r="L593" s="2976"/>
      <c r="M593" s="2976"/>
      <c r="N593" s="2976"/>
      <c r="O593" s="2976"/>
      <c r="P593" s="2976"/>
      <c r="Q593" s="2976"/>
      <c r="R593" s="2976"/>
      <c r="S593" s="2976"/>
      <c r="T593" s="2976"/>
      <c r="U593" s="2976"/>
      <c r="V593" s="2976"/>
      <c r="W593" s="2976"/>
      <c r="X593" s="2976"/>
      <c r="Y593" s="2976"/>
      <c r="Z593" s="2976"/>
      <c r="AA593" s="2976"/>
      <c r="AB593" s="2976"/>
      <c r="AC593" s="2976"/>
      <c r="AD593" s="2976"/>
      <c r="AE593" s="2976"/>
      <c r="AF593" s="2976"/>
    </row>
    <row r="594" spans="1:32">
      <c r="A594" s="2972">
        <v>593</v>
      </c>
      <c r="B594" s="2974" t="s">
        <v>3235</v>
      </c>
      <c r="C594" s="2982" t="s">
        <v>3157</v>
      </c>
      <c r="D594" s="2972" t="s">
        <v>3183</v>
      </c>
      <c r="E594" s="2982">
        <v>505</v>
      </c>
      <c r="F594" s="2983">
        <v>56.78</v>
      </c>
      <c r="G594" s="2979">
        <v>14.49</v>
      </c>
      <c r="H594" s="2979">
        <v>71.27</v>
      </c>
      <c r="I594" s="2980" t="s">
        <v>3055</v>
      </c>
      <c r="J594" s="2981" t="s">
        <v>3155</v>
      </c>
      <c r="L594" s="2976"/>
      <c r="M594" s="2976"/>
      <c r="N594" s="2976"/>
      <c r="O594" s="2976"/>
      <c r="P594" s="2976"/>
      <c r="Q594" s="2976"/>
      <c r="R594" s="2976"/>
      <c r="S594" s="2976"/>
      <c r="T594" s="2976"/>
      <c r="U594" s="2976"/>
      <c r="V594" s="2976"/>
      <c r="W594" s="2976"/>
      <c r="X594" s="2976"/>
      <c r="Y594" s="2976"/>
      <c r="Z594" s="2976"/>
      <c r="AA594" s="2976"/>
      <c r="AB594" s="2976"/>
      <c r="AC594" s="2976"/>
      <c r="AD594" s="2976"/>
      <c r="AE594" s="2976"/>
      <c r="AF594" s="2976"/>
    </row>
    <row r="595" spans="1:32">
      <c r="A595" s="2972">
        <v>594</v>
      </c>
      <c r="B595" s="2974" t="s">
        <v>3235</v>
      </c>
      <c r="C595" s="2982" t="s">
        <v>3157</v>
      </c>
      <c r="D595" s="2972" t="s">
        <v>3183</v>
      </c>
      <c r="E595" s="2982">
        <v>506</v>
      </c>
      <c r="F595" s="2983">
        <v>56.78</v>
      </c>
      <c r="G595" s="2979">
        <v>14.49</v>
      </c>
      <c r="H595" s="2979">
        <v>71.27</v>
      </c>
      <c r="I595" s="2980" t="s">
        <v>3055</v>
      </c>
      <c r="J595" s="2981" t="s">
        <v>3155</v>
      </c>
      <c r="L595" s="2976"/>
      <c r="M595" s="2976"/>
      <c r="N595" s="2976"/>
      <c r="O595" s="2976"/>
      <c r="P595" s="2976"/>
      <c r="Q595" s="2976"/>
      <c r="R595" s="2976"/>
      <c r="S595" s="2976"/>
      <c r="T595" s="2976"/>
      <c r="U595" s="2976"/>
      <c r="V595" s="2976"/>
      <c r="W595" s="2976"/>
      <c r="X595" s="2976"/>
      <c r="Y595" s="2976"/>
      <c r="Z595" s="2976"/>
      <c r="AA595" s="2976"/>
      <c r="AB595" s="2976"/>
      <c r="AC595" s="2976"/>
      <c r="AD595" s="2976"/>
      <c r="AE595" s="2976"/>
      <c r="AF595" s="2976"/>
    </row>
    <row r="596" spans="1:32">
      <c r="A596" s="2972">
        <v>595</v>
      </c>
      <c r="B596" s="2974" t="s">
        <v>3235</v>
      </c>
      <c r="C596" s="2982" t="s">
        <v>3157</v>
      </c>
      <c r="D596" s="2972" t="s">
        <v>3183</v>
      </c>
      <c r="E596" s="2982">
        <v>507</v>
      </c>
      <c r="F596" s="2983">
        <v>55.66</v>
      </c>
      <c r="G596" s="2979">
        <v>14.21</v>
      </c>
      <c r="H596" s="2979">
        <v>69.87</v>
      </c>
      <c r="I596" s="2980" t="s">
        <v>3055</v>
      </c>
      <c r="J596" s="2981" t="s">
        <v>3154</v>
      </c>
      <c r="L596" s="2976"/>
      <c r="M596" s="2976"/>
      <c r="N596" s="2976"/>
      <c r="O596" s="2976"/>
      <c r="P596" s="2976"/>
      <c r="Q596" s="2976"/>
      <c r="R596" s="2976"/>
      <c r="S596" s="2976"/>
      <c r="T596" s="2976"/>
      <c r="U596" s="2976"/>
      <c r="V596" s="2976"/>
      <c r="W596" s="2976"/>
      <c r="X596" s="2976"/>
      <c r="Y596" s="2976"/>
      <c r="Z596" s="2976"/>
      <c r="AA596" s="2976"/>
      <c r="AB596" s="2976"/>
      <c r="AC596" s="2976"/>
      <c r="AD596" s="2976"/>
      <c r="AE596" s="2976"/>
      <c r="AF596" s="2976"/>
    </row>
    <row r="597" spans="1:32">
      <c r="A597" s="2972">
        <v>596</v>
      </c>
      <c r="B597" s="2974" t="s">
        <v>3235</v>
      </c>
      <c r="C597" s="2982" t="s">
        <v>3157</v>
      </c>
      <c r="D597" s="2972" t="s">
        <v>3183</v>
      </c>
      <c r="E597" s="2982">
        <v>508</v>
      </c>
      <c r="F597" s="2983">
        <v>52.68</v>
      </c>
      <c r="G597" s="2979">
        <v>13.45</v>
      </c>
      <c r="H597" s="2979">
        <v>66.13</v>
      </c>
      <c r="I597" s="2980" t="s">
        <v>3055</v>
      </c>
      <c r="J597" s="2981" t="s">
        <v>3154</v>
      </c>
      <c r="L597" s="2976"/>
      <c r="M597" s="2976"/>
      <c r="N597" s="2976"/>
      <c r="O597" s="2976"/>
      <c r="P597" s="2976"/>
      <c r="Q597" s="2976"/>
      <c r="R597" s="2976"/>
      <c r="S597" s="2976"/>
      <c r="T597" s="2976"/>
      <c r="U597" s="2976"/>
      <c r="V597" s="2976"/>
      <c r="W597" s="2976"/>
      <c r="X597" s="2976"/>
      <c r="Y597" s="2976"/>
      <c r="Z597" s="2976"/>
      <c r="AA597" s="2976"/>
      <c r="AB597" s="2976"/>
      <c r="AC597" s="2976"/>
      <c r="AD597" s="2976"/>
      <c r="AE597" s="2976"/>
      <c r="AF597" s="2976"/>
    </row>
    <row r="598" spans="1:32">
      <c r="A598" s="2972">
        <v>597</v>
      </c>
      <c r="B598" s="2974" t="s">
        <v>3236</v>
      </c>
      <c r="C598" s="2982" t="s">
        <v>3152</v>
      </c>
      <c r="D598" s="2972" t="s">
        <v>3183</v>
      </c>
      <c r="E598" s="2982">
        <v>101</v>
      </c>
      <c r="F598" s="2983">
        <v>54.01</v>
      </c>
      <c r="G598" s="2979">
        <v>12.99</v>
      </c>
      <c r="H598" s="2979">
        <v>67</v>
      </c>
      <c r="I598" s="2974" t="s">
        <v>3055</v>
      </c>
      <c r="J598" s="2981" t="s">
        <v>3154</v>
      </c>
      <c r="L598" s="2976"/>
      <c r="M598" s="2976"/>
      <c r="N598" s="2976"/>
      <c r="O598" s="2976"/>
      <c r="P598" s="2976"/>
      <c r="Q598" s="2976"/>
      <c r="R598" s="2976"/>
      <c r="S598" s="2976"/>
      <c r="T598" s="2976"/>
      <c r="U598" s="2976"/>
      <c r="V598" s="2976"/>
      <c r="W598" s="2976"/>
      <c r="X598" s="2976"/>
      <c r="Y598" s="2976"/>
      <c r="Z598" s="2976"/>
      <c r="AA598" s="2976"/>
      <c r="AB598" s="2976"/>
      <c r="AC598" s="2976"/>
      <c r="AD598" s="2976"/>
      <c r="AE598" s="2976"/>
      <c r="AF598" s="2976"/>
    </row>
    <row r="599" spans="1:32">
      <c r="A599" s="2972">
        <v>598</v>
      </c>
      <c r="B599" s="2974" t="s">
        <v>3236</v>
      </c>
      <c r="C599" s="2982" t="s">
        <v>3152</v>
      </c>
      <c r="D599" s="2972" t="s">
        <v>3183</v>
      </c>
      <c r="E599" s="2982">
        <v>102</v>
      </c>
      <c r="F599" s="2983">
        <v>56.75</v>
      </c>
      <c r="G599" s="2979">
        <v>13.65</v>
      </c>
      <c r="H599" s="2979">
        <v>70.400000000000006</v>
      </c>
      <c r="I599" s="2974" t="s">
        <v>3055</v>
      </c>
      <c r="J599" s="2981" t="s">
        <v>3155</v>
      </c>
      <c r="L599" s="2976"/>
      <c r="M599" s="2976"/>
      <c r="N599" s="2976"/>
      <c r="O599" s="2976"/>
      <c r="P599" s="2976"/>
      <c r="Q599" s="2976"/>
      <c r="R599" s="2976"/>
      <c r="S599" s="2976"/>
      <c r="T599" s="2976"/>
      <c r="U599" s="2976"/>
      <c r="V599" s="2976"/>
      <c r="W599" s="2976"/>
      <c r="X599" s="2976"/>
      <c r="Y599" s="2976"/>
      <c r="Z599" s="2976"/>
      <c r="AA599" s="2976"/>
      <c r="AB599" s="2976"/>
      <c r="AC599" s="2976"/>
      <c r="AD599" s="2976"/>
      <c r="AE599" s="2976"/>
      <c r="AF599" s="2976"/>
    </row>
    <row r="600" spans="1:32">
      <c r="A600" s="2972">
        <v>599</v>
      </c>
      <c r="B600" s="2974" t="s">
        <v>3236</v>
      </c>
      <c r="C600" s="2982" t="s">
        <v>3152</v>
      </c>
      <c r="D600" s="2972" t="s">
        <v>3183</v>
      </c>
      <c r="E600" s="2982">
        <v>103</v>
      </c>
      <c r="F600" s="2983">
        <v>56.78</v>
      </c>
      <c r="G600" s="2979">
        <v>13.66</v>
      </c>
      <c r="H600" s="2979">
        <v>70.44</v>
      </c>
      <c r="I600" s="2974" t="s">
        <v>3055</v>
      </c>
      <c r="J600" s="2981" t="s">
        <v>3155</v>
      </c>
      <c r="L600" s="2976"/>
      <c r="M600" s="2976"/>
      <c r="N600" s="2976"/>
      <c r="O600" s="2976"/>
      <c r="P600" s="2976"/>
      <c r="Q600" s="2976"/>
      <c r="R600" s="2976"/>
      <c r="S600" s="2976"/>
      <c r="T600" s="2976"/>
      <c r="U600" s="2976"/>
      <c r="V600" s="2976"/>
      <c r="W600" s="2976"/>
      <c r="X600" s="2976"/>
      <c r="Y600" s="2976"/>
      <c r="Z600" s="2976"/>
      <c r="AA600" s="2976"/>
      <c r="AB600" s="2976"/>
      <c r="AC600" s="2976"/>
      <c r="AD600" s="2976"/>
      <c r="AE600" s="2976"/>
      <c r="AF600" s="2976"/>
    </row>
    <row r="601" spans="1:32">
      <c r="A601" s="2972">
        <v>600</v>
      </c>
      <c r="B601" s="2974" t="s">
        <v>3236</v>
      </c>
      <c r="C601" s="2982" t="s">
        <v>3152</v>
      </c>
      <c r="D601" s="2972" t="s">
        <v>3183</v>
      </c>
      <c r="E601" s="2982">
        <v>105</v>
      </c>
      <c r="F601" s="2983">
        <v>56.75</v>
      </c>
      <c r="G601" s="2979">
        <v>13.65</v>
      </c>
      <c r="H601" s="2979">
        <v>70.400000000000006</v>
      </c>
      <c r="I601" s="2974" t="s">
        <v>3055</v>
      </c>
      <c r="J601" s="2981" t="s">
        <v>3155</v>
      </c>
      <c r="L601" s="2976"/>
      <c r="M601" s="2976"/>
      <c r="N601" s="2976"/>
      <c r="O601" s="2976"/>
      <c r="P601" s="2976"/>
      <c r="Q601" s="2976"/>
      <c r="R601" s="2976"/>
      <c r="S601" s="2976"/>
      <c r="T601" s="2976"/>
      <c r="U601" s="2976"/>
      <c r="V601" s="2976"/>
      <c r="W601" s="2976"/>
      <c r="X601" s="2976"/>
      <c r="Y601" s="2976"/>
      <c r="Z601" s="2976"/>
      <c r="AA601" s="2976"/>
      <c r="AB601" s="2976"/>
      <c r="AC601" s="2976"/>
      <c r="AD601" s="2976"/>
      <c r="AE601" s="2976"/>
      <c r="AF601" s="2976"/>
    </row>
    <row r="602" spans="1:32">
      <c r="A602" s="2972">
        <v>601</v>
      </c>
      <c r="B602" s="2974" t="s">
        <v>3236</v>
      </c>
      <c r="C602" s="2982" t="s">
        <v>3159</v>
      </c>
      <c r="D602" s="2972" t="s">
        <v>3183</v>
      </c>
      <c r="E602" s="2982">
        <v>201</v>
      </c>
      <c r="F602" s="2983">
        <v>54.01</v>
      </c>
      <c r="G602" s="2979">
        <v>12.99</v>
      </c>
      <c r="H602" s="2979">
        <v>67</v>
      </c>
      <c r="I602" s="2974" t="s">
        <v>3055</v>
      </c>
      <c r="J602" s="2981" t="s">
        <v>3154</v>
      </c>
      <c r="L602" s="2976"/>
      <c r="M602" s="2976"/>
      <c r="N602" s="2976"/>
      <c r="O602" s="2976"/>
      <c r="P602" s="2976"/>
      <c r="Q602" s="2976"/>
      <c r="R602" s="2976"/>
      <c r="S602" s="2976"/>
      <c r="T602" s="2976"/>
      <c r="U602" s="2976"/>
      <c r="V602" s="2976"/>
      <c r="W602" s="2976"/>
      <c r="X602" s="2976"/>
      <c r="Y602" s="2976"/>
      <c r="Z602" s="2976"/>
      <c r="AA602" s="2976"/>
      <c r="AB602" s="2976"/>
      <c r="AC602" s="2976"/>
      <c r="AD602" s="2976"/>
      <c r="AE602" s="2976"/>
      <c r="AF602" s="2976"/>
    </row>
    <row r="603" spans="1:32">
      <c r="A603" s="2972">
        <v>602</v>
      </c>
      <c r="B603" s="2974" t="s">
        <v>3236</v>
      </c>
      <c r="C603" s="2982" t="s">
        <v>3159</v>
      </c>
      <c r="D603" s="2972" t="s">
        <v>3183</v>
      </c>
      <c r="E603" s="2982">
        <v>202</v>
      </c>
      <c r="F603" s="2983">
        <v>56.75</v>
      </c>
      <c r="G603" s="2979">
        <v>13.65</v>
      </c>
      <c r="H603" s="2979">
        <v>70.400000000000006</v>
      </c>
      <c r="I603" s="2974" t="s">
        <v>3055</v>
      </c>
      <c r="J603" s="2981" t="s">
        <v>3155</v>
      </c>
      <c r="L603" s="2976"/>
      <c r="M603" s="2976"/>
      <c r="N603" s="2976"/>
      <c r="O603" s="2976"/>
      <c r="P603" s="2976"/>
      <c r="Q603" s="2976"/>
      <c r="R603" s="2976"/>
      <c r="S603" s="2976"/>
      <c r="T603" s="2976"/>
      <c r="U603" s="2976"/>
      <c r="V603" s="2976"/>
      <c r="W603" s="2976"/>
      <c r="X603" s="2976"/>
      <c r="Y603" s="2976"/>
      <c r="Z603" s="2976"/>
      <c r="AA603" s="2976"/>
      <c r="AB603" s="2976"/>
      <c r="AC603" s="2976"/>
      <c r="AD603" s="2976"/>
      <c r="AE603" s="2976"/>
      <c r="AF603" s="2976"/>
    </row>
    <row r="604" spans="1:32">
      <c r="A604" s="2972">
        <v>603</v>
      </c>
      <c r="B604" s="2974" t="s">
        <v>3236</v>
      </c>
      <c r="C604" s="2982" t="s">
        <v>3159</v>
      </c>
      <c r="D604" s="2972" t="s">
        <v>3183</v>
      </c>
      <c r="E604" s="2982">
        <v>203</v>
      </c>
      <c r="F604" s="2983">
        <v>56.78</v>
      </c>
      <c r="G604" s="2979">
        <v>13.66</v>
      </c>
      <c r="H604" s="2979">
        <v>70.44</v>
      </c>
      <c r="I604" s="2974" t="s">
        <v>3055</v>
      </c>
      <c r="J604" s="2981" t="s">
        <v>3155</v>
      </c>
      <c r="L604" s="2976"/>
      <c r="M604" s="2976"/>
      <c r="N604" s="2976"/>
      <c r="O604" s="2976"/>
      <c r="P604" s="2976"/>
      <c r="Q604" s="2976"/>
      <c r="R604" s="2976"/>
      <c r="S604" s="2976"/>
      <c r="T604" s="2976"/>
      <c r="U604" s="2976"/>
      <c r="V604" s="2976"/>
      <c r="W604" s="2976"/>
      <c r="X604" s="2976"/>
      <c r="Y604" s="2976"/>
      <c r="Z604" s="2976"/>
      <c r="AA604" s="2976"/>
      <c r="AB604" s="2976"/>
      <c r="AC604" s="2976"/>
      <c r="AD604" s="2976"/>
      <c r="AE604" s="2976"/>
      <c r="AF604" s="2976"/>
    </row>
    <row r="605" spans="1:32">
      <c r="A605" s="2972">
        <v>604</v>
      </c>
      <c r="B605" s="2974" t="s">
        <v>3236</v>
      </c>
      <c r="C605" s="2982" t="s">
        <v>3159</v>
      </c>
      <c r="D605" s="2972" t="s">
        <v>3183</v>
      </c>
      <c r="E605" s="2982">
        <v>205</v>
      </c>
      <c r="F605" s="2983">
        <v>56.78</v>
      </c>
      <c r="G605" s="2979">
        <v>13.66</v>
      </c>
      <c r="H605" s="2979">
        <v>70.44</v>
      </c>
      <c r="I605" s="2974" t="s">
        <v>3055</v>
      </c>
      <c r="J605" s="2981" t="s">
        <v>3155</v>
      </c>
      <c r="L605" s="2976"/>
      <c r="M605" s="2976"/>
      <c r="N605" s="2976"/>
      <c r="O605" s="2976"/>
      <c r="P605" s="2976"/>
      <c r="Q605" s="2976"/>
      <c r="R605" s="2976"/>
      <c r="S605" s="2976"/>
      <c r="T605" s="2976"/>
      <c r="U605" s="2976"/>
      <c r="V605" s="2976"/>
      <c r="W605" s="2976"/>
      <c r="X605" s="2976"/>
      <c r="Y605" s="2976"/>
      <c r="Z605" s="2976"/>
      <c r="AA605" s="2976"/>
      <c r="AB605" s="2976"/>
      <c r="AC605" s="2976"/>
      <c r="AD605" s="2976"/>
      <c r="AE605" s="2976"/>
      <c r="AF605" s="2976"/>
    </row>
    <row r="606" spans="1:32">
      <c r="A606" s="2972">
        <v>605</v>
      </c>
      <c r="B606" s="2974" t="s">
        <v>3236</v>
      </c>
      <c r="C606" s="2982" t="s">
        <v>3159</v>
      </c>
      <c r="D606" s="2972" t="s">
        <v>3183</v>
      </c>
      <c r="E606" s="2982">
        <v>206</v>
      </c>
      <c r="F606" s="2983">
        <v>56.75</v>
      </c>
      <c r="G606" s="2979">
        <v>13.65</v>
      </c>
      <c r="H606" s="2979">
        <v>70.400000000000006</v>
      </c>
      <c r="I606" s="2974" t="s">
        <v>3055</v>
      </c>
      <c r="J606" s="2981" t="s">
        <v>3155</v>
      </c>
      <c r="L606" s="2976"/>
      <c r="M606" s="2976"/>
      <c r="N606" s="2976"/>
      <c r="O606" s="2976"/>
      <c r="P606" s="2976"/>
      <c r="Q606" s="2976"/>
      <c r="R606" s="2976"/>
      <c r="S606" s="2976"/>
      <c r="T606" s="2976"/>
      <c r="U606" s="2976"/>
      <c r="V606" s="2976"/>
      <c r="W606" s="2976"/>
      <c r="X606" s="2976"/>
      <c r="Y606" s="2976"/>
      <c r="Z606" s="2976"/>
      <c r="AA606" s="2976"/>
      <c r="AB606" s="2976"/>
      <c r="AC606" s="2976"/>
      <c r="AD606" s="2976"/>
      <c r="AE606" s="2976"/>
      <c r="AF606" s="2976"/>
    </row>
    <row r="607" spans="1:32">
      <c r="A607" s="2972">
        <v>606</v>
      </c>
      <c r="B607" s="2974" t="s">
        <v>3236</v>
      </c>
      <c r="C607" s="2982" t="s">
        <v>3153</v>
      </c>
      <c r="D607" s="2972" t="s">
        <v>3183</v>
      </c>
      <c r="E607" s="2982">
        <v>301</v>
      </c>
      <c r="F607" s="2983">
        <v>54.01</v>
      </c>
      <c r="G607" s="2979">
        <v>12.99</v>
      </c>
      <c r="H607" s="2979">
        <v>67</v>
      </c>
      <c r="I607" s="2974" t="s">
        <v>3055</v>
      </c>
      <c r="J607" s="2981" t="s">
        <v>3154</v>
      </c>
      <c r="L607" s="2976"/>
      <c r="M607" s="2976"/>
      <c r="N607" s="2976"/>
      <c r="O607" s="2976"/>
      <c r="P607" s="2976"/>
      <c r="Q607" s="2976"/>
      <c r="R607" s="2976"/>
      <c r="S607" s="2976"/>
      <c r="T607" s="2976"/>
      <c r="U607" s="2976"/>
      <c r="V607" s="2976"/>
      <c r="W607" s="2976"/>
      <c r="X607" s="2976"/>
      <c r="Y607" s="2976"/>
      <c r="Z607" s="2976"/>
      <c r="AA607" s="2976"/>
      <c r="AB607" s="2976"/>
      <c r="AC607" s="2976"/>
      <c r="AD607" s="2976"/>
      <c r="AE607" s="2976"/>
      <c r="AF607" s="2976"/>
    </row>
    <row r="608" spans="1:32">
      <c r="A608" s="2972">
        <v>607</v>
      </c>
      <c r="B608" s="2974" t="s">
        <v>3236</v>
      </c>
      <c r="C608" s="2982" t="s">
        <v>3153</v>
      </c>
      <c r="D608" s="2972" t="s">
        <v>3183</v>
      </c>
      <c r="E608" s="2982">
        <v>302</v>
      </c>
      <c r="F608" s="2983">
        <v>56.75</v>
      </c>
      <c r="G608" s="2979">
        <v>13.65</v>
      </c>
      <c r="H608" s="2979">
        <v>70.400000000000006</v>
      </c>
      <c r="I608" s="2974" t="s">
        <v>3055</v>
      </c>
      <c r="J608" s="2981" t="s">
        <v>3155</v>
      </c>
      <c r="L608" s="2976"/>
      <c r="M608" s="2976"/>
      <c r="N608" s="2976"/>
      <c r="O608" s="2976"/>
      <c r="P608" s="2976"/>
      <c r="Q608" s="2976"/>
      <c r="R608" s="2976"/>
      <c r="S608" s="2976"/>
      <c r="T608" s="2976"/>
      <c r="U608" s="2976"/>
      <c r="V608" s="2976"/>
      <c r="W608" s="2976"/>
      <c r="X608" s="2976"/>
      <c r="Y608" s="2976"/>
      <c r="Z608" s="2976"/>
      <c r="AA608" s="2976"/>
      <c r="AB608" s="2976"/>
      <c r="AC608" s="2976"/>
      <c r="AD608" s="2976"/>
      <c r="AE608" s="2976"/>
      <c r="AF608" s="2976"/>
    </row>
    <row r="609" spans="1:32">
      <c r="A609" s="2972">
        <v>608</v>
      </c>
      <c r="B609" s="2974" t="s">
        <v>3236</v>
      </c>
      <c r="C609" s="2982" t="s">
        <v>3153</v>
      </c>
      <c r="D609" s="2972" t="s">
        <v>3183</v>
      </c>
      <c r="E609" s="2982">
        <v>303</v>
      </c>
      <c r="F609" s="2983">
        <v>56.78</v>
      </c>
      <c r="G609" s="2979">
        <v>13.66</v>
      </c>
      <c r="H609" s="2979">
        <v>70.44</v>
      </c>
      <c r="I609" s="2974" t="s">
        <v>3055</v>
      </c>
      <c r="J609" s="2981" t="s">
        <v>3155</v>
      </c>
      <c r="L609" s="2976"/>
      <c r="M609" s="2976"/>
      <c r="N609" s="2976"/>
      <c r="O609" s="2976"/>
      <c r="P609" s="2976"/>
      <c r="Q609" s="2976"/>
      <c r="R609" s="2976"/>
      <c r="S609" s="2976"/>
      <c r="T609" s="2976"/>
      <c r="U609" s="2976"/>
      <c r="V609" s="2976"/>
      <c r="W609" s="2976"/>
      <c r="X609" s="2976"/>
      <c r="Y609" s="2976"/>
      <c r="Z609" s="2976"/>
      <c r="AA609" s="2976"/>
      <c r="AB609" s="2976"/>
      <c r="AC609" s="2976"/>
      <c r="AD609" s="2976"/>
      <c r="AE609" s="2976"/>
      <c r="AF609" s="2976"/>
    </row>
    <row r="610" spans="1:32">
      <c r="A610" s="2972">
        <v>609</v>
      </c>
      <c r="B610" s="2974" t="s">
        <v>3236</v>
      </c>
      <c r="C610" s="2982" t="s">
        <v>3153</v>
      </c>
      <c r="D610" s="2972" t="s">
        <v>3183</v>
      </c>
      <c r="E610" s="2982">
        <v>305</v>
      </c>
      <c r="F610" s="2983">
        <v>56.78</v>
      </c>
      <c r="G610" s="2979">
        <v>13.66</v>
      </c>
      <c r="H610" s="2979">
        <v>70.44</v>
      </c>
      <c r="I610" s="2974" t="s">
        <v>3055</v>
      </c>
      <c r="J610" s="2981" t="s">
        <v>3155</v>
      </c>
      <c r="L610" s="2976"/>
      <c r="M610" s="2976"/>
      <c r="N610" s="2976"/>
      <c r="O610" s="2976"/>
      <c r="P610" s="2976"/>
      <c r="Q610" s="2976"/>
      <c r="R610" s="2976"/>
      <c r="S610" s="2976"/>
      <c r="T610" s="2976"/>
      <c r="U610" s="2976"/>
      <c r="V610" s="2976"/>
      <c r="W610" s="2976"/>
      <c r="X610" s="2976"/>
      <c r="Y610" s="2976"/>
      <c r="Z610" s="2976"/>
      <c r="AA610" s="2976"/>
      <c r="AB610" s="2976"/>
      <c r="AC610" s="2976"/>
      <c r="AD610" s="2976"/>
      <c r="AE610" s="2976"/>
      <c r="AF610" s="2976"/>
    </row>
    <row r="611" spans="1:32">
      <c r="A611" s="2972">
        <v>610</v>
      </c>
      <c r="B611" s="2974" t="s">
        <v>3236</v>
      </c>
      <c r="C611" s="2982" t="s">
        <v>3153</v>
      </c>
      <c r="D611" s="2972" t="s">
        <v>3183</v>
      </c>
      <c r="E611" s="2982">
        <v>306</v>
      </c>
      <c r="F611" s="2983">
        <v>56.75</v>
      </c>
      <c r="G611" s="2979">
        <v>13.65</v>
      </c>
      <c r="H611" s="2979">
        <v>70.400000000000006</v>
      </c>
      <c r="I611" s="2974" t="s">
        <v>3055</v>
      </c>
      <c r="J611" s="2981" t="s">
        <v>3155</v>
      </c>
      <c r="L611" s="2976"/>
      <c r="M611" s="2976"/>
      <c r="N611" s="2976"/>
      <c r="O611" s="2976"/>
      <c r="P611" s="2976"/>
      <c r="Q611" s="2976"/>
      <c r="R611" s="2976"/>
      <c r="S611" s="2976"/>
      <c r="T611" s="2976"/>
      <c r="U611" s="2976"/>
      <c r="V611" s="2976"/>
      <c r="W611" s="2976"/>
      <c r="X611" s="2976"/>
      <c r="Y611" s="2976"/>
      <c r="Z611" s="2976"/>
      <c r="AA611" s="2976"/>
      <c r="AB611" s="2976"/>
      <c r="AC611" s="2976"/>
      <c r="AD611" s="2976"/>
      <c r="AE611" s="2976"/>
      <c r="AF611" s="2976"/>
    </row>
    <row r="612" spans="1:32">
      <c r="A612" s="2972">
        <v>611</v>
      </c>
      <c r="B612" s="2974" t="s">
        <v>3236</v>
      </c>
      <c r="C612" s="2982" t="s">
        <v>3153</v>
      </c>
      <c r="D612" s="2972" t="s">
        <v>3183</v>
      </c>
      <c r="E612" s="2982">
        <v>307</v>
      </c>
      <c r="F612" s="2983">
        <v>54.01</v>
      </c>
      <c r="G612" s="2979">
        <v>12.99</v>
      </c>
      <c r="H612" s="2979">
        <v>67</v>
      </c>
      <c r="I612" s="2974" t="s">
        <v>3055</v>
      </c>
      <c r="J612" s="2981" t="s">
        <v>3154</v>
      </c>
      <c r="L612" s="2976"/>
      <c r="M612" s="2976"/>
      <c r="N612" s="2976"/>
      <c r="O612" s="2976"/>
      <c r="P612" s="2976"/>
      <c r="Q612" s="2976"/>
      <c r="R612" s="2976"/>
      <c r="S612" s="2976"/>
      <c r="T612" s="2976"/>
      <c r="U612" s="2976"/>
      <c r="V612" s="2976"/>
      <c r="W612" s="2976"/>
      <c r="X612" s="2976"/>
      <c r="Y612" s="2976"/>
      <c r="Z612" s="2976"/>
      <c r="AA612" s="2976"/>
      <c r="AB612" s="2976"/>
      <c r="AC612" s="2976"/>
      <c r="AD612" s="2976"/>
      <c r="AE612" s="2976"/>
      <c r="AF612" s="2976"/>
    </row>
    <row r="613" spans="1:32">
      <c r="A613" s="2972">
        <v>612</v>
      </c>
      <c r="B613" s="2974" t="s">
        <v>3236</v>
      </c>
      <c r="C613" s="2982" t="s">
        <v>3156</v>
      </c>
      <c r="D613" s="2972" t="s">
        <v>3183</v>
      </c>
      <c r="E613" s="2982" t="s">
        <v>3145</v>
      </c>
      <c r="F613" s="2983">
        <v>54.01</v>
      </c>
      <c r="G613" s="2979">
        <v>12.99</v>
      </c>
      <c r="H613" s="2979">
        <v>67</v>
      </c>
      <c r="I613" s="2974" t="s">
        <v>3055</v>
      </c>
      <c r="J613" s="2981" t="s">
        <v>3154</v>
      </c>
      <c r="L613" s="2976"/>
      <c r="M613" s="2976"/>
      <c r="N613" s="2976"/>
      <c r="O613" s="2976"/>
      <c r="P613" s="2976"/>
      <c r="Q613" s="2976"/>
      <c r="R613" s="2976"/>
      <c r="S613" s="2976"/>
      <c r="T613" s="2976"/>
      <c r="U613" s="2976"/>
      <c r="V613" s="2976"/>
      <c r="W613" s="2976"/>
      <c r="X613" s="2976"/>
      <c r="Y613" s="2976"/>
      <c r="Z613" s="2976"/>
      <c r="AA613" s="2976"/>
      <c r="AB613" s="2976"/>
      <c r="AC613" s="2976"/>
      <c r="AD613" s="2976"/>
      <c r="AE613" s="2976"/>
      <c r="AF613" s="2976"/>
    </row>
    <row r="614" spans="1:32">
      <c r="A614" s="2972">
        <v>613</v>
      </c>
      <c r="B614" s="2974" t="s">
        <v>3236</v>
      </c>
      <c r="C614" s="2982" t="s">
        <v>3156</v>
      </c>
      <c r="D614" s="2972" t="s">
        <v>3183</v>
      </c>
      <c r="E614" s="2982" t="s">
        <v>3146</v>
      </c>
      <c r="F614" s="2983">
        <v>56.75</v>
      </c>
      <c r="G614" s="2979">
        <v>13.65</v>
      </c>
      <c r="H614" s="2979">
        <v>70.400000000000006</v>
      </c>
      <c r="I614" s="2974" t="s">
        <v>3055</v>
      </c>
      <c r="J614" s="2981" t="s">
        <v>3155</v>
      </c>
      <c r="L614" s="2976"/>
      <c r="M614" s="2976"/>
      <c r="N614" s="2976"/>
      <c r="O614" s="2976"/>
      <c r="P614" s="2976"/>
      <c r="Q614" s="2976"/>
      <c r="R614" s="2976"/>
      <c r="S614" s="2976"/>
      <c r="T614" s="2976"/>
      <c r="U614" s="2976"/>
      <c r="V614" s="2976"/>
      <c r="W614" s="2976"/>
      <c r="X614" s="2976"/>
      <c r="Y614" s="2976"/>
      <c r="Z614" s="2976"/>
      <c r="AA614" s="2976"/>
      <c r="AB614" s="2976"/>
      <c r="AC614" s="2976"/>
      <c r="AD614" s="2976"/>
      <c r="AE614" s="2976"/>
      <c r="AF614" s="2976"/>
    </row>
    <row r="615" spans="1:32">
      <c r="A615" s="2972">
        <v>614</v>
      </c>
      <c r="B615" s="2974" t="s">
        <v>3236</v>
      </c>
      <c r="C615" s="2982" t="s">
        <v>3156</v>
      </c>
      <c r="D615" s="2972" t="s">
        <v>3183</v>
      </c>
      <c r="E615" s="2982" t="s">
        <v>3147</v>
      </c>
      <c r="F615" s="2983">
        <v>56.78</v>
      </c>
      <c r="G615" s="2979">
        <v>13.66</v>
      </c>
      <c r="H615" s="2979">
        <v>70.44</v>
      </c>
      <c r="I615" s="2974" t="s">
        <v>3055</v>
      </c>
      <c r="J615" s="2981" t="s">
        <v>3155</v>
      </c>
      <c r="L615" s="2976"/>
      <c r="M615" s="2976"/>
      <c r="N615" s="2976"/>
      <c r="O615" s="2976"/>
      <c r="P615" s="2976"/>
      <c r="Q615" s="2976"/>
      <c r="R615" s="2976"/>
      <c r="S615" s="2976"/>
      <c r="T615" s="2976"/>
      <c r="U615" s="2976"/>
      <c r="V615" s="2976"/>
      <c r="W615" s="2976"/>
      <c r="X615" s="2976"/>
      <c r="Y615" s="2976"/>
      <c r="Z615" s="2976"/>
      <c r="AA615" s="2976"/>
      <c r="AB615" s="2976"/>
      <c r="AC615" s="2976"/>
      <c r="AD615" s="2976"/>
      <c r="AE615" s="2976"/>
      <c r="AF615" s="2976"/>
    </row>
    <row r="616" spans="1:32">
      <c r="A616" s="2972">
        <v>615</v>
      </c>
      <c r="B616" s="2974" t="s">
        <v>3236</v>
      </c>
      <c r="C616" s="2982" t="s">
        <v>3156</v>
      </c>
      <c r="D616" s="2972" t="s">
        <v>3183</v>
      </c>
      <c r="E616" s="2982" t="s">
        <v>3148</v>
      </c>
      <c r="F616" s="2983">
        <v>56.78</v>
      </c>
      <c r="G616" s="2979">
        <v>13.66</v>
      </c>
      <c r="H616" s="2979">
        <v>70.44</v>
      </c>
      <c r="I616" s="2974" t="s">
        <v>3055</v>
      </c>
      <c r="J616" s="2981" t="s">
        <v>3155</v>
      </c>
      <c r="L616" s="2976"/>
      <c r="M616" s="2976"/>
      <c r="N616" s="2976"/>
      <c r="O616" s="2976"/>
      <c r="P616" s="2976"/>
      <c r="Q616" s="2976"/>
      <c r="R616" s="2976"/>
      <c r="S616" s="2976"/>
      <c r="T616" s="2976"/>
      <c r="U616" s="2976"/>
      <c r="V616" s="2976"/>
      <c r="W616" s="2976"/>
      <c r="X616" s="2976"/>
      <c r="Y616" s="2976"/>
      <c r="Z616" s="2976"/>
      <c r="AA616" s="2976"/>
      <c r="AB616" s="2976"/>
      <c r="AC616" s="2976"/>
      <c r="AD616" s="2976"/>
      <c r="AE616" s="2976"/>
      <c r="AF616" s="2976"/>
    </row>
    <row r="617" spans="1:32">
      <c r="A617" s="2972">
        <v>616</v>
      </c>
      <c r="B617" s="2974" t="s">
        <v>3236</v>
      </c>
      <c r="C617" s="2982" t="s">
        <v>3156</v>
      </c>
      <c r="D617" s="2972" t="s">
        <v>3183</v>
      </c>
      <c r="E617" s="2982" t="s">
        <v>3149</v>
      </c>
      <c r="F617" s="2983">
        <v>56.75</v>
      </c>
      <c r="G617" s="2979">
        <v>13.65</v>
      </c>
      <c r="H617" s="2979">
        <v>70.400000000000006</v>
      </c>
      <c r="I617" s="2974" t="s">
        <v>3055</v>
      </c>
      <c r="J617" s="2981" t="s">
        <v>3155</v>
      </c>
      <c r="L617" s="2976"/>
      <c r="M617" s="2976"/>
      <c r="N617" s="2976"/>
      <c r="O617" s="2976"/>
      <c r="P617" s="2976"/>
      <c r="Q617" s="2976"/>
      <c r="R617" s="2976"/>
      <c r="S617" s="2976"/>
      <c r="T617" s="2976"/>
      <c r="U617" s="2976"/>
      <c r="V617" s="2976"/>
      <c r="W617" s="2976"/>
      <c r="X617" s="2976"/>
      <c r="Y617" s="2976"/>
      <c r="Z617" s="2976"/>
      <c r="AA617" s="2976"/>
      <c r="AB617" s="2976"/>
      <c r="AC617" s="2976"/>
      <c r="AD617" s="2976"/>
      <c r="AE617" s="2976"/>
      <c r="AF617" s="2976"/>
    </row>
    <row r="618" spans="1:32">
      <c r="A618" s="2972">
        <v>617</v>
      </c>
      <c r="B618" s="2974" t="s">
        <v>3236</v>
      </c>
      <c r="C618" s="2982" t="s">
        <v>3156</v>
      </c>
      <c r="D618" s="2972" t="s">
        <v>3183</v>
      </c>
      <c r="E618" s="2982" t="s">
        <v>3150</v>
      </c>
      <c r="F618" s="2983">
        <v>54.01</v>
      </c>
      <c r="G618" s="2979">
        <v>12.99</v>
      </c>
      <c r="H618" s="2979">
        <v>67</v>
      </c>
      <c r="I618" s="2974" t="s">
        <v>3055</v>
      </c>
      <c r="J618" s="2981" t="s">
        <v>3154</v>
      </c>
      <c r="L618" s="2976"/>
      <c r="M618" s="2976"/>
      <c r="N618" s="2976"/>
      <c r="O618" s="2976"/>
      <c r="P618" s="2976"/>
      <c r="Q618" s="2976"/>
      <c r="R618" s="2976"/>
      <c r="S618" s="2976"/>
      <c r="T618" s="2976"/>
      <c r="U618" s="2976"/>
      <c r="V618" s="2976"/>
      <c r="W618" s="2976"/>
      <c r="X618" s="2976"/>
      <c r="Y618" s="2976"/>
      <c r="Z618" s="2976"/>
      <c r="AA618" s="2976"/>
      <c r="AB618" s="2976"/>
      <c r="AC618" s="2976"/>
      <c r="AD618" s="2976"/>
      <c r="AE618" s="2976"/>
      <c r="AF618" s="2976"/>
    </row>
    <row r="619" spans="1:32">
      <c r="A619" s="2972">
        <v>618</v>
      </c>
      <c r="B619" s="2974" t="s">
        <v>3236</v>
      </c>
      <c r="C619" s="2982" t="s">
        <v>3157</v>
      </c>
      <c r="D619" s="2972" t="s">
        <v>3183</v>
      </c>
      <c r="E619" s="2982">
        <v>501</v>
      </c>
      <c r="F619" s="2983">
        <v>54.01</v>
      </c>
      <c r="G619" s="2979">
        <v>12.99</v>
      </c>
      <c r="H619" s="2979">
        <v>67</v>
      </c>
      <c r="I619" s="2974" t="s">
        <v>3055</v>
      </c>
      <c r="J619" s="2981" t="s">
        <v>3154</v>
      </c>
      <c r="L619" s="2976"/>
      <c r="M619" s="2976"/>
      <c r="N619" s="2976"/>
      <c r="O619" s="2976"/>
      <c r="P619" s="2976"/>
      <c r="Q619" s="2976"/>
      <c r="R619" s="2976"/>
      <c r="S619" s="2976"/>
      <c r="T619" s="2976"/>
      <c r="U619" s="2976"/>
      <c r="V619" s="2976"/>
      <c r="W619" s="2976"/>
      <c r="X619" s="2976"/>
      <c r="Y619" s="2976"/>
      <c r="Z619" s="2976"/>
      <c r="AA619" s="2976"/>
      <c r="AB619" s="2976"/>
      <c r="AC619" s="2976"/>
      <c r="AD619" s="2976"/>
      <c r="AE619" s="2976"/>
      <c r="AF619" s="2976"/>
    </row>
    <row r="620" spans="1:32">
      <c r="A620" s="2972">
        <v>619</v>
      </c>
      <c r="B620" s="2974" t="s">
        <v>3236</v>
      </c>
      <c r="C620" s="2982" t="s">
        <v>3157</v>
      </c>
      <c r="D620" s="2972" t="s">
        <v>3183</v>
      </c>
      <c r="E620" s="2982">
        <v>502</v>
      </c>
      <c r="F620" s="2983">
        <v>56.75</v>
      </c>
      <c r="G620" s="2979">
        <v>13.65</v>
      </c>
      <c r="H620" s="2979">
        <v>70.400000000000006</v>
      </c>
      <c r="I620" s="2974" t="s">
        <v>3055</v>
      </c>
      <c r="J620" s="2981" t="s">
        <v>3155</v>
      </c>
      <c r="L620" s="2976"/>
      <c r="M620" s="2976"/>
      <c r="N620" s="2976"/>
      <c r="O620" s="2976"/>
      <c r="P620" s="2976"/>
      <c r="Q620" s="2976"/>
      <c r="R620" s="2976"/>
      <c r="S620" s="2976"/>
      <c r="T620" s="2976"/>
      <c r="U620" s="2976"/>
      <c r="V620" s="2976"/>
      <c r="W620" s="2976"/>
      <c r="X620" s="2976"/>
      <c r="Y620" s="2976"/>
      <c r="Z620" s="2976"/>
      <c r="AA620" s="2976"/>
      <c r="AB620" s="2976"/>
      <c r="AC620" s="2976"/>
      <c r="AD620" s="2976"/>
      <c r="AE620" s="2976"/>
      <c r="AF620" s="2976"/>
    </row>
    <row r="621" spans="1:32">
      <c r="A621" s="2972">
        <v>620</v>
      </c>
      <c r="B621" s="2974" t="s">
        <v>3236</v>
      </c>
      <c r="C621" s="2982" t="s">
        <v>3157</v>
      </c>
      <c r="D621" s="2972" t="s">
        <v>3183</v>
      </c>
      <c r="E621" s="2982">
        <v>503</v>
      </c>
      <c r="F621" s="2983">
        <v>56.78</v>
      </c>
      <c r="G621" s="2979">
        <v>13.66</v>
      </c>
      <c r="H621" s="2979">
        <v>70.44</v>
      </c>
      <c r="I621" s="2974" t="s">
        <v>3055</v>
      </c>
      <c r="J621" s="2981" t="s">
        <v>3155</v>
      </c>
      <c r="L621" s="2976"/>
      <c r="M621" s="2976"/>
      <c r="N621" s="2976"/>
      <c r="O621" s="2976"/>
      <c r="P621" s="2976"/>
      <c r="Q621" s="2976"/>
      <c r="R621" s="2976"/>
      <c r="S621" s="2976"/>
      <c r="T621" s="2976"/>
      <c r="U621" s="2976"/>
      <c r="V621" s="2976"/>
      <c r="W621" s="2976"/>
      <c r="X621" s="2976"/>
      <c r="Y621" s="2976"/>
      <c r="Z621" s="2976"/>
      <c r="AA621" s="2976"/>
      <c r="AB621" s="2976"/>
      <c r="AC621" s="2976"/>
      <c r="AD621" s="2976"/>
      <c r="AE621" s="2976"/>
      <c r="AF621" s="2976"/>
    </row>
    <row r="622" spans="1:32">
      <c r="A622" s="2972">
        <v>621</v>
      </c>
      <c r="B622" s="2974" t="s">
        <v>3236</v>
      </c>
      <c r="C622" s="2982" t="s">
        <v>3157</v>
      </c>
      <c r="D622" s="2972" t="s">
        <v>3183</v>
      </c>
      <c r="E622" s="2982">
        <v>505</v>
      </c>
      <c r="F622" s="2983">
        <v>56.78</v>
      </c>
      <c r="G622" s="2979">
        <v>13.66</v>
      </c>
      <c r="H622" s="2979">
        <v>70.44</v>
      </c>
      <c r="I622" s="2974" t="s">
        <v>3055</v>
      </c>
      <c r="J622" s="2981" t="s">
        <v>3155</v>
      </c>
      <c r="L622" s="2976"/>
      <c r="M622" s="2976"/>
      <c r="N622" s="2976"/>
      <c r="O622" s="2976"/>
      <c r="P622" s="2976"/>
      <c r="Q622" s="2976"/>
      <c r="R622" s="2976"/>
      <c r="S622" s="2976"/>
      <c r="T622" s="2976"/>
      <c r="U622" s="2976"/>
      <c r="V622" s="2976"/>
      <c r="W622" s="2976"/>
      <c r="X622" s="2976"/>
      <c r="Y622" s="2976"/>
      <c r="Z622" s="2976"/>
      <c r="AA622" s="2976"/>
      <c r="AB622" s="2976"/>
      <c r="AC622" s="2976"/>
      <c r="AD622" s="2976"/>
      <c r="AE622" s="2976"/>
      <c r="AF622" s="2976"/>
    </row>
    <row r="623" spans="1:32">
      <c r="A623" s="2972">
        <v>622</v>
      </c>
      <c r="B623" s="2974" t="s">
        <v>3236</v>
      </c>
      <c r="C623" s="2982" t="s">
        <v>3157</v>
      </c>
      <c r="D623" s="2972" t="s">
        <v>3183</v>
      </c>
      <c r="E623" s="2982">
        <v>506</v>
      </c>
      <c r="F623" s="2983">
        <v>56.75</v>
      </c>
      <c r="G623" s="2979">
        <v>13.65</v>
      </c>
      <c r="H623" s="2979">
        <v>70.400000000000006</v>
      </c>
      <c r="I623" s="2974" t="s">
        <v>3055</v>
      </c>
      <c r="J623" s="2981" t="s">
        <v>3155</v>
      </c>
      <c r="L623" s="2976"/>
      <c r="M623" s="2976"/>
      <c r="N623" s="2976"/>
      <c r="O623" s="2976"/>
      <c r="P623" s="2976"/>
      <c r="Q623" s="2976"/>
      <c r="R623" s="2976"/>
      <c r="S623" s="2976"/>
      <c r="T623" s="2976"/>
      <c r="U623" s="2976"/>
      <c r="V623" s="2976"/>
      <c r="W623" s="2976"/>
      <c r="X623" s="2976"/>
      <c r="Y623" s="2976"/>
      <c r="Z623" s="2976"/>
      <c r="AA623" s="2976"/>
      <c r="AB623" s="2976"/>
      <c r="AC623" s="2976"/>
      <c r="AD623" s="2976"/>
      <c r="AE623" s="2976"/>
      <c r="AF623" s="2976"/>
    </row>
    <row r="624" spans="1:32">
      <c r="A624" s="2972">
        <v>623</v>
      </c>
      <c r="B624" s="2974" t="s">
        <v>3236</v>
      </c>
      <c r="C624" s="2982" t="s">
        <v>3157</v>
      </c>
      <c r="D624" s="2972" t="s">
        <v>3183</v>
      </c>
      <c r="E624" s="2982">
        <v>507</v>
      </c>
      <c r="F624" s="2983">
        <v>54.01</v>
      </c>
      <c r="G624" s="2979">
        <v>12.99</v>
      </c>
      <c r="H624" s="2979">
        <v>67</v>
      </c>
      <c r="I624" s="2974" t="s">
        <v>3055</v>
      </c>
      <c r="J624" s="2981" t="s">
        <v>3154</v>
      </c>
      <c r="L624" s="2976"/>
      <c r="M624" s="2976"/>
      <c r="N624" s="2976"/>
      <c r="O624" s="2976"/>
      <c r="P624" s="2976"/>
      <c r="Q624" s="2976"/>
      <c r="R624" s="2976"/>
      <c r="S624" s="2976"/>
      <c r="T624" s="2976"/>
      <c r="U624" s="2976"/>
      <c r="V624" s="2976"/>
      <c r="W624" s="2976"/>
      <c r="X624" s="2976"/>
      <c r="Y624" s="2976"/>
      <c r="Z624" s="2976"/>
      <c r="AA624" s="2976"/>
      <c r="AB624" s="2976"/>
      <c r="AC624" s="2976"/>
      <c r="AD624" s="2976"/>
      <c r="AE624" s="2976"/>
      <c r="AF624" s="2976"/>
    </row>
    <row r="625" spans="1:32">
      <c r="A625" s="2972">
        <v>624</v>
      </c>
      <c r="B625" s="2974" t="s">
        <v>3237</v>
      </c>
      <c r="C625" s="2974" t="s">
        <v>3159</v>
      </c>
      <c r="D625" s="2972" t="s">
        <v>3183</v>
      </c>
      <c r="E625" s="2982">
        <v>201</v>
      </c>
      <c r="F625" s="2983">
        <v>55.51</v>
      </c>
      <c r="G625" s="2979">
        <v>13.72</v>
      </c>
      <c r="H625" s="2979">
        <v>69.23</v>
      </c>
      <c r="I625" s="2974" t="s">
        <v>3055</v>
      </c>
      <c r="J625" s="2981" t="s">
        <v>3154</v>
      </c>
      <c r="L625" s="2976"/>
      <c r="M625" s="2976"/>
      <c r="N625" s="2976"/>
      <c r="O625" s="2976"/>
      <c r="P625" s="2976"/>
      <c r="Q625" s="2976"/>
      <c r="R625" s="2976"/>
      <c r="S625" s="2976"/>
      <c r="T625" s="2976"/>
      <c r="U625" s="2976"/>
      <c r="V625" s="2976"/>
      <c r="W625" s="2976"/>
      <c r="X625" s="2976"/>
      <c r="Y625" s="2976"/>
      <c r="Z625" s="2976"/>
      <c r="AA625" s="2976"/>
      <c r="AB625" s="2976"/>
      <c r="AC625" s="2976"/>
      <c r="AD625" s="2976"/>
      <c r="AE625" s="2976"/>
      <c r="AF625" s="2976"/>
    </row>
    <row r="626" spans="1:32">
      <c r="A626" s="2972">
        <v>625</v>
      </c>
      <c r="B626" s="2974" t="s">
        <v>3237</v>
      </c>
      <c r="C626" s="2974" t="s">
        <v>3159</v>
      </c>
      <c r="D626" s="2972" t="s">
        <v>3183</v>
      </c>
      <c r="E626" s="2982">
        <v>202</v>
      </c>
      <c r="F626" s="2983">
        <v>56.75</v>
      </c>
      <c r="G626" s="2979">
        <v>14.02</v>
      </c>
      <c r="H626" s="2979">
        <v>70.77</v>
      </c>
      <c r="I626" s="2974" t="s">
        <v>3055</v>
      </c>
      <c r="J626" s="2981" t="s">
        <v>3155</v>
      </c>
      <c r="L626" s="2976"/>
      <c r="M626" s="2976"/>
      <c r="N626" s="2976"/>
      <c r="O626" s="2976"/>
      <c r="P626" s="2976"/>
      <c r="Q626" s="2976"/>
      <c r="R626" s="2976"/>
      <c r="S626" s="2976"/>
      <c r="T626" s="2976"/>
      <c r="U626" s="2976"/>
      <c r="V626" s="2976"/>
      <c r="W626" s="2976"/>
      <c r="X626" s="2976"/>
      <c r="Y626" s="2976"/>
      <c r="Z626" s="2976"/>
      <c r="AA626" s="2976"/>
      <c r="AB626" s="2976"/>
      <c r="AC626" s="2976"/>
      <c r="AD626" s="2976"/>
      <c r="AE626" s="2976"/>
      <c r="AF626" s="2976"/>
    </row>
    <row r="627" spans="1:32">
      <c r="A627" s="2972">
        <v>626</v>
      </c>
      <c r="B627" s="2974" t="s">
        <v>3237</v>
      </c>
      <c r="C627" s="2974" t="s">
        <v>3159</v>
      </c>
      <c r="D627" s="2972" t="s">
        <v>3183</v>
      </c>
      <c r="E627" s="2982">
        <v>203</v>
      </c>
      <c r="F627" s="2983">
        <v>56.78</v>
      </c>
      <c r="G627" s="2979">
        <v>14.03</v>
      </c>
      <c r="H627" s="2979">
        <v>70.81</v>
      </c>
      <c r="I627" s="2974" t="s">
        <v>3055</v>
      </c>
      <c r="J627" s="2981" t="s">
        <v>3155</v>
      </c>
      <c r="L627" s="2976"/>
      <c r="M627" s="2976"/>
      <c r="N627" s="2976"/>
      <c r="O627" s="2976"/>
      <c r="P627" s="2976"/>
      <c r="Q627" s="2976"/>
      <c r="R627" s="2976"/>
      <c r="S627" s="2976"/>
      <c r="T627" s="2976"/>
      <c r="U627" s="2976"/>
      <c r="V627" s="2976"/>
      <c r="W627" s="2976"/>
      <c r="X627" s="2976"/>
      <c r="Y627" s="2976"/>
      <c r="Z627" s="2976"/>
      <c r="AA627" s="2976"/>
      <c r="AB627" s="2976"/>
      <c r="AC627" s="2976"/>
      <c r="AD627" s="2976"/>
      <c r="AE627" s="2976"/>
      <c r="AF627" s="2976"/>
    </row>
    <row r="628" spans="1:32">
      <c r="A628" s="2972">
        <v>627</v>
      </c>
      <c r="B628" s="2974" t="s">
        <v>3237</v>
      </c>
      <c r="C628" s="2974" t="s">
        <v>3159</v>
      </c>
      <c r="D628" s="2972" t="s">
        <v>3183</v>
      </c>
      <c r="E628" s="2982">
        <v>205</v>
      </c>
      <c r="F628" s="2983">
        <v>56.78</v>
      </c>
      <c r="G628" s="2979">
        <v>14.03</v>
      </c>
      <c r="H628" s="2979">
        <v>70.81</v>
      </c>
      <c r="I628" s="2974" t="s">
        <v>3055</v>
      </c>
      <c r="J628" s="2981" t="s">
        <v>3155</v>
      </c>
      <c r="L628" s="2976"/>
      <c r="M628" s="2976"/>
      <c r="N628" s="2976"/>
      <c r="O628" s="2976"/>
      <c r="P628" s="2976"/>
      <c r="Q628" s="2976"/>
      <c r="R628" s="2976"/>
      <c r="S628" s="2976"/>
      <c r="T628" s="2976"/>
      <c r="U628" s="2976"/>
      <c r="V628" s="2976"/>
      <c r="W628" s="2976"/>
      <c r="X628" s="2976"/>
      <c r="Y628" s="2976"/>
      <c r="Z628" s="2976"/>
      <c r="AA628" s="2976"/>
      <c r="AB628" s="2976"/>
      <c r="AC628" s="2976"/>
      <c r="AD628" s="2976"/>
      <c r="AE628" s="2976"/>
      <c r="AF628" s="2976"/>
    </row>
    <row r="629" spans="1:32">
      <c r="A629" s="2972">
        <v>628</v>
      </c>
      <c r="B629" s="2974" t="s">
        <v>3237</v>
      </c>
      <c r="C629" s="2974" t="s">
        <v>3159</v>
      </c>
      <c r="D629" s="2972" t="s">
        <v>3183</v>
      </c>
      <c r="E629" s="2982">
        <v>206</v>
      </c>
      <c r="F629" s="2983">
        <v>56.78</v>
      </c>
      <c r="G629" s="2979">
        <v>14.03</v>
      </c>
      <c r="H629" s="2979">
        <v>70.81</v>
      </c>
      <c r="I629" s="2974" t="s">
        <v>3055</v>
      </c>
      <c r="J629" s="2981" t="s">
        <v>3155</v>
      </c>
      <c r="L629" s="2976"/>
      <c r="M629" s="2976"/>
      <c r="N629" s="2976"/>
      <c r="O629" s="2976"/>
      <c r="P629" s="2976"/>
      <c r="Q629" s="2976"/>
      <c r="R629" s="2976"/>
      <c r="S629" s="2976"/>
      <c r="T629" s="2976"/>
      <c r="U629" s="2976"/>
      <c r="V629" s="2976"/>
      <c r="W629" s="2976"/>
      <c r="X629" s="2976"/>
      <c r="Y629" s="2976"/>
      <c r="Z629" s="2976"/>
      <c r="AA629" s="2976"/>
      <c r="AB629" s="2976"/>
      <c r="AC629" s="2976"/>
      <c r="AD629" s="2976"/>
      <c r="AE629" s="2976"/>
      <c r="AF629" s="2976"/>
    </row>
    <row r="630" spans="1:32">
      <c r="A630" s="2972">
        <v>629</v>
      </c>
      <c r="B630" s="2974" t="s">
        <v>3237</v>
      </c>
      <c r="C630" s="2974" t="s">
        <v>3153</v>
      </c>
      <c r="D630" s="2972" t="s">
        <v>3183</v>
      </c>
      <c r="E630" s="2982">
        <v>301</v>
      </c>
      <c r="F630" s="2983">
        <v>55.51</v>
      </c>
      <c r="G630" s="2979">
        <v>13.72</v>
      </c>
      <c r="H630" s="2979">
        <v>69.23</v>
      </c>
      <c r="I630" s="2974" t="s">
        <v>3055</v>
      </c>
      <c r="J630" s="2981" t="s">
        <v>3154</v>
      </c>
      <c r="L630" s="2976"/>
      <c r="M630" s="2976"/>
      <c r="N630" s="2976"/>
      <c r="O630" s="2976"/>
      <c r="P630" s="2976"/>
      <c r="Q630" s="2976"/>
      <c r="R630" s="2976"/>
      <c r="S630" s="2976"/>
      <c r="T630" s="2976"/>
      <c r="U630" s="2976"/>
      <c r="V630" s="2976"/>
      <c r="W630" s="2976"/>
      <c r="X630" s="2976"/>
      <c r="Y630" s="2976"/>
      <c r="Z630" s="2976"/>
      <c r="AA630" s="2976"/>
      <c r="AB630" s="2976"/>
      <c r="AC630" s="2976"/>
      <c r="AD630" s="2976"/>
      <c r="AE630" s="2976"/>
      <c r="AF630" s="2976"/>
    </row>
    <row r="631" spans="1:32">
      <c r="A631" s="2972">
        <v>630</v>
      </c>
      <c r="B631" s="2974" t="s">
        <v>3237</v>
      </c>
      <c r="C631" s="2974" t="s">
        <v>3153</v>
      </c>
      <c r="D631" s="2972" t="s">
        <v>3183</v>
      </c>
      <c r="E631" s="2982">
        <v>302</v>
      </c>
      <c r="F631" s="2983">
        <v>56.75</v>
      </c>
      <c r="G631" s="2979">
        <v>14.02</v>
      </c>
      <c r="H631" s="2979">
        <v>70.77</v>
      </c>
      <c r="I631" s="2974" t="s">
        <v>3055</v>
      </c>
      <c r="J631" s="2981" t="s">
        <v>3155</v>
      </c>
      <c r="L631" s="2976"/>
      <c r="M631" s="2976"/>
      <c r="N631" s="2976"/>
      <c r="O631" s="2976"/>
      <c r="P631" s="2976"/>
      <c r="Q631" s="2976"/>
      <c r="R631" s="2976"/>
      <c r="S631" s="2976"/>
      <c r="T631" s="2976"/>
      <c r="U631" s="2976"/>
      <c r="V631" s="2976"/>
      <c r="W631" s="2976"/>
      <c r="X631" s="2976"/>
      <c r="Y631" s="2976"/>
      <c r="Z631" s="2976"/>
      <c r="AA631" s="2976"/>
      <c r="AB631" s="2976"/>
      <c r="AC631" s="2976"/>
      <c r="AD631" s="2976"/>
      <c r="AE631" s="2976"/>
      <c r="AF631" s="2976"/>
    </row>
    <row r="632" spans="1:32">
      <c r="A632" s="2972">
        <v>631</v>
      </c>
      <c r="B632" s="2974" t="s">
        <v>3237</v>
      </c>
      <c r="C632" s="2974" t="s">
        <v>3153</v>
      </c>
      <c r="D632" s="2972" t="s">
        <v>3183</v>
      </c>
      <c r="E632" s="2982">
        <v>303</v>
      </c>
      <c r="F632" s="2983">
        <v>56.78</v>
      </c>
      <c r="G632" s="2979">
        <v>14.03</v>
      </c>
      <c r="H632" s="2979">
        <v>70.81</v>
      </c>
      <c r="I632" s="2974" t="s">
        <v>3055</v>
      </c>
      <c r="J632" s="2981" t="s">
        <v>3155</v>
      </c>
      <c r="L632" s="2976"/>
      <c r="M632" s="2976"/>
      <c r="N632" s="2976"/>
      <c r="O632" s="2976"/>
      <c r="P632" s="2976"/>
      <c r="Q632" s="2976"/>
      <c r="R632" s="2976"/>
      <c r="S632" s="2976"/>
      <c r="T632" s="2976"/>
      <c r="U632" s="2976"/>
      <c r="V632" s="2976"/>
      <c r="W632" s="2976"/>
      <c r="X632" s="2976"/>
      <c r="Y632" s="2976"/>
      <c r="Z632" s="2976"/>
      <c r="AA632" s="2976"/>
      <c r="AB632" s="2976"/>
      <c r="AC632" s="2976"/>
      <c r="AD632" s="2976"/>
      <c r="AE632" s="2976"/>
      <c r="AF632" s="2976"/>
    </row>
    <row r="633" spans="1:32">
      <c r="A633" s="2972">
        <v>632</v>
      </c>
      <c r="B633" s="2974" t="s">
        <v>3237</v>
      </c>
      <c r="C633" s="2974" t="s">
        <v>3153</v>
      </c>
      <c r="D633" s="2972" t="s">
        <v>3183</v>
      </c>
      <c r="E633" s="2982">
        <v>305</v>
      </c>
      <c r="F633" s="2983">
        <v>56.78</v>
      </c>
      <c r="G633" s="2979">
        <v>14.03</v>
      </c>
      <c r="H633" s="2979">
        <v>70.81</v>
      </c>
      <c r="I633" s="2974" t="s">
        <v>3055</v>
      </c>
      <c r="J633" s="2981" t="s">
        <v>3155</v>
      </c>
      <c r="L633" s="2976"/>
      <c r="M633" s="2976"/>
      <c r="N633" s="2976"/>
      <c r="O633" s="2976"/>
      <c r="P633" s="2976"/>
      <c r="Q633" s="2976"/>
      <c r="R633" s="2976"/>
      <c r="S633" s="2976"/>
      <c r="T633" s="2976"/>
      <c r="U633" s="2976"/>
      <c r="V633" s="2976"/>
      <c r="W633" s="2976"/>
      <c r="X633" s="2976"/>
      <c r="Y633" s="2976"/>
      <c r="Z633" s="2976"/>
      <c r="AA633" s="2976"/>
      <c r="AB633" s="2976"/>
      <c r="AC633" s="2976"/>
      <c r="AD633" s="2976"/>
      <c r="AE633" s="2976"/>
      <c r="AF633" s="2976"/>
    </row>
    <row r="634" spans="1:32">
      <c r="A634" s="2972">
        <v>633</v>
      </c>
      <c r="B634" s="2974" t="s">
        <v>3237</v>
      </c>
      <c r="C634" s="2974" t="s">
        <v>3153</v>
      </c>
      <c r="D634" s="2972" t="s">
        <v>3183</v>
      </c>
      <c r="E634" s="2982">
        <v>306</v>
      </c>
      <c r="F634" s="2983">
        <v>56.78</v>
      </c>
      <c r="G634" s="2979">
        <v>14.03</v>
      </c>
      <c r="H634" s="2979">
        <v>70.81</v>
      </c>
      <c r="I634" s="2974" t="s">
        <v>3055</v>
      </c>
      <c r="J634" s="2981" t="s">
        <v>3155</v>
      </c>
      <c r="L634" s="2976"/>
      <c r="M634" s="2976"/>
      <c r="N634" s="2976"/>
      <c r="O634" s="2976"/>
      <c r="P634" s="2976"/>
      <c r="Q634" s="2976"/>
      <c r="R634" s="2976"/>
      <c r="S634" s="2976"/>
      <c r="T634" s="2976"/>
      <c r="U634" s="2976"/>
      <c r="V634" s="2976"/>
      <c r="W634" s="2976"/>
      <c r="X634" s="2976"/>
      <c r="Y634" s="2976"/>
      <c r="Z634" s="2976"/>
      <c r="AA634" s="2976"/>
      <c r="AB634" s="2976"/>
      <c r="AC634" s="2976"/>
      <c r="AD634" s="2976"/>
      <c r="AE634" s="2976"/>
      <c r="AF634" s="2976"/>
    </row>
    <row r="635" spans="1:32">
      <c r="A635" s="2972">
        <v>634</v>
      </c>
      <c r="B635" s="2974" t="s">
        <v>3237</v>
      </c>
      <c r="C635" s="2974" t="s">
        <v>3153</v>
      </c>
      <c r="D635" s="2972" t="s">
        <v>3183</v>
      </c>
      <c r="E635" s="2982">
        <v>307</v>
      </c>
      <c r="F635" s="2983">
        <v>55.66</v>
      </c>
      <c r="G635" s="2979">
        <v>13.75</v>
      </c>
      <c r="H635" s="2979">
        <v>69.41</v>
      </c>
      <c r="I635" s="2974" t="s">
        <v>3055</v>
      </c>
      <c r="J635" s="2981" t="s">
        <v>3154</v>
      </c>
      <c r="L635" s="2976"/>
      <c r="M635" s="2976"/>
      <c r="N635" s="2976"/>
      <c r="O635" s="2976"/>
      <c r="P635" s="2976"/>
      <c r="Q635" s="2976"/>
      <c r="R635" s="2976"/>
      <c r="S635" s="2976"/>
      <c r="T635" s="2976"/>
      <c r="U635" s="2976"/>
      <c r="V635" s="2976"/>
      <c r="W635" s="2976"/>
      <c r="X635" s="2976"/>
      <c r="Y635" s="2976"/>
      <c r="Z635" s="2976"/>
      <c r="AA635" s="2976"/>
      <c r="AB635" s="2976"/>
      <c r="AC635" s="2976"/>
      <c r="AD635" s="2976"/>
      <c r="AE635" s="2976"/>
      <c r="AF635" s="2976"/>
    </row>
    <row r="636" spans="1:32">
      <c r="A636" s="2972">
        <v>635</v>
      </c>
      <c r="B636" s="2974" t="s">
        <v>3237</v>
      </c>
      <c r="C636" s="2974" t="s">
        <v>3153</v>
      </c>
      <c r="D636" s="2972" t="s">
        <v>3183</v>
      </c>
      <c r="E636" s="2982">
        <v>308</v>
      </c>
      <c r="F636" s="2983">
        <v>52.68</v>
      </c>
      <c r="G636" s="2979">
        <v>13.02</v>
      </c>
      <c r="H636" s="2979">
        <v>65.7</v>
      </c>
      <c r="I636" s="2974" t="s">
        <v>3055</v>
      </c>
      <c r="J636" s="2981" t="s">
        <v>3154</v>
      </c>
      <c r="L636" s="2976"/>
      <c r="M636" s="2976"/>
      <c r="N636" s="2976"/>
      <c r="O636" s="2976"/>
      <c r="P636" s="2976"/>
      <c r="Q636" s="2976"/>
      <c r="R636" s="2976"/>
      <c r="S636" s="2976"/>
      <c r="T636" s="2976"/>
      <c r="U636" s="2976"/>
      <c r="V636" s="2976"/>
      <c r="W636" s="2976"/>
      <c r="X636" s="2976"/>
      <c r="Y636" s="2976"/>
      <c r="Z636" s="2976"/>
      <c r="AA636" s="2976"/>
      <c r="AB636" s="2976"/>
      <c r="AC636" s="2976"/>
      <c r="AD636" s="2976"/>
      <c r="AE636" s="2976"/>
      <c r="AF636" s="2976"/>
    </row>
    <row r="637" spans="1:32">
      <c r="A637" s="2972">
        <v>636</v>
      </c>
      <c r="B637" s="2974" t="s">
        <v>3201</v>
      </c>
      <c r="C637" s="2973" t="s">
        <v>3207</v>
      </c>
      <c r="D637" s="2981" t="s">
        <v>3213</v>
      </c>
      <c r="E637" s="2974">
        <v>101</v>
      </c>
      <c r="F637" s="2974">
        <v>53.84</v>
      </c>
      <c r="G637" s="2979">
        <v>12.44</v>
      </c>
      <c r="H637" s="2979">
        <v>66.28</v>
      </c>
      <c r="I637" s="2979" t="s">
        <v>3055</v>
      </c>
      <c r="J637" s="2974" t="s">
        <v>3143</v>
      </c>
      <c r="L637" s="2976"/>
      <c r="M637" s="2976"/>
      <c r="N637" s="2976"/>
      <c r="O637" s="2976"/>
      <c r="P637" s="2976"/>
      <c r="Q637" s="2976"/>
      <c r="R637" s="2976"/>
      <c r="S637" s="2976"/>
      <c r="T637" s="2976"/>
      <c r="U637" s="2976"/>
      <c r="V637" s="2976"/>
      <c r="W637" s="2976"/>
      <c r="X637" s="2976"/>
      <c r="Y637" s="2976"/>
      <c r="Z637" s="2976"/>
      <c r="AA637" s="2976"/>
      <c r="AB637" s="2976"/>
      <c r="AC637" s="2976"/>
      <c r="AD637" s="2976"/>
      <c r="AE637" s="2976"/>
      <c r="AF637" s="2976"/>
    </row>
    <row r="638" spans="1:32">
      <c r="A638" s="2972">
        <v>637</v>
      </c>
      <c r="B638" s="2974" t="s">
        <v>3201</v>
      </c>
      <c r="C638" s="2973" t="s">
        <v>3214</v>
      </c>
      <c r="D638" s="2981" t="s">
        <v>3213</v>
      </c>
      <c r="E638" s="2974">
        <v>102</v>
      </c>
      <c r="F638" s="2974">
        <v>56.67</v>
      </c>
      <c r="G638" s="2979">
        <v>13.1</v>
      </c>
      <c r="H638" s="2979">
        <v>69.77</v>
      </c>
      <c r="I638" s="2979" t="s">
        <v>3055</v>
      </c>
      <c r="J638" s="2974" t="s">
        <v>3144</v>
      </c>
      <c r="L638" s="2976"/>
      <c r="M638" s="2976"/>
      <c r="N638" s="2976"/>
      <c r="O638" s="2976"/>
      <c r="P638" s="2976"/>
      <c r="Q638" s="2976"/>
      <c r="R638" s="2976"/>
      <c r="S638" s="2976"/>
      <c r="T638" s="2976"/>
      <c r="U638" s="2976"/>
      <c r="V638" s="2976"/>
      <c r="W638" s="2976"/>
      <c r="X638" s="2976"/>
      <c r="Y638" s="2976"/>
      <c r="Z638" s="2976"/>
      <c r="AA638" s="2976"/>
      <c r="AB638" s="2976"/>
      <c r="AC638" s="2976"/>
      <c r="AD638" s="2976"/>
      <c r="AE638" s="2976"/>
      <c r="AF638" s="2976"/>
    </row>
    <row r="639" spans="1:32">
      <c r="A639" s="2972">
        <v>638</v>
      </c>
      <c r="B639" s="2974" t="s">
        <v>3201</v>
      </c>
      <c r="C639" s="2973" t="s">
        <v>3214</v>
      </c>
      <c r="D639" s="2981" t="s">
        <v>3213</v>
      </c>
      <c r="E639" s="2974">
        <v>103</v>
      </c>
      <c r="F639" s="2974">
        <v>56.81</v>
      </c>
      <c r="G639" s="2979">
        <v>13.13</v>
      </c>
      <c r="H639" s="2979">
        <v>69.94</v>
      </c>
      <c r="I639" s="2979" t="s">
        <v>3055</v>
      </c>
      <c r="J639" s="2974" t="s">
        <v>3144</v>
      </c>
      <c r="L639" s="2976"/>
      <c r="M639" s="2976"/>
      <c r="N639" s="2976"/>
      <c r="O639" s="2976"/>
      <c r="P639" s="2976"/>
      <c r="Q639" s="2976"/>
      <c r="R639" s="2976"/>
      <c r="S639" s="2976"/>
      <c r="T639" s="2976"/>
      <c r="U639" s="2976"/>
      <c r="V639" s="2976"/>
      <c r="W639" s="2976"/>
      <c r="X639" s="2976"/>
      <c r="Y639" s="2976"/>
      <c r="Z639" s="2976"/>
      <c r="AA639" s="2976"/>
      <c r="AB639" s="2976"/>
      <c r="AC639" s="2976"/>
      <c r="AD639" s="2976"/>
      <c r="AE639" s="2976"/>
      <c r="AF639" s="2976"/>
    </row>
    <row r="640" spans="1:32">
      <c r="A640" s="2972">
        <v>639</v>
      </c>
      <c r="B640" s="2974" t="s">
        <v>3201</v>
      </c>
      <c r="C640" s="2973" t="s">
        <v>3214</v>
      </c>
      <c r="D640" s="2981" t="s">
        <v>3213</v>
      </c>
      <c r="E640" s="2974">
        <v>105</v>
      </c>
      <c r="F640" s="2980">
        <v>56.81</v>
      </c>
      <c r="G640" s="2979">
        <v>13.13</v>
      </c>
      <c r="H640" s="2979">
        <v>69.94</v>
      </c>
      <c r="I640" s="2979" t="s">
        <v>3055</v>
      </c>
      <c r="J640" s="2974" t="s">
        <v>3144</v>
      </c>
      <c r="L640" s="2976"/>
      <c r="M640" s="2976"/>
      <c r="N640" s="2976"/>
      <c r="O640" s="2976"/>
      <c r="P640" s="2976"/>
      <c r="Q640" s="2976"/>
      <c r="R640" s="2976"/>
      <c r="S640" s="2976"/>
      <c r="T640" s="2976"/>
      <c r="U640" s="2976"/>
      <c r="V640" s="2976"/>
      <c r="W640" s="2976"/>
      <c r="X640" s="2976"/>
      <c r="Y640" s="2976"/>
      <c r="Z640" s="2976"/>
      <c r="AA640" s="2976"/>
      <c r="AB640" s="2976"/>
      <c r="AC640" s="2976"/>
      <c r="AD640" s="2976"/>
      <c r="AE640" s="2976"/>
      <c r="AF640" s="2976"/>
    </row>
    <row r="641" spans="1:32">
      <c r="A641" s="2972">
        <v>640</v>
      </c>
      <c r="B641" s="2974" t="s">
        <v>3201</v>
      </c>
      <c r="C641" s="2973" t="s">
        <v>3214</v>
      </c>
      <c r="D641" s="2981" t="s">
        <v>3213</v>
      </c>
      <c r="E641" s="2974">
        <v>106</v>
      </c>
      <c r="F641" s="2974">
        <v>56.67</v>
      </c>
      <c r="G641" s="2979">
        <v>13.1</v>
      </c>
      <c r="H641" s="2979">
        <v>69.77</v>
      </c>
      <c r="I641" s="2979" t="s">
        <v>3055</v>
      </c>
      <c r="J641" s="2974" t="s">
        <v>3144</v>
      </c>
      <c r="L641" s="2976"/>
      <c r="M641" s="2976"/>
      <c r="N641" s="2976"/>
      <c r="O641" s="2976"/>
      <c r="P641" s="2976"/>
      <c r="Q641" s="2976"/>
      <c r="R641" s="2976"/>
      <c r="S641" s="2976"/>
      <c r="T641" s="2976"/>
      <c r="U641" s="2976"/>
      <c r="V641" s="2976"/>
      <c r="W641" s="2976"/>
      <c r="X641" s="2976"/>
      <c r="Y641" s="2976"/>
      <c r="Z641" s="2976"/>
      <c r="AA641" s="2976"/>
      <c r="AB641" s="2976"/>
      <c r="AC641" s="2976"/>
      <c r="AD641" s="2976"/>
      <c r="AE641" s="2976"/>
      <c r="AF641" s="2976"/>
    </row>
    <row r="642" spans="1:32">
      <c r="A642" s="2972">
        <v>641</v>
      </c>
      <c r="B642" s="2974" t="s">
        <v>3201</v>
      </c>
      <c r="C642" s="2973" t="s">
        <v>3214</v>
      </c>
      <c r="D642" s="2981" t="s">
        <v>3213</v>
      </c>
      <c r="E642" s="2974">
        <v>107</v>
      </c>
      <c r="F642" s="2974">
        <v>53.84</v>
      </c>
      <c r="G642" s="2979">
        <v>12.44</v>
      </c>
      <c r="H642" s="2979">
        <v>66.28</v>
      </c>
      <c r="I642" s="2979" t="s">
        <v>3055</v>
      </c>
      <c r="J642" s="2974" t="s">
        <v>3143</v>
      </c>
      <c r="L642" s="2976"/>
      <c r="M642" s="2976"/>
      <c r="N642" s="2976"/>
      <c r="O642" s="2976"/>
      <c r="P642" s="2976"/>
      <c r="Q642" s="2976"/>
      <c r="R642" s="2976"/>
      <c r="S642" s="2976"/>
      <c r="T642" s="2976"/>
      <c r="U642" s="2976"/>
      <c r="V642" s="2976"/>
      <c r="W642" s="2976"/>
      <c r="X642" s="2976"/>
      <c r="Y642" s="2976"/>
      <c r="Z642" s="2976"/>
      <c r="AA642" s="2976"/>
      <c r="AB642" s="2976"/>
      <c r="AC642" s="2976"/>
      <c r="AD642" s="2976"/>
      <c r="AE642" s="2976"/>
      <c r="AF642" s="2976"/>
    </row>
    <row r="643" spans="1:32">
      <c r="A643" s="2972">
        <v>642</v>
      </c>
      <c r="B643" s="2974" t="s">
        <v>3201</v>
      </c>
      <c r="C643" s="2973" t="s">
        <v>3214</v>
      </c>
      <c r="D643" s="2981" t="s">
        <v>3215</v>
      </c>
      <c r="E643" s="2974">
        <v>101</v>
      </c>
      <c r="F643" s="2974">
        <v>53.84</v>
      </c>
      <c r="G643" s="2979">
        <v>12.44</v>
      </c>
      <c r="H643" s="2979">
        <v>66.28</v>
      </c>
      <c r="I643" s="2979" t="s">
        <v>3055</v>
      </c>
      <c r="J643" s="2974" t="s">
        <v>3143</v>
      </c>
      <c r="L643" s="2976"/>
      <c r="M643" s="2976"/>
      <c r="N643" s="2976"/>
      <c r="O643" s="2976"/>
      <c r="P643" s="2976"/>
      <c r="Q643" s="2976"/>
      <c r="R643" s="2976"/>
      <c r="S643" s="2976"/>
      <c r="T643" s="2976"/>
      <c r="U643" s="2976"/>
      <c r="V643" s="2976"/>
      <c r="W643" s="2976"/>
      <c r="X643" s="2976"/>
      <c r="Y643" s="2976"/>
      <c r="Z643" s="2976"/>
      <c r="AA643" s="2976"/>
      <c r="AB643" s="2976"/>
      <c r="AC643" s="2976"/>
      <c r="AD643" s="2976"/>
      <c r="AE643" s="2976"/>
      <c r="AF643" s="2976"/>
    </row>
    <row r="644" spans="1:32">
      <c r="A644" s="2972">
        <v>643</v>
      </c>
      <c r="B644" s="2974" t="s">
        <v>3201</v>
      </c>
      <c r="C644" s="2973" t="s">
        <v>3214</v>
      </c>
      <c r="D644" s="2981" t="s">
        <v>3215</v>
      </c>
      <c r="E644" s="2974">
        <v>102</v>
      </c>
      <c r="F644" s="2974">
        <v>56.67</v>
      </c>
      <c r="G644" s="2979">
        <v>13.1</v>
      </c>
      <c r="H644" s="2979">
        <v>69.77</v>
      </c>
      <c r="I644" s="2979" t="s">
        <v>3055</v>
      </c>
      <c r="J644" s="2974" t="s">
        <v>3144</v>
      </c>
      <c r="L644" s="2976"/>
      <c r="M644" s="2976"/>
      <c r="N644" s="2976"/>
      <c r="O644" s="2976"/>
      <c r="P644" s="2976"/>
      <c r="Q644" s="2976"/>
      <c r="R644" s="2976"/>
      <c r="S644" s="2976"/>
      <c r="T644" s="2976"/>
      <c r="U644" s="2976"/>
      <c r="V644" s="2976"/>
      <c r="W644" s="2976"/>
      <c r="X644" s="2976"/>
      <c r="Y644" s="2976"/>
      <c r="Z644" s="2976"/>
      <c r="AA644" s="2976"/>
      <c r="AB644" s="2976"/>
      <c r="AC644" s="2976"/>
      <c r="AD644" s="2976"/>
      <c r="AE644" s="2976"/>
      <c r="AF644" s="2976"/>
    </row>
    <row r="645" spans="1:32">
      <c r="A645" s="2972">
        <v>644</v>
      </c>
      <c r="B645" s="2974" t="s">
        <v>3201</v>
      </c>
      <c r="C645" s="2973" t="s">
        <v>3214</v>
      </c>
      <c r="D645" s="2981" t="s">
        <v>3215</v>
      </c>
      <c r="E645" s="2974">
        <v>103</v>
      </c>
      <c r="F645" s="2974">
        <v>56.81</v>
      </c>
      <c r="G645" s="2979">
        <v>13.13</v>
      </c>
      <c r="H645" s="2979">
        <v>69.94</v>
      </c>
      <c r="I645" s="2979" t="s">
        <v>3055</v>
      </c>
      <c r="J645" s="2974" t="s">
        <v>3144</v>
      </c>
      <c r="L645" s="2976"/>
      <c r="M645" s="2976"/>
      <c r="N645" s="2976"/>
      <c r="O645" s="2976"/>
      <c r="P645" s="2976"/>
      <c r="Q645" s="2976"/>
      <c r="R645" s="2976"/>
      <c r="S645" s="2976"/>
      <c r="T645" s="2976"/>
      <c r="U645" s="2976"/>
      <c r="V645" s="2976"/>
      <c r="W645" s="2976"/>
      <c r="X645" s="2976"/>
      <c r="Y645" s="2976"/>
      <c r="Z645" s="2976"/>
      <c r="AA645" s="2976"/>
      <c r="AB645" s="2976"/>
      <c r="AC645" s="2976"/>
      <c r="AD645" s="2976"/>
      <c r="AE645" s="2976"/>
      <c r="AF645" s="2976"/>
    </row>
    <row r="646" spans="1:32">
      <c r="A646" s="2972">
        <v>645</v>
      </c>
      <c r="B646" s="2974" t="s">
        <v>3201</v>
      </c>
      <c r="C646" s="2973" t="s">
        <v>3214</v>
      </c>
      <c r="D646" s="2981" t="s">
        <v>3215</v>
      </c>
      <c r="E646" s="2974">
        <v>105</v>
      </c>
      <c r="F646" s="2980">
        <v>56.81</v>
      </c>
      <c r="G646" s="2979">
        <v>13.13</v>
      </c>
      <c r="H646" s="2979">
        <v>69.94</v>
      </c>
      <c r="I646" s="2979" t="s">
        <v>3055</v>
      </c>
      <c r="J646" s="2974" t="s">
        <v>3144</v>
      </c>
      <c r="L646" s="2976"/>
      <c r="M646" s="2976"/>
      <c r="N646" s="2976"/>
      <c r="O646" s="2976"/>
      <c r="P646" s="2976"/>
      <c r="Q646" s="2976"/>
      <c r="R646" s="2976"/>
      <c r="S646" s="2976"/>
      <c r="T646" s="2976"/>
      <c r="U646" s="2976"/>
      <c r="V646" s="2976"/>
      <c r="W646" s="2976"/>
      <c r="X646" s="2976"/>
      <c r="Y646" s="2976"/>
      <c r="Z646" s="2976"/>
      <c r="AA646" s="2976"/>
      <c r="AB646" s="2976"/>
      <c r="AC646" s="2976"/>
      <c r="AD646" s="2976"/>
      <c r="AE646" s="2976"/>
      <c r="AF646" s="2976"/>
    </row>
    <row r="647" spans="1:32">
      <c r="A647" s="2972">
        <v>646</v>
      </c>
      <c r="B647" s="2974" t="s">
        <v>3201</v>
      </c>
      <c r="C647" s="2973" t="s">
        <v>3214</v>
      </c>
      <c r="D647" s="2981" t="s">
        <v>3215</v>
      </c>
      <c r="E647" s="2974">
        <v>106</v>
      </c>
      <c r="F647" s="2974">
        <v>56.67</v>
      </c>
      <c r="G647" s="2979">
        <v>13.1</v>
      </c>
      <c r="H647" s="2979">
        <v>69.77</v>
      </c>
      <c r="I647" s="2979" t="s">
        <v>3055</v>
      </c>
      <c r="J647" s="2974" t="s">
        <v>3144</v>
      </c>
      <c r="L647" s="2976"/>
      <c r="M647" s="2976"/>
      <c r="N647" s="2976"/>
      <c r="O647" s="2976"/>
      <c r="P647" s="2976"/>
      <c r="Q647" s="2976"/>
      <c r="R647" s="2976"/>
      <c r="S647" s="2976"/>
      <c r="T647" s="2976"/>
      <c r="U647" s="2976"/>
      <c r="V647" s="2976"/>
      <c r="W647" s="2976"/>
      <c r="X647" s="2976"/>
      <c r="Y647" s="2976"/>
      <c r="Z647" s="2976"/>
      <c r="AA647" s="2976"/>
      <c r="AB647" s="2976"/>
      <c r="AC647" s="2976"/>
      <c r="AD647" s="2976"/>
      <c r="AE647" s="2976"/>
      <c r="AF647" s="2976"/>
    </row>
    <row r="648" spans="1:32">
      <c r="A648" s="2972">
        <v>647</v>
      </c>
      <c r="B648" s="2974" t="s">
        <v>3201</v>
      </c>
      <c r="C648" s="2973" t="s">
        <v>3214</v>
      </c>
      <c r="D648" s="2981" t="s">
        <v>3215</v>
      </c>
      <c r="E648" s="2974">
        <v>107</v>
      </c>
      <c r="F648" s="2974">
        <v>53.84</v>
      </c>
      <c r="G648" s="2979">
        <v>12.44</v>
      </c>
      <c r="H648" s="2979">
        <v>66.28</v>
      </c>
      <c r="I648" s="2979" t="s">
        <v>3055</v>
      </c>
      <c r="J648" s="2974" t="s">
        <v>3143</v>
      </c>
      <c r="L648" s="2976"/>
      <c r="M648" s="2976"/>
      <c r="N648" s="2976"/>
      <c r="O648" s="2976"/>
      <c r="P648" s="2976"/>
      <c r="Q648" s="2976"/>
      <c r="R648" s="2976"/>
      <c r="S648" s="2976"/>
      <c r="T648" s="2976"/>
      <c r="U648" s="2976"/>
      <c r="V648" s="2976"/>
      <c r="W648" s="2976"/>
      <c r="X648" s="2976"/>
      <c r="Y648" s="2976"/>
      <c r="Z648" s="2976"/>
      <c r="AA648" s="2976"/>
      <c r="AB648" s="2976"/>
      <c r="AC648" s="2976"/>
      <c r="AD648" s="2976"/>
      <c r="AE648" s="2976"/>
      <c r="AF648" s="2976"/>
    </row>
    <row r="649" spans="1:32">
      <c r="A649" s="2972">
        <v>648</v>
      </c>
      <c r="B649" s="2974" t="s">
        <v>3201</v>
      </c>
      <c r="C649" s="2973" t="s">
        <v>3216</v>
      </c>
      <c r="D649" s="2981" t="s">
        <v>3213</v>
      </c>
      <c r="E649" s="2974">
        <v>206</v>
      </c>
      <c r="F649" s="2974">
        <v>56.67</v>
      </c>
      <c r="G649" s="2979">
        <v>13.1</v>
      </c>
      <c r="H649" s="2979">
        <v>69.77</v>
      </c>
      <c r="I649" s="2979" t="s">
        <v>3055</v>
      </c>
      <c r="J649" s="2974" t="s">
        <v>3144</v>
      </c>
      <c r="L649" s="2976"/>
      <c r="M649" s="2976"/>
      <c r="N649" s="2976"/>
      <c r="O649" s="2976"/>
      <c r="P649" s="2976"/>
      <c r="Q649" s="2976"/>
      <c r="R649" s="2976"/>
      <c r="S649" s="2976"/>
      <c r="T649" s="2976"/>
      <c r="U649" s="2976"/>
      <c r="V649" s="2976"/>
      <c r="W649" s="2976"/>
      <c r="X649" s="2976"/>
      <c r="Y649" s="2976"/>
      <c r="Z649" s="2976"/>
      <c r="AA649" s="2976"/>
      <c r="AB649" s="2976"/>
      <c r="AC649" s="2976"/>
      <c r="AD649" s="2976"/>
      <c r="AE649" s="2976"/>
      <c r="AF649" s="2976"/>
    </row>
    <row r="650" spans="1:32">
      <c r="A650" s="2972">
        <v>649</v>
      </c>
      <c r="B650" s="2974" t="s">
        <v>3201</v>
      </c>
      <c r="C650" s="2973" t="s">
        <v>3216</v>
      </c>
      <c r="D650" s="2981" t="s">
        <v>3213</v>
      </c>
      <c r="E650" s="2974">
        <v>207</v>
      </c>
      <c r="F650" s="2974">
        <v>53.84</v>
      </c>
      <c r="G650" s="2979">
        <v>12.44</v>
      </c>
      <c r="H650" s="2979">
        <v>66.28</v>
      </c>
      <c r="I650" s="2979" t="s">
        <v>3055</v>
      </c>
      <c r="J650" s="2974" t="s">
        <v>3143</v>
      </c>
      <c r="L650" s="2976"/>
      <c r="M650" s="2976"/>
      <c r="N650" s="2976"/>
      <c r="O650" s="2976"/>
      <c r="P650" s="2976"/>
      <c r="Q650" s="2976"/>
      <c r="R650" s="2976"/>
      <c r="S650" s="2976"/>
      <c r="T650" s="2976"/>
      <c r="U650" s="2976"/>
      <c r="V650" s="2976"/>
      <c r="W650" s="2976"/>
      <c r="X650" s="2976"/>
      <c r="Y650" s="2976"/>
      <c r="Z650" s="2976"/>
      <c r="AA650" s="2976"/>
      <c r="AB650" s="2976"/>
      <c r="AC650" s="2976"/>
      <c r="AD650" s="2976"/>
      <c r="AE650" s="2976"/>
      <c r="AF650" s="2976"/>
    </row>
    <row r="651" spans="1:32">
      <c r="A651" s="2972">
        <v>650</v>
      </c>
      <c r="B651" s="2974" t="s">
        <v>3201</v>
      </c>
      <c r="C651" s="2973" t="s">
        <v>3217</v>
      </c>
      <c r="D651" s="2981" t="s">
        <v>3213</v>
      </c>
      <c r="E651" s="2974" t="s">
        <v>3145</v>
      </c>
      <c r="F651" s="2974">
        <v>53.84</v>
      </c>
      <c r="G651" s="2979">
        <v>12.44</v>
      </c>
      <c r="H651" s="2979">
        <v>66.28</v>
      </c>
      <c r="I651" s="2979" t="s">
        <v>3055</v>
      </c>
      <c r="J651" s="2974" t="s">
        <v>3143</v>
      </c>
      <c r="L651" s="2976"/>
      <c r="M651" s="2976"/>
      <c r="N651" s="2976"/>
      <c r="O651" s="2976"/>
      <c r="P651" s="2976"/>
      <c r="Q651" s="2976"/>
      <c r="R651" s="2976"/>
      <c r="S651" s="2976"/>
      <c r="T651" s="2976"/>
      <c r="U651" s="2976"/>
      <c r="V651" s="2976"/>
      <c r="W651" s="2976"/>
      <c r="X651" s="2976"/>
      <c r="Y651" s="2976"/>
      <c r="Z651" s="2976"/>
      <c r="AA651" s="2976"/>
      <c r="AB651" s="2976"/>
      <c r="AC651" s="2976"/>
      <c r="AD651" s="2976"/>
      <c r="AE651" s="2976"/>
      <c r="AF651" s="2976"/>
    </row>
    <row r="652" spans="1:32">
      <c r="A652" s="2972">
        <v>651</v>
      </c>
      <c r="B652" s="2974" t="s">
        <v>3201</v>
      </c>
      <c r="C652" s="2973" t="s">
        <v>3217</v>
      </c>
      <c r="D652" s="2981" t="s">
        <v>3213</v>
      </c>
      <c r="E652" s="2974" t="s">
        <v>3150</v>
      </c>
      <c r="F652" s="2974">
        <v>53.84</v>
      </c>
      <c r="G652" s="2979">
        <v>12.44</v>
      </c>
      <c r="H652" s="2979">
        <v>66.28</v>
      </c>
      <c r="I652" s="2979" t="s">
        <v>3055</v>
      </c>
      <c r="J652" s="2974" t="s">
        <v>3143</v>
      </c>
      <c r="L652" s="2976"/>
      <c r="M652" s="2976"/>
      <c r="N652" s="2976"/>
      <c r="O652" s="2976"/>
      <c r="P652" s="2976"/>
      <c r="Q652" s="2976"/>
      <c r="R652" s="2976"/>
      <c r="S652" s="2976"/>
      <c r="T652" s="2976"/>
      <c r="U652" s="2976"/>
      <c r="V652" s="2976"/>
      <c r="W652" s="2976"/>
      <c r="X652" s="2976"/>
      <c r="Y652" s="2976"/>
      <c r="Z652" s="2976"/>
      <c r="AA652" s="2976"/>
      <c r="AB652" s="2976"/>
      <c r="AC652" s="2976"/>
      <c r="AD652" s="2976"/>
      <c r="AE652" s="2976"/>
      <c r="AF652" s="2976"/>
    </row>
    <row r="653" spans="1:32">
      <c r="A653" s="2972">
        <v>652</v>
      </c>
      <c r="B653" s="2974" t="s">
        <v>3201</v>
      </c>
      <c r="C653" s="2973" t="s">
        <v>3218</v>
      </c>
      <c r="D653" s="2981" t="s">
        <v>3213</v>
      </c>
      <c r="E653" s="2974">
        <v>506</v>
      </c>
      <c r="F653" s="2974">
        <v>56.67</v>
      </c>
      <c r="G653" s="2979">
        <v>13.1</v>
      </c>
      <c r="H653" s="2979">
        <v>69.77</v>
      </c>
      <c r="I653" s="2979" t="s">
        <v>3055</v>
      </c>
      <c r="J653" s="2974" t="s">
        <v>3144</v>
      </c>
      <c r="L653" s="2976"/>
      <c r="M653" s="2976"/>
      <c r="N653" s="2976"/>
      <c r="O653" s="2976"/>
      <c r="P653" s="2976"/>
      <c r="Q653" s="2976"/>
      <c r="R653" s="2976"/>
      <c r="S653" s="2976"/>
      <c r="T653" s="2976"/>
      <c r="U653" s="2976"/>
      <c r="V653" s="2976"/>
      <c r="W653" s="2976"/>
      <c r="X653" s="2976"/>
      <c r="Y653" s="2976"/>
      <c r="Z653" s="2976"/>
      <c r="AA653" s="2976"/>
      <c r="AB653" s="2976"/>
      <c r="AC653" s="2976"/>
      <c r="AD653" s="2976"/>
      <c r="AE653" s="2976"/>
      <c r="AF653" s="2976"/>
    </row>
    <row r="654" spans="1:32">
      <c r="A654" s="2972">
        <v>653</v>
      </c>
      <c r="B654" s="2974" t="s">
        <v>3201</v>
      </c>
      <c r="C654" s="2973" t="s">
        <v>3218</v>
      </c>
      <c r="D654" s="2981" t="s">
        <v>3213</v>
      </c>
      <c r="E654" s="2974">
        <v>507</v>
      </c>
      <c r="F654" s="2974">
        <v>53.84</v>
      </c>
      <c r="G654" s="2979">
        <v>12.44</v>
      </c>
      <c r="H654" s="2979">
        <v>66.28</v>
      </c>
      <c r="I654" s="2979" t="s">
        <v>3055</v>
      </c>
      <c r="J654" s="2974" t="s">
        <v>3143</v>
      </c>
      <c r="L654" s="2976"/>
      <c r="M654" s="2976"/>
      <c r="N654" s="2976"/>
      <c r="O654" s="2976"/>
      <c r="P654" s="2976"/>
      <c r="Q654" s="2976"/>
      <c r="R654" s="2976"/>
      <c r="S654" s="2976"/>
      <c r="T654" s="2976"/>
      <c r="U654" s="2976"/>
      <c r="V654" s="2976"/>
      <c r="W654" s="2976"/>
      <c r="X654" s="2976"/>
      <c r="Y654" s="2976"/>
      <c r="Z654" s="2976"/>
      <c r="AA654" s="2976"/>
      <c r="AB654" s="2976"/>
      <c r="AC654" s="2976"/>
      <c r="AD654" s="2976"/>
      <c r="AE654" s="2976"/>
      <c r="AF654" s="2976"/>
    </row>
    <row r="655" spans="1:32">
      <c r="A655" s="2972">
        <v>654</v>
      </c>
      <c r="B655" s="2974" t="s">
        <v>3201</v>
      </c>
      <c r="C655" s="2973" t="s">
        <v>3218</v>
      </c>
      <c r="D655" s="2981" t="s">
        <v>3215</v>
      </c>
      <c r="E655" s="2974">
        <v>507</v>
      </c>
      <c r="F655" s="2974">
        <v>53.84</v>
      </c>
      <c r="G655" s="2979">
        <v>12.44</v>
      </c>
      <c r="H655" s="2979">
        <v>66.28</v>
      </c>
      <c r="I655" s="2979" t="s">
        <v>3055</v>
      </c>
      <c r="J655" s="2974" t="s">
        <v>3143</v>
      </c>
      <c r="L655" s="2976"/>
      <c r="M655" s="2976"/>
      <c r="N655" s="2976"/>
      <c r="O655" s="2976"/>
      <c r="P655" s="2976"/>
      <c r="Q655" s="2976"/>
      <c r="R655" s="2976"/>
      <c r="S655" s="2976"/>
      <c r="T655" s="2976"/>
      <c r="U655" s="2976"/>
      <c r="V655" s="2976"/>
      <c r="W655" s="2976"/>
      <c r="X655" s="2976"/>
      <c r="Y655" s="2976"/>
      <c r="Z655" s="2976"/>
      <c r="AA655" s="2976"/>
      <c r="AB655" s="2976"/>
      <c r="AC655" s="2976"/>
      <c r="AD655" s="2976"/>
      <c r="AE655" s="2976"/>
      <c r="AF655" s="2976"/>
    </row>
    <row r="656" spans="1:32">
      <c r="A656" s="2972">
        <v>655</v>
      </c>
      <c r="B656" s="2974" t="s">
        <v>3201</v>
      </c>
      <c r="C656" s="2973" t="s">
        <v>3219</v>
      </c>
      <c r="D656" s="2981" t="s">
        <v>3213</v>
      </c>
      <c r="E656" s="2974">
        <v>602</v>
      </c>
      <c r="F656" s="2974">
        <v>56.67</v>
      </c>
      <c r="G656" s="2979">
        <v>13.1</v>
      </c>
      <c r="H656" s="2979">
        <v>69.77</v>
      </c>
      <c r="I656" s="2979" t="s">
        <v>3055</v>
      </c>
      <c r="J656" s="2974" t="s">
        <v>3144</v>
      </c>
      <c r="L656" s="2976"/>
      <c r="M656" s="2976"/>
      <c r="N656" s="2976"/>
      <c r="O656" s="2976"/>
      <c r="P656" s="2976"/>
      <c r="Q656" s="2976"/>
      <c r="R656" s="2976"/>
      <c r="S656" s="2976"/>
      <c r="T656" s="2976"/>
      <c r="U656" s="2976"/>
      <c r="V656" s="2976"/>
      <c r="W656" s="2976"/>
      <c r="X656" s="2976"/>
      <c r="Y656" s="2976"/>
      <c r="Z656" s="2976"/>
      <c r="AA656" s="2976"/>
      <c r="AB656" s="2976"/>
      <c r="AC656" s="2976"/>
      <c r="AD656" s="2976"/>
      <c r="AE656" s="2976"/>
      <c r="AF656" s="2976"/>
    </row>
    <row r="657" spans="1:32">
      <c r="A657" s="2972">
        <v>656</v>
      </c>
      <c r="B657" s="2974" t="s">
        <v>3201</v>
      </c>
      <c r="C657" s="2973" t="s">
        <v>3219</v>
      </c>
      <c r="D657" s="2981" t="s">
        <v>3213</v>
      </c>
      <c r="E657" s="2974">
        <v>603</v>
      </c>
      <c r="F657" s="2974">
        <v>56.81</v>
      </c>
      <c r="G657" s="2979">
        <v>13.13</v>
      </c>
      <c r="H657" s="2979">
        <v>69.94</v>
      </c>
      <c r="I657" s="2979" t="s">
        <v>3055</v>
      </c>
      <c r="J657" s="2974" t="s">
        <v>3144</v>
      </c>
      <c r="L657" s="2976"/>
      <c r="M657" s="2976"/>
      <c r="N657" s="2976"/>
      <c r="O657" s="2976"/>
      <c r="P657" s="2976"/>
      <c r="Q657" s="2976"/>
      <c r="R657" s="2976"/>
      <c r="S657" s="2976"/>
      <c r="T657" s="2976"/>
      <c r="U657" s="2976"/>
      <c r="V657" s="2976"/>
      <c r="W657" s="2976"/>
      <c r="X657" s="2976"/>
      <c r="Y657" s="2976"/>
      <c r="Z657" s="2976"/>
      <c r="AA657" s="2976"/>
      <c r="AB657" s="2976"/>
      <c r="AC657" s="2976"/>
      <c r="AD657" s="2976"/>
      <c r="AE657" s="2976"/>
      <c r="AF657" s="2976"/>
    </row>
    <row r="658" spans="1:32">
      <c r="A658" s="2972">
        <v>657</v>
      </c>
      <c r="B658" s="2974" t="s">
        <v>3201</v>
      </c>
      <c r="C658" s="2973" t="s">
        <v>3219</v>
      </c>
      <c r="D658" s="2981" t="s">
        <v>3213</v>
      </c>
      <c r="E658" s="2974">
        <v>605</v>
      </c>
      <c r="F658" s="2974">
        <v>56.81</v>
      </c>
      <c r="G658" s="2979">
        <v>13.13</v>
      </c>
      <c r="H658" s="2979">
        <v>69.94</v>
      </c>
      <c r="I658" s="2979" t="s">
        <v>3055</v>
      </c>
      <c r="J658" s="2974" t="s">
        <v>3144</v>
      </c>
      <c r="L658" s="2976"/>
      <c r="M658" s="2976"/>
      <c r="N658" s="2976"/>
      <c r="O658" s="2976"/>
      <c r="P658" s="2976"/>
      <c r="Q658" s="2976"/>
      <c r="R658" s="2976"/>
      <c r="S658" s="2976"/>
      <c r="T658" s="2976"/>
      <c r="U658" s="2976"/>
      <c r="V658" s="2976"/>
      <c r="W658" s="2976"/>
      <c r="X658" s="2976"/>
      <c r="Y658" s="2976"/>
      <c r="Z658" s="2976"/>
      <c r="AA658" s="2976"/>
      <c r="AB658" s="2976"/>
      <c r="AC658" s="2976"/>
      <c r="AD658" s="2976"/>
      <c r="AE658" s="2976"/>
      <c r="AF658" s="2976"/>
    </row>
    <row r="659" spans="1:32">
      <c r="A659" s="2972">
        <v>658</v>
      </c>
      <c r="B659" s="2974" t="s">
        <v>3201</v>
      </c>
      <c r="C659" s="2973" t="s">
        <v>3219</v>
      </c>
      <c r="D659" s="2981" t="s">
        <v>3213</v>
      </c>
      <c r="E659" s="2974">
        <v>606</v>
      </c>
      <c r="F659" s="2974">
        <v>56.67</v>
      </c>
      <c r="G659" s="2979">
        <v>13.1</v>
      </c>
      <c r="H659" s="2979">
        <v>69.77</v>
      </c>
      <c r="I659" s="2979" t="s">
        <v>3055</v>
      </c>
      <c r="J659" s="2974" t="s">
        <v>3144</v>
      </c>
      <c r="L659" s="2976"/>
      <c r="M659" s="2976"/>
      <c r="N659" s="2976"/>
      <c r="O659" s="2976"/>
      <c r="P659" s="2976"/>
      <c r="Q659" s="2976"/>
      <c r="R659" s="2976"/>
      <c r="S659" s="2976"/>
      <c r="T659" s="2976"/>
      <c r="U659" s="2976"/>
      <c r="V659" s="2976"/>
      <c r="W659" s="2976"/>
      <c r="X659" s="2976"/>
      <c r="Y659" s="2976"/>
      <c r="Z659" s="2976"/>
      <c r="AA659" s="2976"/>
      <c r="AB659" s="2976"/>
      <c r="AC659" s="2976"/>
      <c r="AD659" s="2976"/>
      <c r="AE659" s="2976"/>
      <c r="AF659" s="2976"/>
    </row>
    <row r="660" spans="1:32">
      <c r="A660" s="2972">
        <v>659</v>
      </c>
      <c r="B660" s="2974" t="s">
        <v>3201</v>
      </c>
      <c r="C660" s="2973" t="s">
        <v>3219</v>
      </c>
      <c r="D660" s="2981" t="s">
        <v>3215</v>
      </c>
      <c r="E660" s="2974">
        <v>603</v>
      </c>
      <c r="F660" s="2974">
        <v>56.81</v>
      </c>
      <c r="G660" s="2979">
        <v>13.13</v>
      </c>
      <c r="H660" s="2979">
        <v>69.94</v>
      </c>
      <c r="I660" s="2979" t="s">
        <v>3055</v>
      </c>
      <c r="J660" s="2974" t="s">
        <v>3144</v>
      </c>
      <c r="L660" s="2976"/>
      <c r="M660" s="2976"/>
      <c r="N660" s="2976"/>
      <c r="O660" s="2976"/>
      <c r="P660" s="2976"/>
      <c r="Q660" s="2976"/>
      <c r="R660" s="2976"/>
      <c r="S660" s="2976"/>
      <c r="T660" s="2976"/>
      <c r="U660" s="2976"/>
      <c r="V660" s="2976"/>
      <c r="W660" s="2976"/>
      <c r="X660" s="2976"/>
      <c r="Y660" s="2976"/>
      <c r="Z660" s="2976"/>
      <c r="AA660" s="2976"/>
      <c r="AB660" s="2976"/>
      <c r="AC660" s="2976"/>
      <c r="AD660" s="2976"/>
      <c r="AE660" s="2976"/>
      <c r="AF660" s="2976"/>
    </row>
    <row r="661" spans="1:32">
      <c r="A661" s="2972">
        <v>660</v>
      </c>
      <c r="B661" s="2974" t="s">
        <v>3201</v>
      </c>
      <c r="C661" s="2973" t="s">
        <v>3219</v>
      </c>
      <c r="D661" s="2981" t="s">
        <v>3215</v>
      </c>
      <c r="E661" s="2974">
        <v>605</v>
      </c>
      <c r="F661" s="2974">
        <v>56.81</v>
      </c>
      <c r="G661" s="2979">
        <v>13.13</v>
      </c>
      <c r="H661" s="2979">
        <v>69.94</v>
      </c>
      <c r="I661" s="2979" t="s">
        <v>3055</v>
      </c>
      <c r="J661" s="2974" t="s">
        <v>3144</v>
      </c>
      <c r="L661" s="2976"/>
      <c r="M661" s="2976"/>
      <c r="N661" s="2976"/>
      <c r="O661" s="2976"/>
      <c r="P661" s="2976"/>
      <c r="Q661" s="2976"/>
      <c r="R661" s="2976"/>
      <c r="S661" s="2976"/>
      <c r="T661" s="2976"/>
      <c r="U661" s="2976"/>
      <c r="V661" s="2976"/>
      <c r="W661" s="2976"/>
      <c r="X661" s="2976"/>
      <c r="Y661" s="2976"/>
      <c r="Z661" s="2976"/>
      <c r="AA661" s="2976"/>
      <c r="AB661" s="2976"/>
      <c r="AC661" s="2976"/>
      <c r="AD661" s="2976"/>
      <c r="AE661" s="2976"/>
      <c r="AF661" s="2976"/>
    </row>
    <row r="662" spans="1:32">
      <c r="A662" s="2972">
        <v>661</v>
      </c>
      <c r="B662" s="2974" t="s">
        <v>3201</v>
      </c>
      <c r="C662" s="2973" t="s">
        <v>3219</v>
      </c>
      <c r="D662" s="2981" t="s">
        <v>3215</v>
      </c>
      <c r="E662" s="2974">
        <v>606</v>
      </c>
      <c r="F662" s="2974">
        <v>56.67</v>
      </c>
      <c r="G662" s="2979">
        <v>13.1</v>
      </c>
      <c r="H662" s="2979">
        <v>69.77</v>
      </c>
      <c r="I662" s="2979" t="s">
        <v>3055</v>
      </c>
      <c r="J662" s="2974" t="s">
        <v>3144</v>
      </c>
      <c r="L662" s="2976"/>
      <c r="M662" s="2976"/>
      <c r="N662" s="2976"/>
      <c r="O662" s="2976"/>
      <c r="P662" s="2976"/>
      <c r="Q662" s="2976"/>
      <c r="R662" s="2976"/>
      <c r="S662" s="2976"/>
      <c r="T662" s="2976"/>
      <c r="U662" s="2976"/>
      <c r="V662" s="2976"/>
      <c r="W662" s="2976"/>
      <c r="X662" s="2976"/>
      <c r="Y662" s="2976"/>
      <c r="Z662" s="2976"/>
      <c r="AA662" s="2976"/>
      <c r="AB662" s="2976"/>
      <c r="AC662" s="2976"/>
      <c r="AD662" s="2976"/>
      <c r="AE662" s="2976"/>
      <c r="AF662" s="2976"/>
    </row>
    <row r="663" spans="1:32">
      <c r="A663" s="2972">
        <v>662</v>
      </c>
      <c r="B663" s="2974" t="s">
        <v>3246</v>
      </c>
      <c r="C663" s="2982" t="s">
        <v>3152</v>
      </c>
      <c r="D663" s="2972" t="s">
        <v>3183</v>
      </c>
      <c r="E663" s="2982" t="s">
        <v>3132</v>
      </c>
      <c r="F663" s="2983">
        <v>94.9</v>
      </c>
      <c r="G663" s="2979">
        <v>3.5</v>
      </c>
      <c r="H663" s="2979">
        <v>98.4</v>
      </c>
      <c r="I663" s="2974" t="s">
        <v>1373</v>
      </c>
      <c r="J663" s="2981" t="s">
        <v>3133</v>
      </c>
      <c r="L663" s="2976"/>
      <c r="M663" s="2976"/>
      <c r="N663" s="2976"/>
      <c r="O663" s="2976"/>
      <c r="P663" s="2976"/>
      <c r="Q663" s="2976"/>
      <c r="R663" s="2976"/>
      <c r="S663" s="2976"/>
      <c r="T663" s="2976"/>
      <c r="U663" s="2976"/>
      <c r="V663" s="2976"/>
      <c r="W663" s="2976"/>
      <c r="X663" s="2976"/>
      <c r="Y663" s="2976"/>
      <c r="Z663" s="2976"/>
      <c r="AA663" s="2976"/>
      <c r="AB663" s="2976"/>
      <c r="AC663" s="2976"/>
      <c r="AD663" s="2976"/>
      <c r="AE663" s="2976"/>
      <c r="AF663" s="2976"/>
    </row>
    <row r="664" spans="1:32">
      <c r="A664" s="2972">
        <v>663</v>
      </c>
      <c r="B664" s="2974" t="s">
        <v>3246</v>
      </c>
      <c r="C664" s="2982" t="s">
        <v>3152</v>
      </c>
      <c r="D664" s="2972" t="s">
        <v>3183</v>
      </c>
      <c r="E664" s="2982" t="s">
        <v>3134</v>
      </c>
      <c r="F664" s="2983">
        <v>101.08</v>
      </c>
      <c r="G664" s="2979">
        <v>3.73</v>
      </c>
      <c r="H664" s="2979">
        <v>104.81</v>
      </c>
      <c r="I664" s="2974" t="s">
        <v>1373</v>
      </c>
      <c r="J664" s="2981" t="s">
        <v>3133</v>
      </c>
      <c r="L664" s="2976"/>
      <c r="M664" s="2976"/>
      <c r="N664" s="2976"/>
      <c r="O664" s="2976"/>
      <c r="P664" s="2976"/>
      <c r="Q664" s="2976"/>
      <c r="R664" s="2976"/>
      <c r="S664" s="2976"/>
      <c r="T664" s="2976"/>
      <c r="U664" s="2976"/>
      <c r="V664" s="2976"/>
      <c r="W664" s="2976"/>
      <c r="X664" s="2976"/>
      <c r="Y664" s="2976"/>
      <c r="Z664" s="2976"/>
      <c r="AA664" s="2976"/>
      <c r="AB664" s="2976"/>
      <c r="AC664" s="2976"/>
      <c r="AD664" s="2976"/>
      <c r="AE664" s="2976"/>
      <c r="AF664" s="2976"/>
    </row>
    <row r="665" spans="1:32">
      <c r="A665" s="2972">
        <v>664</v>
      </c>
      <c r="B665" s="2974" t="s">
        <v>3246</v>
      </c>
      <c r="C665" s="2982" t="s">
        <v>3152</v>
      </c>
      <c r="D665" s="2972" t="s">
        <v>3183</v>
      </c>
      <c r="E665" s="2982" t="s">
        <v>3135</v>
      </c>
      <c r="F665" s="2983">
        <v>100.12</v>
      </c>
      <c r="G665" s="2979">
        <v>3.7</v>
      </c>
      <c r="H665" s="2979">
        <v>103.82000000000001</v>
      </c>
      <c r="I665" s="2974" t="s">
        <v>1373</v>
      </c>
      <c r="J665" s="2981" t="s">
        <v>3133</v>
      </c>
      <c r="L665" s="2976"/>
      <c r="M665" s="2976"/>
      <c r="N665" s="2976"/>
      <c r="O665" s="2976"/>
      <c r="P665" s="2976"/>
      <c r="Q665" s="2976"/>
      <c r="R665" s="2976"/>
      <c r="S665" s="2976"/>
      <c r="T665" s="2976"/>
      <c r="U665" s="2976"/>
      <c r="V665" s="2976"/>
      <c r="W665" s="2976"/>
      <c r="X665" s="2976"/>
      <c r="Y665" s="2976"/>
      <c r="Z665" s="2976"/>
      <c r="AA665" s="2976"/>
      <c r="AB665" s="2976"/>
      <c r="AC665" s="2976"/>
      <c r="AD665" s="2976"/>
      <c r="AE665" s="2976"/>
      <c r="AF665" s="2976"/>
    </row>
    <row r="666" spans="1:32">
      <c r="A666" s="2972">
        <v>665</v>
      </c>
      <c r="B666" s="2974" t="s">
        <v>3246</v>
      </c>
      <c r="C666" s="2982" t="s">
        <v>3152</v>
      </c>
      <c r="D666" s="2972" t="s">
        <v>3183</v>
      </c>
      <c r="E666" s="2982" t="s">
        <v>3136</v>
      </c>
      <c r="F666" s="2983">
        <v>51.8</v>
      </c>
      <c r="G666" s="2979">
        <v>1.91</v>
      </c>
      <c r="H666" s="2979">
        <v>53.709999999999994</v>
      </c>
      <c r="I666" s="2974" t="s">
        <v>1373</v>
      </c>
      <c r="J666" s="2981" t="s">
        <v>3133</v>
      </c>
      <c r="L666" s="2976"/>
      <c r="M666" s="2976"/>
      <c r="N666" s="2976"/>
      <c r="O666" s="2976"/>
      <c r="P666" s="2976"/>
      <c r="Q666" s="2976"/>
      <c r="R666" s="2976"/>
      <c r="S666" s="2976"/>
      <c r="T666" s="2976"/>
      <c r="U666" s="2976"/>
      <c r="V666" s="2976"/>
      <c r="W666" s="2976"/>
      <c r="X666" s="2976"/>
      <c r="Y666" s="2976"/>
      <c r="Z666" s="2976"/>
      <c r="AA666" s="2976"/>
      <c r="AB666" s="2976"/>
      <c r="AC666" s="2976"/>
      <c r="AD666" s="2976"/>
      <c r="AE666" s="2976"/>
      <c r="AF666" s="2976"/>
    </row>
    <row r="667" spans="1:32">
      <c r="A667" s="2972">
        <v>666</v>
      </c>
      <c r="B667" s="2974" t="s">
        <v>3246</v>
      </c>
      <c r="C667" s="2982" t="s">
        <v>3152</v>
      </c>
      <c r="D667" s="2972" t="s">
        <v>3183</v>
      </c>
      <c r="E667" s="2982" t="s">
        <v>3137</v>
      </c>
      <c r="F667" s="2983">
        <v>101.09</v>
      </c>
      <c r="G667" s="2979">
        <v>3.73</v>
      </c>
      <c r="H667" s="2979">
        <v>104.82000000000001</v>
      </c>
      <c r="I667" s="2974" t="s">
        <v>1373</v>
      </c>
      <c r="J667" s="2981" t="s">
        <v>3133</v>
      </c>
      <c r="L667" s="2976"/>
      <c r="M667" s="2976"/>
      <c r="N667" s="2976"/>
      <c r="O667" s="2976"/>
      <c r="P667" s="2976"/>
      <c r="Q667" s="2976"/>
      <c r="R667" s="2976"/>
      <c r="S667" s="2976"/>
      <c r="T667" s="2976"/>
      <c r="U667" s="2976"/>
      <c r="V667" s="2976"/>
      <c r="W667" s="2976"/>
      <c r="X667" s="2976"/>
      <c r="Y667" s="2976"/>
      <c r="Z667" s="2976"/>
      <c r="AA667" s="2976"/>
      <c r="AB667" s="2976"/>
      <c r="AC667" s="2976"/>
      <c r="AD667" s="2976"/>
      <c r="AE667" s="2976"/>
      <c r="AF667" s="2976"/>
    </row>
    <row r="668" spans="1:32">
      <c r="A668" s="2972">
        <v>667</v>
      </c>
      <c r="B668" s="2974" t="s">
        <v>3246</v>
      </c>
      <c r="C668" s="2982" t="s">
        <v>3152</v>
      </c>
      <c r="D668" s="2972" t="s">
        <v>3183</v>
      </c>
      <c r="E668" s="2982" t="s">
        <v>3138</v>
      </c>
      <c r="F668" s="2983">
        <v>86.279999999999987</v>
      </c>
      <c r="G668" s="2979">
        <v>3.19</v>
      </c>
      <c r="H668" s="2979">
        <v>89.469999999999985</v>
      </c>
      <c r="I668" s="2974" t="s">
        <v>1373</v>
      </c>
      <c r="J668" s="2981" t="s">
        <v>3133</v>
      </c>
      <c r="L668" s="2976"/>
      <c r="M668" s="2976"/>
      <c r="N668" s="2976"/>
      <c r="O668" s="2976"/>
      <c r="P668" s="2976"/>
      <c r="Q668" s="2976"/>
      <c r="R668" s="2976"/>
      <c r="S668" s="2976"/>
      <c r="T668" s="2976"/>
      <c r="U668" s="2976"/>
      <c r="V668" s="2976"/>
      <c r="W668" s="2976"/>
      <c r="X668" s="2976"/>
      <c r="Y668" s="2976"/>
      <c r="Z668" s="2976"/>
      <c r="AA668" s="2976"/>
      <c r="AB668" s="2976"/>
      <c r="AC668" s="2976"/>
      <c r="AD668" s="2976"/>
      <c r="AE668" s="2976"/>
      <c r="AF668" s="2976"/>
    </row>
    <row r="669" spans="1:32">
      <c r="A669" s="2972">
        <v>668</v>
      </c>
      <c r="B669" s="2974" t="s">
        <v>3246</v>
      </c>
      <c r="C669" s="2982" t="s">
        <v>3152</v>
      </c>
      <c r="D669" s="2972" t="s">
        <v>3183</v>
      </c>
      <c r="E669" s="2982" t="s">
        <v>3139</v>
      </c>
      <c r="F669" s="2983">
        <v>86.279999999999987</v>
      </c>
      <c r="G669" s="2979">
        <v>3.19</v>
      </c>
      <c r="H669" s="2979">
        <v>89.469999999999985</v>
      </c>
      <c r="I669" s="2974" t="s">
        <v>1373</v>
      </c>
      <c r="J669" s="2981" t="s">
        <v>3133</v>
      </c>
      <c r="L669" s="2976"/>
      <c r="M669" s="2976"/>
      <c r="N669" s="2976"/>
      <c r="O669" s="2976"/>
      <c r="P669" s="2976"/>
      <c r="Q669" s="2976"/>
      <c r="R669" s="2976"/>
      <c r="S669" s="2976"/>
      <c r="T669" s="2976"/>
      <c r="U669" s="2976"/>
      <c r="V669" s="2976"/>
      <c r="W669" s="2976"/>
      <c r="X669" s="2976"/>
      <c r="Y669" s="2976"/>
      <c r="Z669" s="2976"/>
      <c r="AA669" s="2976"/>
      <c r="AB669" s="2976"/>
      <c r="AC669" s="2976"/>
      <c r="AD669" s="2976"/>
      <c r="AE669" s="2976"/>
      <c r="AF669" s="2976"/>
    </row>
    <row r="670" spans="1:32">
      <c r="A670" s="2972">
        <v>669</v>
      </c>
      <c r="B670" s="2974" t="s">
        <v>3246</v>
      </c>
      <c r="C670" s="2982" t="s">
        <v>3152</v>
      </c>
      <c r="D670" s="2972" t="s">
        <v>3183</v>
      </c>
      <c r="E670" s="2982" t="s">
        <v>3140</v>
      </c>
      <c r="F670" s="2983">
        <v>101.09</v>
      </c>
      <c r="G670" s="2979">
        <v>3.73</v>
      </c>
      <c r="H670" s="2979">
        <v>104.82000000000001</v>
      </c>
      <c r="I670" s="2974" t="s">
        <v>1373</v>
      </c>
      <c r="J670" s="2981" t="s">
        <v>3133</v>
      </c>
      <c r="L670" s="2976"/>
      <c r="M670" s="2976"/>
      <c r="N670" s="2976"/>
      <c r="O670" s="2976"/>
      <c r="P670" s="2976"/>
      <c r="Q670" s="2976"/>
      <c r="R670" s="2976"/>
      <c r="S670" s="2976"/>
      <c r="T670" s="2976"/>
      <c r="U670" s="2976"/>
      <c r="V670" s="2976"/>
      <c r="W670" s="2976"/>
      <c r="X670" s="2976"/>
      <c r="Y670" s="2976"/>
      <c r="Z670" s="2976"/>
      <c r="AA670" s="2976"/>
      <c r="AB670" s="2976"/>
      <c r="AC670" s="2976"/>
      <c r="AD670" s="2976"/>
      <c r="AE670" s="2976"/>
      <c r="AF670" s="2976"/>
    </row>
    <row r="671" spans="1:32">
      <c r="A671" s="2972">
        <v>670</v>
      </c>
      <c r="B671" s="2974" t="s">
        <v>3246</v>
      </c>
      <c r="C671" s="2982" t="s">
        <v>3152</v>
      </c>
      <c r="D671" s="2972" t="s">
        <v>3183</v>
      </c>
      <c r="E671" s="2982" t="s">
        <v>3141</v>
      </c>
      <c r="F671" s="2983">
        <v>51.8</v>
      </c>
      <c r="G671" s="2979">
        <v>1.91</v>
      </c>
      <c r="H671" s="2979">
        <v>53.709999999999994</v>
      </c>
      <c r="I671" s="2974" t="s">
        <v>1373</v>
      </c>
      <c r="J671" s="2981" t="s">
        <v>3133</v>
      </c>
      <c r="L671" s="2976"/>
      <c r="M671" s="2976"/>
      <c r="N671" s="2976"/>
      <c r="O671" s="2976"/>
      <c r="P671" s="2976"/>
      <c r="Q671" s="2976"/>
      <c r="R671" s="2976"/>
      <c r="S671" s="2976"/>
      <c r="T671" s="2976"/>
      <c r="U671" s="2976"/>
      <c r="V671" s="2976"/>
      <c r="W671" s="2976"/>
      <c r="X671" s="2976"/>
      <c r="Y671" s="2976"/>
      <c r="Z671" s="2976"/>
      <c r="AA671" s="2976"/>
      <c r="AB671" s="2976"/>
      <c r="AC671" s="2976"/>
      <c r="AD671" s="2976"/>
      <c r="AE671" s="2976"/>
      <c r="AF671" s="2976"/>
    </row>
    <row r="672" spans="1:32">
      <c r="A672" s="2972">
        <v>671</v>
      </c>
      <c r="B672" s="2974" t="s">
        <v>3246</v>
      </c>
      <c r="C672" s="2982" t="s">
        <v>3152</v>
      </c>
      <c r="D672" s="2972" t="s">
        <v>3183</v>
      </c>
      <c r="E672" s="2982" t="s">
        <v>3142</v>
      </c>
      <c r="F672" s="2983">
        <v>100.12</v>
      </c>
      <c r="G672" s="2979">
        <v>3.7</v>
      </c>
      <c r="H672" s="2979">
        <v>103.82000000000001</v>
      </c>
      <c r="I672" s="2974" t="s">
        <v>1373</v>
      </c>
      <c r="J672" s="2981" t="s">
        <v>3133</v>
      </c>
      <c r="L672" s="2976"/>
      <c r="M672" s="2976"/>
      <c r="N672" s="2976"/>
      <c r="O672" s="2976"/>
      <c r="P672" s="2976"/>
      <c r="Q672" s="2976"/>
      <c r="R672" s="2976"/>
      <c r="S672" s="2976"/>
      <c r="T672" s="2976"/>
      <c r="U672" s="2976"/>
      <c r="V672" s="2976"/>
      <c r="W672" s="2976"/>
      <c r="X672" s="2976"/>
      <c r="Y672" s="2976"/>
      <c r="Z672" s="2976"/>
      <c r="AA672" s="2976"/>
      <c r="AB672" s="2976"/>
      <c r="AC672" s="2976"/>
      <c r="AD672" s="2976"/>
      <c r="AE672" s="2976"/>
      <c r="AF672" s="2976"/>
    </row>
    <row r="673" spans="1:32">
      <c r="A673" s="2972">
        <v>672</v>
      </c>
      <c r="B673" s="2974" t="s">
        <v>3246</v>
      </c>
      <c r="C673" s="2982" t="s">
        <v>3152</v>
      </c>
      <c r="D673" s="2972" t="s">
        <v>3183</v>
      </c>
      <c r="E673" s="2982" t="s">
        <v>3164</v>
      </c>
      <c r="F673" s="2983">
        <v>101.08</v>
      </c>
      <c r="G673" s="2979">
        <v>3.73</v>
      </c>
      <c r="H673" s="2979">
        <v>104.81</v>
      </c>
      <c r="I673" s="2974" t="s">
        <v>1373</v>
      </c>
      <c r="J673" s="2981" t="s">
        <v>3133</v>
      </c>
      <c r="L673" s="2976"/>
      <c r="M673" s="2976"/>
      <c r="N673" s="2976"/>
      <c r="O673" s="2976"/>
      <c r="P673" s="2976"/>
      <c r="Q673" s="2976"/>
      <c r="R673" s="2976"/>
      <c r="S673" s="2976"/>
      <c r="T673" s="2976"/>
      <c r="U673" s="2976"/>
      <c r="V673" s="2976"/>
      <c r="W673" s="2976"/>
      <c r="X673" s="2976"/>
      <c r="Y673" s="2976"/>
      <c r="Z673" s="2976"/>
      <c r="AA673" s="2976"/>
      <c r="AB673" s="2976"/>
      <c r="AC673" s="2976"/>
      <c r="AD673" s="2976"/>
      <c r="AE673" s="2976"/>
      <c r="AF673" s="2976"/>
    </row>
    <row r="674" spans="1:32">
      <c r="A674" s="2972">
        <v>673</v>
      </c>
      <c r="B674" s="2974" t="s">
        <v>3246</v>
      </c>
      <c r="C674" s="2982" t="s">
        <v>3152</v>
      </c>
      <c r="D674" s="2972" t="s">
        <v>3183</v>
      </c>
      <c r="E674" s="2982" t="s">
        <v>3165</v>
      </c>
      <c r="F674" s="2983">
        <v>86.28</v>
      </c>
      <c r="G674" s="2979">
        <v>3.19</v>
      </c>
      <c r="H674" s="2979">
        <v>89.47</v>
      </c>
      <c r="I674" s="2974" t="s">
        <v>1373</v>
      </c>
      <c r="J674" s="2981" t="s">
        <v>3133</v>
      </c>
      <c r="L674" s="2976"/>
      <c r="M674" s="2976"/>
      <c r="N674" s="2976"/>
      <c r="O674" s="2976"/>
      <c r="P674" s="2976"/>
      <c r="Q674" s="2976"/>
      <c r="R674" s="2976"/>
      <c r="S674" s="2976"/>
      <c r="T674" s="2976"/>
      <c r="U674" s="2976"/>
      <c r="V674" s="2976"/>
      <c r="W674" s="2976"/>
      <c r="X674" s="2976"/>
      <c r="Y674" s="2976"/>
      <c r="Z674" s="2976"/>
      <c r="AA674" s="2976"/>
      <c r="AB674" s="2976"/>
      <c r="AC674" s="2976"/>
      <c r="AD674" s="2976"/>
      <c r="AE674" s="2976"/>
      <c r="AF674" s="2976"/>
    </row>
    <row r="675" spans="1:32">
      <c r="A675" s="2972">
        <v>674</v>
      </c>
      <c r="B675" s="2974" t="s">
        <v>3240</v>
      </c>
      <c r="C675" s="2982" t="s">
        <v>3152</v>
      </c>
      <c r="D675" s="2974" t="s">
        <v>3213</v>
      </c>
      <c r="E675" s="2982" t="s">
        <v>3132</v>
      </c>
      <c r="F675" s="2983">
        <v>113.44</v>
      </c>
      <c r="G675" s="2979">
        <v>4.24</v>
      </c>
      <c r="H675" s="2979">
        <v>117.67999999999999</v>
      </c>
      <c r="I675" s="2974" t="s">
        <v>1373</v>
      </c>
      <c r="J675" s="2981" t="s">
        <v>3133</v>
      </c>
      <c r="L675" s="2976"/>
      <c r="M675" s="2976"/>
      <c r="N675" s="2976"/>
      <c r="O675" s="2976"/>
      <c r="P675" s="2976"/>
      <c r="Q675" s="2976"/>
      <c r="R675" s="2976"/>
      <c r="S675" s="2976"/>
      <c r="T675" s="2976"/>
      <c r="U675" s="2976"/>
      <c r="V675" s="2976"/>
      <c r="W675" s="2976"/>
      <c r="X675" s="2976"/>
      <c r="Y675" s="2976"/>
      <c r="Z675" s="2976"/>
      <c r="AA675" s="2976"/>
      <c r="AB675" s="2976"/>
      <c r="AC675" s="2976"/>
      <c r="AD675" s="2976"/>
      <c r="AE675" s="2976"/>
      <c r="AF675" s="2976"/>
    </row>
    <row r="676" spans="1:32">
      <c r="A676" s="2972">
        <v>675</v>
      </c>
      <c r="B676" s="2974" t="s">
        <v>3240</v>
      </c>
      <c r="C676" s="2982" t="s">
        <v>3152</v>
      </c>
      <c r="D676" s="2974" t="s">
        <v>3213</v>
      </c>
      <c r="E676" s="2982" t="s">
        <v>3134</v>
      </c>
      <c r="F676" s="2983">
        <v>84.01</v>
      </c>
      <c r="G676" s="2979">
        <v>3.14</v>
      </c>
      <c r="H676" s="2979">
        <v>87.15</v>
      </c>
      <c r="I676" s="2974" t="s">
        <v>1373</v>
      </c>
      <c r="J676" s="2981" t="s">
        <v>3133</v>
      </c>
      <c r="L676" s="2976"/>
      <c r="M676" s="2976"/>
      <c r="N676" s="2976"/>
      <c r="O676" s="2976"/>
      <c r="P676" s="2976"/>
      <c r="Q676" s="2976"/>
      <c r="R676" s="2976"/>
      <c r="S676" s="2976"/>
      <c r="T676" s="2976"/>
      <c r="U676" s="2976"/>
      <c r="V676" s="2976"/>
      <c r="W676" s="2976"/>
      <c r="X676" s="2976"/>
      <c r="Y676" s="2976"/>
      <c r="Z676" s="2976"/>
      <c r="AA676" s="2976"/>
      <c r="AB676" s="2976"/>
      <c r="AC676" s="2976"/>
      <c r="AD676" s="2976"/>
      <c r="AE676" s="2976"/>
      <c r="AF676" s="2976"/>
    </row>
    <row r="677" spans="1:32">
      <c r="A677" s="2972">
        <v>676</v>
      </c>
      <c r="B677" s="2974" t="s">
        <v>3240</v>
      </c>
      <c r="C677" s="2982" t="s">
        <v>3152</v>
      </c>
      <c r="D677" s="2974" t="s">
        <v>3213</v>
      </c>
      <c r="E677" s="2982" t="s">
        <v>3135</v>
      </c>
      <c r="F677" s="2983">
        <v>82</v>
      </c>
      <c r="G677" s="2979">
        <v>3.07</v>
      </c>
      <c r="H677" s="2979">
        <v>85.07</v>
      </c>
      <c r="I677" s="2974" t="s">
        <v>1373</v>
      </c>
      <c r="J677" s="2981" t="s">
        <v>3133</v>
      </c>
      <c r="L677" s="2976"/>
      <c r="M677" s="2976"/>
      <c r="N677" s="2976"/>
      <c r="O677" s="2976"/>
      <c r="P677" s="2976"/>
      <c r="Q677" s="2976"/>
      <c r="R677" s="2976"/>
      <c r="S677" s="2976"/>
      <c r="T677" s="2976"/>
      <c r="U677" s="2976"/>
      <c r="V677" s="2976"/>
      <c r="W677" s="2976"/>
      <c r="X677" s="2976"/>
      <c r="Y677" s="2976"/>
      <c r="Z677" s="2976"/>
      <c r="AA677" s="2976"/>
      <c r="AB677" s="2976"/>
      <c r="AC677" s="2976"/>
      <c r="AD677" s="2976"/>
      <c r="AE677" s="2976"/>
      <c r="AF677" s="2976"/>
    </row>
    <row r="678" spans="1:32">
      <c r="A678" s="2972">
        <v>677</v>
      </c>
      <c r="B678" s="2974" t="s">
        <v>3240</v>
      </c>
      <c r="C678" s="2982" t="s">
        <v>3152</v>
      </c>
      <c r="D678" s="2974" t="s">
        <v>3213</v>
      </c>
      <c r="E678" s="2982" t="s">
        <v>3136</v>
      </c>
      <c r="F678" s="2983">
        <v>83.21</v>
      </c>
      <c r="G678" s="2979">
        <v>3.11</v>
      </c>
      <c r="H678" s="2979">
        <v>86.32</v>
      </c>
      <c r="I678" s="2974" t="s">
        <v>1373</v>
      </c>
      <c r="J678" s="2981" t="s">
        <v>3133</v>
      </c>
      <c r="L678" s="2976"/>
      <c r="M678" s="2976"/>
      <c r="N678" s="2976"/>
      <c r="O678" s="2976"/>
      <c r="P678" s="2976"/>
      <c r="Q678" s="2976"/>
      <c r="R678" s="2976"/>
      <c r="S678" s="2976"/>
      <c r="T678" s="2976"/>
      <c r="U678" s="2976"/>
      <c r="V678" s="2976"/>
      <c r="W678" s="2976"/>
      <c r="X678" s="2976"/>
      <c r="Y678" s="2976"/>
      <c r="Z678" s="2976"/>
      <c r="AA678" s="2976"/>
      <c r="AB678" s="2976"/>
      <c r="AC678" s="2976"/>
      <c r="AD678" s="2976"/>
      <c r="AE678" s="2976"/>
      <c r="AF678" s="2976"/>
    </row>
    <row r="679" spans="1:32">
      <c r="A679" s="2972">
        <v>678</v>
      </c>
      <c r="B679" s="2974" t="s">
        <v>3240</v>
      </c>
      <c r="C679" s="2982" t="s">
        <v>3152</v>
      </c>
      <c r="D679" s="2974" t="s">
        <v>3213</v>
      </c>
      <c r="E679" s="2982" t="s">
        <v>3137</v>
      </c>
      <c r="F679" s="2983">
        <v>109.24</v>
      </c>
      <c r="G679" s="2979">
        <v>4.09</v>
      </c>
      <c r="H679" s="2979">
        <v>113.33</v>
      </c>
      <c r="I679" s="2974" t="s">
        <v>1373</v>
      </c>
      <c r="J679" s="2981" t="s">
        <v>3133</v>
      </c>
      <c r="L679" s="2976"/>
      <c r="M679" s="2976"/>
      <c r="N679" s="2976"/>
      <c r="O679" s="2976"/>
      <c r="P679" s="2976"/>
      <c r="Q679" s="2976"/>
      <c r="R679" s="2976"/>
      <c r="S679" s="2976"/>
      <c r="T679" s="2976"/>
      <c r="U679" s="2976"/>
      <c r="V679" s="2976"/>
      <c r="W679" s="2976"/>
      <c r="X679" s="2976"/>
      <c r="Y679" s="2976"/>
      <c r="Z679" s="2976"/>
      <c r="AA679" s="2976"/>
      <c r="AB679" s="2976"/>
      <c r="AC679" s="2976"/>
      <c r="AD679" s="2976"/>
      <c r="AE679" s="2976"/>
      <c r="AF679" s="2976"/>
    </row>
    <row r="680" spans="1:32">
      <c r="A680" s="2972">
        <v>679</v>
      </c>
      <c r="B680" s="2974" t="s">
        <v>3240</v>
      </c>
      <c r="C680" s="2982" t="s">
        <v>3152</v>
      </c>
      <c r="D680" s="2974" t="s">
        <v>3213</v>
      </c>
      <c r="E680" s="2982" t="s">
        <v>3138</v>
      </c>
      <c r="F680" s="2983">
        <v>109.24</v>
      </c>
      <c r="G680" s="2979">
        <v>4.09</v>
      </c>
      <c r="H680" s="2979">
        <v>113.33</v>
      </c>
      <c r="I680" s="2974" t="s">
        <v>1373</v>
      </c>
      <c r="J680" s="2981" t="s">
        <v>3133</v>
      </c>
      <c r="L680" s="2976"/>
      <c r="M680" s="2976"/>
      <c r="N680" s="2976"/>
      <c r="O680" s="2976"/>
      <c r="P680" s="2976"/>
      <c r="Q680" s="2976"/>
      <c r="R680" s="2976"/>
      <c r="S680" s="2976"/>
      <c r="T680" s="2976"/>
      <c r="U680" s="2976"/>
      <c r="V680" s="2976"/>
      <c r="W680" s="2976"/>
      <c r="X680" s="2976"/>
      <c r="Y680" s="2976"/>
      <c r="Z680" s="2976"/>
      <c r="AA680" s="2976"/>
      <c r="AB680" s="2976"/>
      <c r="AC680" s="2976"/>
      <c r="AD680" s="2976"/>
      <c r="AE680" s="2976"/>
      <c r="AF680" s="2976"/>
    </row>
    <row r="681" spans="1:32">
      <c r="A681" s="2972">
        <v>680</v>
      </c>
      <c r="B681" s="2974" t="s">
        <v>3240</v>
      </c>
      <c r="C681" s="2982" t="s">
        <v>3152</v>
      </c>
      <c r="D681" s="2974" t="s">
        <v>3213</v>
      </c>
      <c r="E681" s="2982" t="s">
        <v>3139</v>
      </c>
      <c r="F681" s="2983">
        <v>83.21</v>
      </c>
      <c r="G681" s="2979">
        <v>3.11</v>
      </c>
      <c r="H681" s="2979">
        <v>86.32</v>
      </c>
      <c r="I681" s="2974" t="s">
        <v>1373</v>
      </c>
      <c r="J681" s="2981" t="s">
        <v>3133</v>
      </c>
      <c r="L681" s="2976"/>
      <c r="M681" s="2976"/>
      <c r="N681" s="2976"/>
      <c r="O681" s="2976"/>
      <c r="P681" s="2976"/>
      <c r="Q681" s="2976"/>
      <c r="R681" s="2976"/>
      <c r="S681" s="2976"/>
      <c r="T681" s="2976"/>
      <c r="U681" s="2976"/>
      <c r="V681" s="2976"/>
      <c r="W681" s="2976"/>
      <c r="X681" s="2976"/>
      <c r="Y681" s="2976"/>
      <c r="Z681" s="2976"/>
      <c r="AA681" s="2976"/>
      <c r="AB681" s="2976"/>
      <c r="AC681" s="2976"/>
      <c r="AD681" s="2976"/>
      <c r="AE681" s="2976"/>
      <c r="AF681" s="2976"/>
    </row>
    <row r="682" spans="1:32">
      <c r="A682" s="2972">
        <v>681</v>
      </c>
      <c r="B682" s="2974" t="s">
        <v>3240</v>
      </c>
      <c r="C682" s="2982" t="s">
        <v>3152</v>
      </c>
      <c r="D682" s="2974" t="s">
        <v>3213</v>
      </c>
      <c r="E682" s="2982" t="s">
        <v>3140</v>
      </c>
      <c r="F682" s="2983">
        <v>82</v>
      </c>
      <c r="G682" s="2979">
        <v>3.07</v>
      </c>
      <c r="H682" s="2979">
        <v>85.07</v>
      </c>
      <c r="I682" s="2974" t="s">
        <v>1373</v>
      </c>
      <c r="J682" s="2981" t="s">
        <v>3133</v>
      </c>
      <c r="L682" s="2976"/>
      <c r="M682" s="2976"/>
      <c r="N682" s="2976"/>
      <c r="O682" s="2976"/>
      <c r="P682" s="2976"/>
      <c r="Q682" s="2976"/>
      <c r="R682" s="2976"/>
      <c r="S682" s="2976"/>
      <c r="T682" s="2976"/>
      <c r="U682" s="2976"/>
      <c r="V682" s="2976"/>
      <c r="W682" s="2976"/>
      <c r="X682" s="2976"/>
      <c r="Y682" s="2976"/>
      <c r="Z682" s="2976"/>
      <c r="AA682" s="2976"/>
      <c r="AB682" s="2976"/>
      <c r="AC682" s="2976"/>
      <c r="AD682" s="2976"/>
      <c r="AE682" s="2976"/>
      <c r="AF682" s="2976"/>
    </row>
    <row r="683" spans="1:32">
      <c r="A683" s="2972">
        <v>682</v>
      </c>
      <c r="B683" s="2974" t="s">
        <v>3240</v>
      </c>
      <c r="C683" s="2982" t="s">
        <v>3152</v>
      </c>
      <c r="D683" s="2974" t="s">
        <v>3213</v>
      </c>
      <c r="E683" s="2982" t="s">
        <v>3141</v>
      </c>
      <c r="F683" s="2983">
        <v>84.01</v>
      </c>
      <c r="G683" s="2979">
        <v>3.14</v>
      </c>
      <c r="H683" s="2979">
        <v>87.15</v>
      </c>
      <c r="I683" s="2974" t="s">
        <v>1373</v>
      </c>
      <c r="J683" s="2981" t="s">
        <v>3133</v>
      </c>
      <c r="L683" s="2976"/>
      <c r="M683" s="2976"/>
      <c r="N683" s="2976"/>
      <c r="O683" s="2976"/>
      <c r="P683" s="2976"/>
      <c r="Q683" s="2976"/>
      <c r="R683" s="2976"/>
      <c r="S683" s="2976"/>
      <c r="T683" s="2976"/>
      <c r="U683" s="2976"/>
      <c r="V683" s="2976"/>
      <c r="W683" s="2976"/>
      <c r="X683" s="2976"/>
      <c r="Y683" s="2976"/>
      <c r="Z683" s="2976"/>
      <c r="AA683" s="2976"/>
      <c r="AB683" s="2976"/>
      <c r="AC683" s="2976"/>
      <c r="AD683" s="2976"/>
      <c r="AE683" s="2976"/>
      <c r="AF683" s="2976"/>
    </row>
    <row r="684" spans="1:32">
      <c r="A684" s="2972">
        <v>683</v>
      </c>
      <c r="B684" s="2974" t="s">
        <v>3240</v>
      </c>
      <c r="C684" s="2982" t="s">
        <v>3152</v>
      </c>
      <c r="D684" s="2974" t="s">
        <v>3213</v>
      </c>
      <c r="E684" s="2982" t="s">
        <v>3142</v>
      </c>
      <c r="F684" s="2983">
        <v>113.44</v>
      </c>
      <c r="G684" s="2979">
        <v>4.24</v>
      </c>
      <c r="H684" s="2979">
        <v>117.67999999999999</v>
      </c>
      <c r="I684" s="2974" t="s">
        <v>1373</v>
      </c>
      <c r="J684" s="2981" t="s">
        <v>3133</v>
      </c>
      <c r="K684" s="2992"/>
      <c r="L684" s="2976"/>
      <c r="M684" s="2976"/>
      <c r="N684" s="2976"/>
      <c r="O684" s="2976"/>
      <c r="P684" s="2976"/>
      <c r="Q684" s="2976"/>
      <c r="R684" s="2976"/>
      <c r="S684" s="2976"/>
      <c r="T684" s="2976"/>
      <c r="U684" s="2976"/>
      <c r="V684" s="2976"/>
      <c r="W684" s="2976"/>
      <c r="X684" s="2976"/>
      <c r="Y684" s="2976"/>
      <c r="Z684" s="2976"/>
      <c r="AA684" s="2976"/>
      <c r="AB684" s="2976"/>
      <c r="AC684" s="2976"/>
      <c r="AD684" s="2976"/>
      <c r="AE684" s="2976"/>
      <c r="AF684" s="2976"/>
    </row>
    <row r="685" spans="1:32">
      <c r="A685" s="2972">
        <v>684</v>
      </c>
      <c r="B685" s="2972" t="s">
        <v>3205</v>
      </c>
      <c r="C685" s="2972" t="s">
        <v>3129</v>
      </c>
      <c r="D685" s="2972" t="s">
        <v>3183</v>
      </c>
      <c r="E685" s="2973" t="s">
        <v>3130</v>
      </c>
      <c r="F685" s="2972">
        <v>858.4</v>
      </c>
      <c r="G685" s="2972"/>
      <c r="H685" s="2972">
        <v>1326.1599999999999</v>
      </c>
      <c r="I685" s="2972" t="s">
        <v>3247</v>
      </c>
      <c r="J685" s="2974"/>
      <c r="L685" s="2976"/>
      <c r="M685" s="2976"/>
      <c r="N685" s="2976"/>
      <c r="O685" s="2976"/>
      <c r="P685" s="2976"/>
      <c r="Q685" s="2976"/>
      <c r="R685" s="2976"/>
      <c r="S685" s="2976"/>
      <c r="T685" s="2976"/>
      <c r="U685" s="2976"/>
      <c r="V685" s="2976"/>
      <c r="W685" s="2976"/>
      <c r="X685" s="2976"/>
      <c r="Y685" s="2976"/>
      <c r="Z685" s="2976"/>
      <c r="AA685" s="2976"/>
      <c r="AB685" s="2976"/>
      <c r="AC685" s="2976"/>
      <c r="AD685" s="2976"/>
      <c r="AE685" s="2976"/>
      <c r="AF685" s="2976"/>
    </row>
    <row r="686" spans="1:32">
      <c r="A686" s="2972">
        <v>685</v>
      </c>
      <c r="B686" s="2972" t="s">
        <v>3206</v>
      </c>
      <c r="C686" s="2972" t="s">
        <v>3129</v>
      </c>
      <c r="D686" s="2972" t="s">
        <v>3183</v>
      </c>
      <c r="E686" s="2973" t="s">
        <v>3130</v>
      </c>
      <c r="F686" s="2972">
        <v>469.63</v>
      </c>
      <c r="G686" s="2972"/>
      <c r="H686" s="2972">
        <v>884.71</v>
      </c>
      <c r="I686" s="2972" t="s">
        <v>3247</v>
      </c>
      <c r="J686" s="2974"/>
      <c r="L686" s="2976"/>
      <c r="M686" s="2976"/>
      <c r="N686" s="2976"/>
      <c r="O686" s="2976"/>
      <c r="P686" s="2976"/>
      <c r="Q686" s="2976"/>
      <c r="R686" s="2976"/>
      <c r="S686" s="2976"/>
      <c r="T686" s="2976"/>
      <c r="U686" s="2976"/>
      <c r="V686" s="2976"/>
      <c r="W686" s="2976"/>
      <c r="X686" s="2976"/>
      <c r="Y686" s="2976"/>
      <c r="Z686" s="2976"/>
      <c r="AA686" s="2976"/>
      <c r="AB686" s="2976"/>
      <c r="AC686" s="2976"/>
      <c r="AD686" s="2976"/>
      <c r="AE686" s="2976"/>
      <c r="AF686" s="2976"/>
    </row>
    <row r="687" spans="1:32">
      <c r="A687" s="2972">
        <v>686</v>
      </c>
      <c r="B687" s="2974" t="s">
        <v>3200</v>
      </c>
      <c r="C687" s="2973" t="s">
        <v>3207</v>
      </c>
      <c r="D687" s="2972" t="s">
        <v>3183</v>
      </c>
      <c r="E687" s="2974" t="s">
        <v>3132</v>
      </c>
      <c r="F687" s="2974">
        <v>70.16</v>
      </c>
      <c r="G687" s="2979">
        <v>2.59</v>
      </c>
      <c r="H687" s="2979">
        <v>72.75</v>
      </c>
      <c r="I687" s="2979" t="s">
        <v>1373</v>
      </c>
      <c r="J687" s="2974" t="s">
        <v>3133</v>
      </c>
      <c r="L687" s="2976"/>
      <c r="M687" s="2976"/>
      <c r="N687" s="2976"/>
      <c r="O687" s="2976"/>
      <c r="P687" s="2976"/>
      <c r="Q687" s="2976"/>
      <c r="R687" s="2976"/>
      <c r="S687" s="2976"/>
      <c r="T687" s="2976"/>
      <c r="U687" s="2976"/>
      <c r="V687" s="2976"/>
      <c r="W687" s="2976"/>
      <c r="X687" s="2976"/>
      <c r="Y687" s="2976"/>
      <c r="Z687" s="2976"/>
      <c r="AA687" s="2976"/>
      <c r="AB687" s="2976"/>
      <c r="AC687" s="2976"/>
      <c r="AD687" s="2976"/>
      <c r="AE687" s="2976"/>
      <c r="AF687" s="2976"/>
    </row>
    <row r="688" spans="1:32">
      <c r="A688" s="2972">
        <v>687</v>
      </c>
      <c r="B688" s="2974" t="s">
        <v>3200</v>
      </c>
      <c r="C688" s="2973" t="s">
        <v>3207</v>
      </c>
      <c r="D688" s="2972" t="s">
        <v>3183</v>
      </c>
      <c r="E688" s="2974" t="s">
        <v>3134</v>
      </c>
      <c r="F688" s="2974">
        <v>53.02</v>
      </c>
      <c r="G688" s="2979">
        <v>1.95</v>
      </c>
      <c r="H688" s="2979">
        <v>54.970000000000006</v>
      </c>
      <c r="I688" s="2979" t="s">
        <v>1373</v>
      </c>
      <c r="J688" s="2974" t="s">
        <v>3133</v>
      </c>
      <c r="L688" s="2976"/>
      <c r="M688" s="2976"/>
      <c r="N688" s="2976"/>
      <c r="O688" s="2976"/>
      <c r="P688" s="2976"/>
      <c r="Q688" s="2976"/>
      <c r="R688" s="2976"/>
      <c r="S688" s="2976"/>
      <c r="T688" s="2976"/>
      <c r="U688" s="2976"/>
      <c r="V688" s="2976"/>
      <c r="W688" s="2976"/>
      <c r="X688" s="2976"/>
      <c r="Y688" s="2976"/>
      <c r="Z688" s="2976"/>
      <c r="AA688" s="2976"/>
      <c r="AB688" s="2976"/>
      <c r="AC688" s="2976"/>
      <c r="AD688" s="2976"/>
      <c r="AE688" s="2976"/>
      <c r="AF688" s="2976"/>
    </row>
    <row r="689" spans="1:32">
      <c r="A689" s="2972">
        <v>688</v>
      </c>
      <c r="B689" s="2974" t="s">
        <v>3200</v>
      </c>
      <c r="C689" s="2973" t="s">
        <v>3207</v>
      </c>
      <c r="D689" s="2972" t="s">
        <v>3183</v>
      </c>
      <c r="E689" s="2974" t="s">
        <v>3135</v>
      </c>
      <c r="F689" s="2974">
        <v>53.92</v>
      </c>
      <c r="G689" s="2979">
        <v>1.99</v>
      </c>
      <c r="H689" s="2979">
        <v>55.910000000000004</v>
      </c>
      <c r="I689" s="2979" t="s">
        <v>1373</v>
      </c>
      <c r="J689" s="2974" t="s">
        <v>3133</v>
      </c>
      <c r="L689" s="2976"/>
      <c r="M689" s="2976"/>
      <c r="N689" s="2976"/>
      <c r="O689" s="2976"/>
      <c r="P689" s="2976"/>
      <c r="Q689" s="2976"/>
      <c r="R689" s="2976"/>
      <c r="S689" s="2976"/>
      <c r="T689" s="2976"/>
      <c r="U689" s="2976"/>
      <c r="V689" s="2976"/>
      <c r="W689" s="2976"/>
      <c r="X689" s="2976"/>
      <c r="Y689" s="2976"/>
      <c r="Z689" s="2976"/>
      <c r="AA689" s="2976"/>
      <c r="AB689" s="2976"/>
      <c r="AC689" s="2976"/>
      <c r="AD689" s="2976"/>
      <c r="AE689" s="2976"/>
      <c r="AF689" s="2976"/>
    </row>
    <row r="690" spans="1:32">
      <c r="A690" s="2972">
        <v>689</v>
      </c>
      <c r="B690" s="2974" t="s">
        <v>3200</v>
      </c>
      <c r="C690" s="2973" t="s">
        <v>3207</v>
      </c>
      <c r="D690" s="2972" t="s">
        <v>3183</v>
      </c>
      <c r="E690" s="2974" t="s">
        <v>3136</v>
      </c>
      <c r="F690" s="2980">
        <v>67.599999999999994</v>
      </c>
      <c r="G690" s="2979">
        <v>2.4900000000000002</v>
      </c>
      <c r="H690" s="2979">
        <v>70.089999999999989</v>
      </c>
      <c r="I690" s="2979" t="s">
        <v>1373</v>
      </c>
      <c r="J690" s="2974" t="s">
        <v>3133</v>
      </c>
      <c r="L690" s="2976"/>
      <c r="M690" s="2976"/>
      <c r="N690" s="2976"/>
      <c r="O690" s="2976"/>
      <c r="P690" s="2976"/>
      <c r="Q690" s="2976"/>
      <c r="R690" s="2976"/>
      <c r="S690" s="2976"/>
      <c r="T690" s="2976"/>
      <c r="U690" s="2976"/>
      <c r="V690" s="2976"/>
      <c r="W690" s="2976"/>
      <c r="X690" s="2976"/>
      <c r="Y690" s="2976"/>
      <c r="Z690" s="2976"/>
      <c r="AA690" s="2976"/>
      <c r="AB690" s="2976"/>
      <c r="AC690" s="2976"/>
      <c r="AD690" s="2976"/>
      <c r="AE690" s="2976"/>
      <c r="AF690" s="2976"/>
    </row>
    <row r="691" spans="1:32">
      <c r="A691" s="2972">
        <v>690</v>
      </c>
      <c r="B691" s="2974" t="s">
        <v>3200</v>
      </c>
      <c r="C691" s="2973" t="s">
        <v>3207</v>
      </c>
      <c r="D691" s="2972" t="s">
        <v>3183</v>
      </c>
      <c r="E691" s="2974" t="s">
        <v>3137</v>
      </c>
      <c r="F691" s="2974">
        <v>55.8</v>
      </c>
      <c r="G691" s="2979">
        <v>2.06</v>
      </c>
      <c r="H691" s="2979">
        <v>57.86</v>
      </c>
      <c r="I691" s="2979" t="s">
        <v>1373</v>
      </c>
      <c r="J691" s="2974" t="s">
        <v>3133</v>
      </c>
      <c r="L691" s="2976"/>
      <c r="M691" s="2976"/>
      <c r="N691" s="2976"/>
      <c r="O691" s="2976"/>
      <c r="P691" s="2976"/>
      <c r="Q691" s="2976"/>
      <c r="R691" s="2976"/>
      <c r="S691" s="2976"/>
      <c r="T691" s="2976"/>
      <c r="U691" s="2976"/>
      <c r="V691" s="2976"/>
      <c r="W691" s="2976"/>
      <c r="X691" s="2976"/>
      <c r="Y691" s="2976"/>
      <c r="Z691" s="2976"/>
      <c r="AA691" s="2976"/>
      <c r="AB691" s="2976"/>
      <c r="AC691" s="2976"/>
      <c r="AD691" s="2976"/>
      <c r="AE691" s="2976"/>
      <c r="AF691" s="2976"/>
    </row>
    <row r="692" spans="1:32">
      <c r="A692" s="2972">
        <v>691</v>
      </c>
      <c r="B692" s="2974" t="s">
        <v>3200</v>
      </c>
      <c r="C692" s="2973" t="s">
        <v>3207</v>
      </c>
      <c r="D692" s="2972" t="s">
        <v>3183</v>
      </c>
      <c r="E692" s="2974" t="s">
        <v>3138</v>
      </c>
      <c r="F692" s="2974">
        <v>53.94</v>
      </c>
      <c r="G692" s="2979">
        <v>1.99</v>
      </c>
      <c r="H692" s="2979">
        <v>55.93</v>
      </c>
      <c r="I692" s="2979" t="s">
        <v>1373</v>
      </c>
      <c r="J692" s="2974" t="s">
        <v>3133</v>
      </c>
      <c r="L692" s="2976"/>
      <c r="M692" s="2976"/>
      <c r="N692" s="2976"/>
      <c r="O692" s="2976"/>
      <c r="P692" s="2976"/>
      <c r="Q692" s="2976"/>
      <c r="R692" s="2976"/>
      <c r="S692" s="2976"/>
      <c r="T692" s="2976"/>
      <c r="U692" s="2976"/>
      <c r="V692" s="2976"/>
      <c r="W692" s="2976"/>
      <c r="X692" s="2976"/>
      <c r="Y692" s="2976"/>
      <c r="Z692" s="2976"/>
      <c r="AA692" s="2976"/>
      <c r="AB692" s="2976"/>
      <c r="AC692" s="2976"/>
      <c r="AD692" s="2976"/>
      <c r="AE692" s="2976"/>
      <c r="AF692" s="2976"/>
    </row>
    <row r="693" spans="1:32">
      <c r="A693" s="2972">
        <v>692</v>
      </c>
      <c r="B693" s="2974" t="s">
        <v>3200</v>
      </c>
      <c r="C693" s="2973" t="s">
        <v>3207</v>
      </c>
      <c r="D693" s="2972" t="s">
        <v>3183</v>
      </c>
      <c r="E693" s="2974" t="s">
        <v>3139</v>
      </c>
      <c r="F693" s="2974">
        <v>53.94</v>
      </c>
      <c r="G693" s="2979">
        <v>1.99</v>
      </c>
      <c r="H693" s="2979">
        <v>55.93</v>
      </c>
      <c r="I693" s="2979" t="s">
        <v>1373</v>
      </c>
      <c r="J693" s="2974" t="s">
        <v>3133</v>
      </c>
      <c r="L693" s="2976"/>
      <c r="M693" s="2976"/>
      <c r="N693" s="2976"/>
      <c r="O693" s="2976"/>
      <c r="P693" s="2976"/>
      <c r="Q693" s="2976"/>
      <c r="R693" s="2976"/>
      <c r="S693" s="2976"/>
      <c r="T693" s="2976"/>
      <c r="U693" s="2976"/>
      <c r="V693" s="2976"/>
      <c r="W693" s="2976"/>
      <c r="X693" s="2976"/>
      <c r="Y693" s="2976"/>
      <c r="Z693" s="2976"/>
      <c r="AA693" s="2976"/>
      <c r="AB693" s="2976"/>
      <c r="AC693" s="2976"/>
      <c r="AD693" s="2976"/>
      <c r="AE693" s="2976"/>
      <c r="AF693" s="2976"/>
    </row>
    <row r="694" spans="1:32">
      <c r="A694" s="2972">
        <v>693</v>
      </c>
      <c r="B694" s="2974" t="s">
        <v>3200</v>
      </c>
      <c r="C694" s="2973" t="s">
        <v>3207</v>
      </c>
      <c r="D694" s="2972" t="s">
        <v>3183</v>
      </c>
      <c r="E694" s="2974" t="s">
        <v>3140</v>
      </c>
      <c r="F694" s="2974">
        <v>55.8</v>
      </c>
      <c r="G694" s="2979">
        <v>2.06</v>
      </c>
      <c r="H694" s="2979">
        <v>57.86</v>
      </c>
      <c r="I694" s="2979" t="s">
        <v>1373</v>
      </c>
      <c r="J694" s="2974" t="s">
        <v>3133</v>
      </c>
      <c r="L694" s="2976"/>
      <c r="M694" s="2976"/>
      <c r="N694" s="2976"/>
      <c r="O694" s="2976"/>
      <c r="P694" s="2976"/>
      <c r="Q694" s="2976"/>
      <c r="R694" s="2976"/>
      <c r="S694" s="2976"/>
      <c r="T694" s="2976"/>
      <c r="U694" s="2976"/>
      <c r="V694" s="2976"/>
      <c r="W694" s="2976"/>
      <c r="X694" s="2976"/>
      <c r="Y694" s="2976"/>
      <c r="Z694" s="2976"/>
      <c r="AA694" s="2976"/>
      <c r="AB694" s="2976"/>
      <c r="AC694" s="2976"/>
      <c r="AD694" s="2976"/>
      <c r="AE694" s="2976"/>
      <c r="AF694" s="2976"/>
    </row>
    <row r="695" spans="1:32">
      <c r="A695" s="2972">
        <v>694</v>
      </c>
      <c r="B695" s="2974" t="s">
        <v>3200</v>
      </c>
      <c r="C695" s="2973" t="s">
        <v>3207</v>
      </c>
      <c r="D695" s="2972" t="s">
        <v>3183</v>
      </c>
      <c r="E695" s="2974" t="s">
        <v>3141</v>
      </c>
      <c r="F695" s="2974">
        <v>55.8</v>
      </c>
      <c r="G695" s="2979">
        <v>2.06</v>
      </c>
      <c r="H695" s="2979">
        <v>57.86</v>
      </c>
      <c r="I695" s="2979" t="s">
        <v>1373</v>
      </c>
      <c r="J695" s="2974" t="s">
        <v>3133</v>
      </c>
      <c r="L695" s="2976"/>
      <c r="M695" s="2976"/>
      <c r="N695" s="2976"/>
      <c r="O695" s="2976"/>
      <c r="P695" s="2976"/>
      <c r="Q695" s="2976"/>
      <c r="R695" s="2976"/>
      <c r="S695" s="2976"/>
      <c r="T695" s="2976"/>
      <c r="U695" s="2976"/>
      <c r="V695" s="2976"/>
      <c r="W695" s="2976"/>
      <c r="X695" s="2976"/>
      <c r="Y695" s="2976"/>
      <c r="Z695" s="2976"/>
      <c r="AA695" s="2976"/>
      <c r="AB695" s="2976"/>
      <c r="AC695" s="2976"/>
      <c r="AD695" s="2976"/>
      <c r="AE695" s="2976"/>
      <c r="AF695" s="2976"/>
    </row>
    <row r="696" spans="1:32">
      <c r="A696" s="2972">
        <v>695</v>
      </c>
      <c r="B696" s="2974" t="s">
        <v>3200</v>
      </c>
      <c r="C696" s="2973" t="s">
        <v>3207</v>
      </c>
      <c r="D696" s="2972" t="s">
        <v>3183</v>
      </c>
      <c r="E696" s="2974" t="s">
        <v>3142</v>
      </c>
      <c r="F696" s="2974">
        <v>60.14</v>
      </c>
      <c r="G696" s="2979">
        <v>2.2200000000000002</v>
      </c>
      <c r="H696" s="2979">
        <v>62.36</v>
      </c>
      <c r="I696" s="2979" t="s">
        <v>1373</v>
      </c>
      <c r="J696" s="2974" t="s">
        <v>3133</v>
      </c>
      <c r="L696" s="2976"/>
      <c r="M696" s="2976"/>
      <c r="N696" s="2976"/>
      <c r="O696" s="2976"/>
      <c r="P696" s="2976"/>
      <c r="Q696" s="2976"/>
      <c r="R696" s="2976"/>
      <c r="S696" s="2976"/>
      <c r="T696" s="2976"/>
      <c r="U696" s="2976"/>
      <c r="V696" s="2976"/>
      <c r="W696" s="2976"/>
      <c r="X696" s="2976"/>
      <c r="Y696" s="2976"/>
      <c r="Z696" s="2976"/>
      <c r="AA696" s="2976"/>
      <c r="AB696" s="2976"/>
      <c r="AC696" s="2976"/>
      <c r="AD696" s="2976"/>
      <c r="AE696" s="2976"/>
      <c r="AF696" s="2976"/>
    </row>
    <row r="697" spans="1:32">
      <c r="A697" s="2972">
        <v>696</v>
      </c>
      <c r="B697" s="2974" t="s">
        <v>3245</v>
      </c>
      <c r="C697" s="2982" t="s">
        <v>3152</v>
      </c>
      <c r="D697" s="2972" t="s">
        <v>3183</v>
      </c>
      <c r="E697" s="2974" t="s">
        <v>3132</v>
      </c>
      <c r="F697" s="2974">
        <v>98.7</v>
      </c>
      <c r="G697" s="2974">
        <v>3.52</v>
      </c>
      <c r="H697" s="2974">
        <v>102.22</v>
      </c>
      <c r="I697" s="2974" t="s">
        <v>1373</v>
      </c>
      <c r="J697" s="2974" t="s">
        <v>3133</v>
      </c>
      <c r="L697" s="2976"/>
      <c r="M697" s="2976"/>
      <c r="N697" s="2976"/>
      <c r="O697" s="2976"/>
      <c r="P697" s="2976"/>
      <c r="Q697" s="2976"/>
      <c r="R697" s="2976"/>
      <c r="S697" s="2976"/>
      <c r="T697" s="2976"/>
      <c r="U697" s="2976"/>
      <c r="V697" s="2976"/>
      <c r="W697" s="2976"/>
      <c r="X697" s="2976"/>
      <c r="Y697" s="2976"/>
      <c r="Z697" s="2976"/>
      <c r="AA697" s="2976"/>
      <c r="AB697" s="2976"/>
      <c r="AC697" s="2976"/>
      <c r="AD697" s="2976"/>
      <c r="AE697" s="2976"/>
      <c r="AF697" s="2976"/>
    </row>
    <row r="698" spans="1:32">
      <c r="A698" s="2972">
        <v>697</v>
      </c>
      <c r="B698" s="2974" t="s">
        <v>3245</v>
      </c>
      <c r="C698" s="2982" t="s">
        <v>3152</v>
      </c>
      <c r="D698" s="2972" t="s">
        <v>3183</v>
      </c>
      <c r="E698" s="2974" t="s">
        <v>3134</v>
      </c>
      <c r="F698" s="2974">
        <v>107.71</v>
      </c>
      <c r="G698" s="2974">
        <v>3.84</v>
      </c>
      <c r="H698" s="2974">
        <v>111.55</v>
      </c>
      <c r="I698" s="2974" t="s">
        <v>1373</v>
      </c>
      <c r="J698" s="2974" t="s">
        <v>3133</v>
      </c>
      <c r="L698" s="2976"/>
      <c r="M698" s="2976"/>
      <c r="N698" s="2976"/>
      <c r="O698" s="2976"/>
      <c r="P698" s="2976"/>
      <c r="Q698" s="2976"/>
      <c r="R698" s="2976"/>
      <c r="S698" s="2976"/>
      <c r="T698" s="2976"/>
      <c r="U698" s="2976"/>
      <c r="V698" s="2976"/>
      <c r="W698" s="2976"/>
      <c r="X698" s="2976"/>
      <c r="Y698" s="2976"/>
      <c r="Z698" s="2976"/>
      <c r="AA698" s="2976"/>
      <c r="AB698" s="2976"/>
      <c r="AC698" s="2976"/>
      <c r="AD698" s="2976"/>
      <c r="AE698" s="2976"/>
      <c r="AF698" s="2976"/>
    </row>
    <row r="699" spans="1:32">
      <c r="A699" s="2972">
        <v>698</v>
      </c>
      <c r="B699" s="2974" t="s">
        <v>3245</v>
      </c>
      <c r="C699" s="2982" t="s">
        <v>3152</v>
      </c>
      <c r="D699" s="2972" t="s">
        <v>3183</v>
      </c>
      <c r="E699" s="2974" t="s">
        <v>3135</v>
      </c>
      <c r="F699" s="2974">
        <v>118.34</v>
      </c>
      <c r="G699" s="2974">
        <v>4.22</v>
      </c>
      <c r="H699" s="2974">
        <v>122.56</v>
      </c>
      <c r="I699" s="2974" t="s">
        <v>1373</v>
      </c>
      <c r="J699" s="2974" t="s">
        <v>3133</v>
      </c>
      <c r="L699" s="2976"/>
      <c r="M699" s="2976"/>
      <c r="N699" s="2976"/>
      <c r="O699" s="2976"/>
      <c r="P699" s="2976"/>
      <c r="Q699" s="2976"/>
      <c r="R699" s="2976"/>
      <c r="S699" s="2976"/>
      <c r="T699" s="2976"/>
      <c r="U699" s="2976"/>
      <c r="V699" s="2976"/>
      <c r="W699" s="2976"/>
      <c r="X699" s="2976"/>
      <c r="Y699" s="2976"/>
      <c r="Z699" s="2976"/>
      <c r="AA699" s="2976"/>
      <c r="AB699" s="2976"/>
      <c r="AC699" s="2976"/>
      <c r="AD699" s="2976"/>
      <c r="AE699" s="2976"/>
      <c r="AF699" s="2976"/>
    </row>
    <row r="700" spans="1:32">
      <c r="A700" s="2972">
        <v>699</v>
      </c>
      <c r="B700" s="2974" t="s">
        <v>3245</v>
      </c>
      <c r="C700" s="2982" t="s">
        <v>3152</v>
      </c>
      <c r="D700" s="2972" t="s">
        <v>3183</v>
      </c>
      <c r="E700" s="2974" t="s">
        <v>3136</v>
      </c>
      <c r="F700" s="2974">
        <v>65.66</v>
      </c>
      <c r="G700" s="2974">
        <v>2.34</v>
      </c>
      <c r="H700" s="2974">
        <v>68</v>
      </c>
      <c r="I700" s="2974" t="s">
        <v>1373</v>
      </c>
      <c r="J700" s="2974" t="s">
        <v>3133</v>
      </c>
      <c r="L700" s="2976"/>
      <c r="M700" s="2976"/>
      <c r="N700" s="2976"/>
      <c r="O700" s="2976"/>
      <c r="P700" s="2976"/>
      <c r="Q700" s="2976"/>
      <c r="R700" s="2976"/>
      <c r="S700" s="2976"/>
      <c r="T700" s="2976"/>
      <c r="U700" s="2976"/>
      <c r="V700" s="2976"/>
      <c r="W700" s="2976"/>
      <c r="X700" s="2976"/>
      <c r="Y700" s="2976"/>
      <c r="Z700" s="2976"/>
      <c r="AA700" s="2976"/>
      <c r="AB700" s="2976"/>
      <c r="AC700" s="2976"/>
      <c r="AD700" s="2976"/>
      <c r="AE700" s="2976"/>
      <c r="AF700" s="2976"/>
    </row>
    <row r="701" spans="1:32">
      <c r="A701" s="2972">
        <v>700</v>
      </c>
      <c r="B701" s="2974" t="s">
        <v>3245</v>
      </c>
      <c r="C701" s="2982" t="s">
        <v>3152</v>
      </c>
      <c r="D701" s="2972" t="s">
        <v>3183</v>
      </c>
      <c r="E701" s="2974" t="s">
        <v>3137</v>
      </c>
      <c r="F701" s="2974">
        <v>112.07</v>
      </c>
      <c r="G701" s="2974">
        <v>4</v>
      </c>
      <c r="H701" s="2974">
        <v>116.07</v>
      </c>
      <c r="I701" s="2974" t="s">
        <v>1373</v>
      </c>
      <c r="J701" s="2974" t="s">
        <v>3133</v>
      </c>
      <c r="L701" s="2976"/>
      <c r="M701" s="2976"/>
      <c r="N701" s="2976"/>
      <c r="O701" s="2976"/>
      <c r="P701" s="2976"/>
      <c r="Q701" s="2976"/>
      <c r="R701" s="2976"/>
      <c r="S701" s="2976"/>
      <c r="T701" s="2976"/>
      <c r="U701" s="2976"/>
      <c r="V701" s="2976"/>
      <c r="W701" s="2976"/>
      <c r="X701" s="2976"/>
      <c r="Y701" s="2976"/>
      <c r="Z701" s="2976"/>
      <c r="AA701" s="2976"/>
      <c r="AB701" s="2976"/>
      <c r="AC701" s="2976"/>
      <c r="AD701" s="2976"/>
      <c r="AE701" s="2976"/>
      <c r="AF701" s="2976"/>
    </row>
    <row r="702" spans="1:32">
      <c r="A702" s="2972">
        <v>701</v>
      </c>
      <c r="B702" s="2974" t="s">
        <v>3245</v>
      </c>
      <c r="C702" s="2982" t="s">
        <v>3152</v>
      </c>
      <c r="D702" s="2972" t="s">
        <v>3183</v>
      </c>
      <c r="E702" s="2974" t="s">
        <v>3138</v>
      </c>
      <c r="F702" s="2974">
        <v>38.72</v>
      </c>
      <c r="G702" s="2974">
        <v>1.38</v>
      </c>
      <c r="H702" s="2974">
        <v>40.1</v>
      </c>
      <c r="I702" s="2974" t="s">
        <v>1373</v>
      </c>
      <c r="J702" s="2974" t="s">
        <v>3133</v>
      </c>
      <c r="L702" s="2976"/>
      <c r="M702" s="2976"/>
      <c r="N702" s="2976"/>
      <c r="O702" s="2976"/>
      <c r="P702" s="2976"/>
      <c r="Q702" s="2976"/>
      <c r="R702" s="2976"/>
      <c r="S702" s="2976"/>
      <c r="T702" s="2976"/>
      <c r="U702" s="2976"/>
      <c r="V702" s="2976"/>
      <c r="W702" s="2976"/>
      <c r="X702" s="2976"/>
      <c r="Y702" s="2976"/>
      <c r="Z702" s="2976"/>
      <c r="AA702" s="2976"/>
      <c r="AB702" s="2976"/>
      <c r="AC702" s="2976"/>
      <c r="AD702" s="2976"/>
      <c r="AE702" s="2976"/>
      <c r="AF702" s="2976"/>
    </row>
    <row r="703" spans="1:32">
      <c r="A703" s="2972">
        <v>702</v>
      </c>
      <c r="B703" s="2974" t="s">
        <v>3245</v>
      </c>
      <c r="C703" s="2982" t="s">
        <v>3152</v>
      </c>
      <c r="D703" s="2972" t="s">
        <v>3183</v>
      </c>
      <c r="E703" s="2974" t="s">
        <v>3139</v>
      </c>
      <c r="F703" s="2974">
        <v>38.54</v>
      </c>
      <c r="G703" s="2974">
        <v>1.37</v>
      </c>
      <c r="H703" s="2974">
        <v>39.909999999999997</v>
      </c>
      <c r="I703" s="2974" t="s">
        <v>1373</v>
      </c>
      <c r="J703" s="2974" t="s">
        <v>3133</v>
      </c>
      <c r="L703" s="2976"/>
      <c r="M703" s="2976"/>
      <c r="N703" s="2976"/>
      <c r="O703" s="2976"/>
      <c r="P703" s="2976"/>
      <c r="Q703" s="2976"/>
      <c r="R703" s="2976"/>
      <c r="S703" s="2976"/>
      <c r="T703" s="2976"/>
      <c r="U703" s="2976"/>
      <c r="V703" s="2976"/>
      <c r="W703" s="2976"/>
      <c r="X703" s="2976"/>
      <c r="Y703" s="2976"/>
      <c r="Z703" s="2976"/>
      <c r="AA703" s="2976"/>
      <c r="AB703" s="2976"/>
      <c r="AC703" s="2976"/>
      <c r="AD703" s="2976"/>
      <c r="AE703" s="2976"/>
      <c r="AF703" s="2976"/>
    </row>
    <row r="704" spans="1:32">
      <c r="A704" s="2972">
        <v>703</v>
      </c>
      <c r="B704" s="2974" t="s">
        <v>3245</v>
      </c>
      <c r="C704" s="2982" t="s">
        <v>3152</v>
      </c>
      <c r="D704" s="2972" t="s">
        <v>3183</v>
      </c>
      <c r="E704" s="2974" t="s">
        <v>3140</v>
      </c>
      <c r="F704" s="2974">
        <v>60.13</v>
      </c>
      <c r="G704" s="2974">
        <v>2.14</v>
      </c>
      <c r="H704" s="2974">
        <v>62.27</v>
      </c>
      <c r="I704" s="2974" t="s">
        <v>1373</v>
      </c>
      <c r="J704" s="2974" t="s">
        <v>3133</v>
      </c>
      <c r="L704" s="2976"/>
      <c r="M704" s="2976"/>
      <c r="N704" s="2976"/>
      <c r="O704" s="2976"/>
      <c r="P704" s="2976"/>
      <c r="Q704" s="2976"/>
      <c r="R704" s="2976"/>
      <c r="S704" s="2976"/>
      <c r="T704" s="2976"/>
      <c r="U704" s="2976"/>
      <c r="V704" s="2976"/>
      <c r="W704" s="2976"/>
      <c r="X704" s="2976"/>
      <c r="Y704" s="2976"/>
      <c r="Z704" s="2976"/>
      <c r="AA704" s="2976"/>
      <c r="AB704" s="2976"/>
      <c r="AC704" s="2976"/>
      <c r="AD704" s="2976"/>
      <c r="AE704" s="2976"/>
      <c r="AF704" s="2976"/>
    </row>
    <row r="705" spans="1:32">
      <c r="A705" s="2972">
        <v>704</v>
      </c>
      <c r="B705" s="2974" t="s">
        <v>3245</v>
      </c>
      <c r="C705" s="2982" t="s">
        <v>3152</v>
      </c>
      <c r="D705" s="2972" t="s">
        <v>3183</v>
      </c>
      <c r="E705" s="2974" t="s">
        <v>3141</v>
      </c>
      <c r="F705" s="2974">
        <v>72.709999999999994</v>
      </c>
      <c r="G705" s="2974">
        <v>2.59</v>
      </c>
      <c r="H705" s="2974">
        <v>75.3</v>
      </c>
      <c r="I705" s="2974" t="s">
        <v>1373</v>
      </c>
      <c r="J705" s="2974" t="s">
        <v>3133</v>
      </c>
      <c r="L705" s="2976"/>
      <c r="M705" s="2976"/>
      <c r="N705" s="2976"/>
      <c r="O705" s="2976"/>
      <c r="P705" s="2976"/>
      <c r="Q705" s="2976"/>
      <c r="R705" s="2976"/>
      <c r="S705" s="2976"/>
      <c r="T705" s="2976"/>
      <c r="U705" s="2976"/>
      <c r="V705" s="2976"/>
      <c r="W705" s="2976"/>
      <c r="X705" s="2976"/>
      <c r="Y705" s="2976"/>
      <c r="Z705" s="2976"/>
      <c r="AA705" s="2976"/>
      <c r="AB705" s="2976"/>
      <c r="AC705" s="2976"/>
      <c r="AD705" s="2976"/>
      <c r="AE705" s="2976"/>
      <c r="AF705" s="2976"/>
    </row>
    <row r="706" spans="1:32">
      <c r="A706" s="2972">
        <v>705</v>
      </c>
      <c r="B706" s="2974" t="s">
        <v>3235</v>
      </c>
      <c r="C706" s="2982" t="s">
        <v>3152</v>
      </c>
      <c r="D706" s="2972" t="s">
        <v>3183</v>
      </c>
      <c r="E706" s="2982" t="s">
        <v>3132</v>
      </c>
      <c r="F706" s="2983">
        <v>113.61</v>
      </c>
      <c r="G706" s="2979">
        <v>3.93</v>
      </c>
      <c r="H706" s="2979">
        <v>117.54</v>
      </c>
      <c r="I706" s="2980" t="s">
        <v>1373</v>
      </c>
      <c r="J706" s="2981" t="s">
        <v>3133</v>
      </c>
      <c r="L706" s="2976"/>
      <c r="M706" s="2976"/>
      <c r="N706" s="2976"/>
      <c r="O706" s="2976"/>
      <c r="P706" s="2976"/>
      <c r="Q706" s="2976"/>
      <c r="R706" s="2976"/>
      <c r="S706" s="2976"/>
      <c r="T706" s="2976"/>
      <c r="U706" s="2976"/>
      <c r="V706" s="2976"/>
      <c r="W706" s="2976"/>
      <c r="X706" s="2976"/>
      <c r="Y706" s="2976"/>
      <c r="Z706" s="2976"/>
      <c r="AA706" s="2976"/>
      <c r="AB706" s="2976"/>
      <c r="AC706" s="2976"/>
      <c r="AD706" s="2976"/>
      <c r="AE706" s="2976"/>
      <c r="AF706" s="2976"/>
    </row>
    <row r="707" spans="1:32">
      <c r="A707" s="2972">
        <v>706</v>
      </c>
      <c r="B707" s="2974" t="s">
        <v>3235</v>
      </c>
      <c r="C707" s="2982" t="s">
        <v>3152</v>
      </c>
      <c r="D707" s="2972" t="s">
        <v>3183</v>
      </c>
      <c r="E707" s="2982" t="s">
        <v>3134</v>
      </c>
      <c r="F707" s="2983">
        <v>53.55</v>
      </c>
      <c r="G707" s="2979">
        <v>1.85</v>
      </c>
      <c r="H707" s="2979">
        <v>55.4</v>
      </c>
      <c r="I707" s="2980" t="s">
        <v>1373</v>
      </c>
      <c r="J707" s="2981" t="s">
        <v>3133</v>
      </c>
      <c r="L707" s="2976"/>
      <c r="M707" s="2976"/>
      <c r="N707" s="2976"/>
      <c r="O707" s="2976"/>
      <c r="P707" s="2976"/>
      <c r="Q707" s="2976"/>
      <c r="R707" s="2976"/>
      <c r="S707" s="2976"/>
      <c r="T707" s="2976"/>
      <c r="U707" s="2976"/>
      <c r="V707" s="2976"/>
      <c r="W707" s="2976"/>
      <c r="X707" s="2976"/>
      <c r="Y707" s="2976"/>
      <c r="Z707" s="2976"/>
      <c r="AA707" s="2976"/>
      <c r="AB707" s="2976"/>
      <c r="AC707" s="2976"/>
      <c r="AD707" s="2976"/>
      <c r="AE707" s="2976"/>
      <c r="AF707" s="2976"/>
    </row>
    <row r="708" spans="1:32">
      <c r="A708" s="2972">
        <v>707</v>
      </c>
      <c r="B708" s="2974" t="s">
        <v>3235</v>
      </c>
      <c r="C708" s="2982" t="s">
        <v>3152</v>
      </c>
      <c r="D708" s="2972" t="s">
        <v>3183</v>
      </c>
      <c r="E708" s="2982" t="s">
        <v>3135</v>
      </c>
      <c r="F708" s="2983">
        <v>97.11</v>
      </c>
      <c r="G708" s="2979">
        <v>3.36</v>
      </c>
      <c r="H708" s="2979">
        <v>100.47</v>
      </c>
      <c r="I708" s="2980" t="s">
        <v>1373</v>
      </c>
      <c r="J708" s="2981" t="s">
        <v>3133</v>
      </c>
      <c r="L708" s="2976"/>
      <c r="M708" s="2976"/>
      <c r="N708" s="2976"/>
      <c r="O708" s="2976"/>
      <c r="P708" s="2976"/>
      <c r="Q708" s="2976"/>
      <c r="R708" s="2976"/>
      <c r="S708" s="2976"/>
      <c r="T708" s="2976"/>
      <c r="U708" s="2976"/>
      <c r="V708" s="2976"/>
      <c r="W708" s="2976"/>
      <c r="X708" s="2976"/>
      <c r="Y708" s="2976"/>
      <c r="Z708" s="2976"/>
      <c r="AA708" s="2976"/>
      <c r="AB708" s="2976"/>
      <c r="AC708" s="2976"/>
      <c r="AD708" s="2976"/>
      <c r="AE708" s="2976"/>
      <c r="AF708" s="2976"/>
    </row>
    <row r="709" spans="1:32">
      <c r="A709" s="2972">
        <v>708</v>
      </c>
      <c r="B709" s="2974" t="s">
        <v>3235</v>
      </c>
      <c r="C709" s="2982" t="s">
        <v>3152</v>
      </c>
      <c r="D709" s="2972" t="s">
        <v>3183</v>
      </c>
      <c r="E709" s="2982" t="s">
        <v>3136</v>
      </c>
      <c r="F709" s="2983">
        <v>105.78</v>
      </c>
      <c r="G709" s="2979">
        <v>3.65</v>
      </c>
      <c r="H709" s="2979">
        <v>109.43</v>
      </c>
      <c r="I709" s="2980" t="s">
        <v>1373</v>
      </c>
      <c r="J709" s="2981" t="s">
        <v>3133</v>
      </c>
      <c r="L709" s="2976"/>
      <c r="M709" s="2976"/>
      <c r="N709" s="2976"/>
      <c r="O709" s="2976"/>
      <c r="P709" s="2976"/>
      <c r="Q709" s="2976"/>
      <c r="R709" s="2976"/>
      <c r="S709" s="2976"/>
      <c r="T709" s="2976"/>
      <c r="U709" s="2976"/>
      <c r="V709" s="2976"/>
      <c r="W709" s="2976"/>
      <c r="X709" s="2976"/>
      <c r="Y709" s="2976"/>
      <c r="Z709" s="2976"/>
      <c r="AA709" s="2976"/>
      <c r="AB709" s="2976"/>
      <c r="AC709" s="2976"/>
      <c r="AD709" s="2976"/>
      <c r="AE709" s="2976"/>
      <c r="AF709" s="2976"/>
    </row>
    <row r="710" spans="1:32">
      <c r="A710" s="2972">
        <v>709</v>
      </c>
      <c r="B710" s="2974" t="s">
        <v>3235</v>
      </c>
      <c r="C710" s="2982" t="s">
        <v>3152</v>
      </c>
      <c r="D710" s="2972" t="s">
        <v>3183</v>
      </c>
      <c r="E710" s="2982" t="s">
        <v>3137</v>
      </c>
      <c r="F710" s="2983">
        <v>97.59</v>
      </c>
      <c r="G710" s="2979">
        <v>3.37</v>
      </c>
      <c r="H710" s="2979">
        <v>100.96000000000001</v>
      </c>
      <c r="I710" s="2980" t="s">
        <v>1373</v>
      </c>
      <c r="J710" s="2981" t="s">
        <v>3133</v>
      </c>
      <c r="L710" s="2976"/>
      <c r="M710" s="2976"/>
      <c r="N710" s="2976"/>
      <c r="O710" s="2976"/>
      <c r="P710" s="2976"/>
      <c r="Q710" s="2976"/>
      <c r="R710" s="2976"/>
      <c r="S710" s="2976"/>
      <c r="T710" s="2976"/>
      <c r="U710" s="2976"/>
      <c r="V710" s="2976"/>
      <c r="W710" s="2976"/>
      <c r="X710" s="2976"/>
      <c r="Y710" s="2976"/>
      <c r="Z710" s="2976"/>
      <c r="AA710" s="2976"/>
      <c r="AB710" s="2976"/>
      <c r="AC710" s="2976"/>
      <c r="AD710" s="2976"/>
      <c r="AE710" s="2976"/>
      <c r="AF710" s="2976"/>
    </row>
    <row r="711" spans="1:32">
      <c r="A711" s="2972">
        <v>710</v>
      </c>
      <c r="B711" s="2974" t="s">
        <v>3235</v>
      </c>
      <c r="C711" s="2982" t="s">
        <v>3152</v>
      </c>
      <c r="D711" s="2972" t="s">
        <v>3183</v>
      </c>
      <c r="E711" s="2982" t="s">
        <v>3138</v>
      </c>
      <c r="F711" s="2983">
        <v>85.22</v>
      </c>
      <c r="G711" s="2979">
        <v>2.94</v>
      </c>
      <c r="H711" s="2979">
        <v>88.16</v>
      </c>
      <c r="I711" s="2980" t="s">
        <v>1373</v>
      </c>
      <c r="J711" s="2981" t="s">
        <v>3133</v>
      </c>
      <c r="L711" s="2976"/>
      <c r="M711" s="2976"/>
      <c r="N711" s="2976"/>
      <c r="O711" s="2976"/>
      <c r="P711" s="2976"/>
      <c r="Q711" s="2976"/>
      <c r="R711" s="2976"/>
      <c r="S711" s="2976"/>
      <c r="T711" s="2976"/>
      <c r="U711" s="2976"/>
      <c r="V711" s="2976"/>
      <c r="W711" s="2976"/>
      <c r="X711" s="2976"/>
      <c r="Y711" s="2976"/>
      <c r="Z711" s="2976"/>
      <c r="AA711" s="2976"/>
      <c r="AB711" s="2976"/>
      <c r="AC711" s="2976"/>
      <c r="AD711" s="2976"/>
      <c r="AE711" s="2976"/>
      <c r="AF711" s="2976"/>
    </row>
    <row r="712" spans="1:32">
      <c r="A712" s="2972">
        <v>711</v>
      </c>
      <c r="B712" s="2974" t="s">
        <v>3235</v>
      </c>
      <c r="C712" s="2982" t="s">
        <v>3152</v>
      </c>
      <c r="D712" s="2972" t="s">
        <v>3183</v>
      </c>
      <c r="E712" s="2982" t="s">
        <v>3139</v>
      </c>
      <c r="F712" s="2983">
        <v>66.88</v>
      </c>
      <c r="G712" s="2979">
        <v>2.31</v>
      </c>
      <c r="H712" s="2979">
        <v>69.19</v>
      </c>
      <c r="I712" s="2980" t="s">
        <v>1373</v>
      </c>
      <c r="J712" s="2981" t="s">
        <v>3133</v>
      </c>
      <c r="L712" s="2976"/>
      <c r="M712" s="2976"/>
      <c r="N712" s="2976"/>
      <c r="O712" s="2976"/>
      <c r="P712" s="2976"/>
      <c r="Q712" s="2976"/>
      <c r="R712" s="2976"/>
      <c r="S712" s="2976"/>
      <c r="T712" s="2976"/>
      <c r="U712" s="2976"/>
      <c r="V712" s="2976"/>
      <c r="W712" s="2976"/>
      <c r="X712" s="2976"/>
      <c r="Y712" s="2976"/>
      <c r="Z712" s="2976"/>
      <c r="AA712" s="2976"/>
      <c r="AB712" s="2976"/>
      <c r="AC712" s="2976"/>
      <c r="AD712" s="2976"/>
      <c r="AE712" s="2976"/>
      <c r="AF712" s="2976"/>
    </row>
    <row r="713" spans="1:32">
      <c r="A713" s="2972">
        <v>712</v>
      </c>
      <c r="B713" s="2974" t="s">
        <v>3235</v>
      </c>
      <c r="C713" s="2982" t="s">
        <v>3152</v>
      </c>
      <c r="D713" s="2972" t="s">
        <v>3183</v>
      </c>
      <c r="E713" s="2982" t="s">
        <v>3140</v>
      </c>
      <c r="F713" s="2983">
        <v>92.38</v>
      </c>
      <c r="G713" s="2979">
        <v>3.19</v>
      </c>
      <c r="H713" s="2979">
        <v>95.57</v>
      </c>
      <c r="I713" s="2980" t="s">
        <v>1373</v>
      </c>
      <c r="J713" s="2981" t="s">
        <v>3133</v>
      </c>
      <c r="L713" s="2976"/>
      <c r="M713" s="2976"/>
      <c r="N713" s="2976"/>
      <c r="O713" s="2976"/>
      <c r="P713" s="2976"/>
      <c r="Q713" s="2976"/>
      <c r="R713" s="2976"/>
      <c r="S713" s="2976"/>
      <c r="T713" s="2976"/>
      <c r="U713" s="2976"/>
      <c r="V713" s="2976"/>
      <c r="W713" s="2976"/>
      <c r="X713" s="2976"/>
      <c r="Y713" s="2976"/>
      <c r="Z713" s="2976"/>
      <c r="AA713" s="2976"/>
      <c r="AB713" s="2976"/>
      <c r="AC713" s="2976"/>
      <c r="AD713" s="2976"/>
      <c r="AE713" s="2976"/>
      <c r="AF713" s="2976"/>
    </row>
    <row r="714" spans="1:32">
      <c r="A714" s="2972">
        <v>713</v>
      </c>
      <c r="B714" s="2974" t="s">
        <v>3235</v>
      </c>
      <c r="C714" s="2982" t="s">
        <v>3152</v>
      </c>
      <c r="D714" s="2972" t="s">
        <v>3183</v>
      </c>
      <c r="E714" s="2982" t="s">
        <v>3141</v>
      </c>
      <c r="F714" s="2983">
        <v>82.55</v>
      </c>
      <c r="G714" s="2979">
        <v>2.85</v>
      </c>
      <c r="H714" s="2979">
        <v>85.399999999999991</v>
      </c>
      <c r="I714" s="2980" t="s">
        <v>1373</v>
      </c>
      <c r="J714" s="2981" t="s">
        <v>3133</v>
      </c>
      <c r="L714" s="2976"/>
      <c r="M714" s="2976"/>
      <c r="N714" s="2976"/>
      <c r="O714" s="2976"/>
      <c r="P714" s="2976"/>
      <c r="Q714" s="2976"/>
      <c r="R714" s="2976"/>
      <c r="S714" s="2976"/>
      <c r="T714" s="2976"/>
      <c r="U714" s="2976"/>
      <c r="V714" s="2976"/>
      <c r="W714" s="2976"/>
      <c r="X714" s="2976"/>
      <c r="Y714" s="2976"/>
      <c r="Z714" s="2976"/>
      <c r="AA714" s="2976"/>
      <c r="AB714" s="2976"/>
      <c r="AC714" s="2976"/>
      <c r="AD714" s="2976"/>
      <c r="AE714" s="2976"/>
      <c r="AF714" s="2976"/>
    </row>
    <row r="715" spans="1:32">
      <c r="A715" s="2972">
        <v>714</v>
      </c>
      <c r="B715" s="2974" t="s">
        <v>3236</v>
      </c>
      <c r="C715" s="2982" t="s">
        <v>3152</v>
      </c>
      <c r="D715" s="2972" t="s">
        <v>3183</v>
      </c>
      <c r="E715" s="2982" t="s">
        <v>3132</v>
      </c>
      <c r="F715" s="2983">
        <v>140.52000000000001</v>
      </c>
      <c r="G715" s="2979">
        <v>4.8499999999999996</v>
      </c>
      <c r="H715" s="2979">
        <v>145.37</v>
      </c>
      <c r="I715" s="2974" t="s">
        <v>1373</v>
      </c>
      <c r="J715" s="2981" t="s">
        <v>3133</v>
      </c>
      <c r="L715" s="2976"/>
      <c r="M715" s="2976"/>
      <c r="N715" s="2976"/>
      <c r="O715" s="2976"/>
      <c r="P715" s="2976"/>
      <c r="Q715" s="2976"/>
      <c r="R715" s="2976"/>
      <c r="S715" s="2976"/>
      <c r="T715" s="2976"/>
      <c r="U715" s="2976"/>
      <c r="V715" s="2976"/>
      <c r="W715" s="2976"/>
      <c r="X715" s="2976"/>
      <c r="Y715" s="2976"/>
      <c r="Z715" s="2976"/>
      <c r="AA715" s="2976"/>
      <c r="AB715" s="2976"/>
      <c r="AC715" s="2976"/>
      <c r="AD715" s="2976"/>
      <c r="AE715" s="2976"/>
      <c r="AF715" s="2976"/>
    </row>
    <row r="716" spans="1:32">
      <c r="A716" s="2972">
        <v>715</v>
      </c>
      <c r="B716" s="2974" t="s">
        <v>3236</v>
      </c>
      <c r="C716" s="2982" t="s">
        <v>3152</v>
      </c>
      <c r="D716" s="2972" t="s">
        <v>3183</v>
      </c>
      <c r="E716" s="2982" t="s">
        <v>3134</v>
      </c>
      <c r="F716" s="2983">
        <v>95.14</v>
      </c>
      <c r="G716" s="2979">
        <v>3.28</v>
      </c>
      <c r="H716" s="2979">
        <v>98.42</v>
      </c>
      <c r="I716" s="2974" t="s">
        <v>1373</v>
      </c>
      <c r="J716" s="2981" t="s">
        <v>3133</v>
      </c>
      <c r="L716" s="2976"/>
      <c r="M716" s="2976"/>
      <c r="N716" s="2976"/>
      <c r="O716" s="2976"/>
      <c r="P716" s="2976"/>
      <c r="Q716" s="2976"/>
      <c r="R716" s="2976"/>
      <c r="S716" s="2976"/>
      <c r="T716" s="2976"/>
      <c r="U716" s="2976"/>
      <c r="V716" s="2976"/>
      <c r="W716" s="2976"/>
      <c r="X716" s="2976"/>
      <c r="Y716" s="2976"/>
      <c r="Z716" s="2976"/>
      <c r="AA716" s="2976"/>
      <c r="AB716" s="2976"/>
      <c r="AC716" s="2976"/>
      <c r="AD716" s="2976"/>
      <c r="AE716" s="2976"/>
      <c r="AF716" s="2976"/>
    </row>
    <row r="717" spans="1:32">
      <c r="A717" s="2972">
        <v>716</v>
      </c>
      <c r="B717" s="2974" t="s">
        <v>3236</v>
      </c>
      <c r="C717" s="2982" t="s">
        <v>3152</v>
      </c>
      <c r="D717" s="2972" t="s">
        <v>3183</v>
      </c>
      <c r="E717" s="2982" t="s">
        <v>3135</v>
      </c>
      <c r="F717" s="2983">
        <v>58.91</v>
      </c>
      <c r="G717" s="2979">
        <v>2.0299999999999998</v>
      </c>
      <c r="H717" s="2979">
        <v>60.94</v>
      </c>
      <c r="I717" s="2974" t="s">
        <v>1373</v>
      </c>
      <c r="J717" s="2981" t="s">
        <v>3133</v>
      </c>
      <c r="L717" s="2976"/>
      <c r="M717" s="2976"/>
      <c r="N717" s="2976"/>
      <c r="O717" s="2976"/>
      <c r="P717" s="2976"/>
      <c r="Q717" s="2976"/>
      <c r="R717" s="2976"/>
      <c r="S717" s="2976"/>
      <c r="T717" s="2976"/>
      <c r="U717" s="2976"/>
      <c r="V717" s="2976"/>
      <c r="W717" s="2976"/>
      <c r="X717" s="2976"/>
      <c r="Y717" s="2976"/>
      <c r="Z717" s="2976"/>
      <c r="AA717" s="2976"/>
      <c r="AB717" s="2976"/>
      <c r="AC717" s="2976"/>
      <c r="AD717" s="2976"/>
      <c r="AE717" s="2976"/>
      <c r="AF717" s="2976"/>
    </row>
    <row r="718" spans="1:32">
      <c r="A718" s="2972">
        <v>717</v>
      </c>
      <c r="B718" s="2974" t="s">
        <v>3236</v>
      </c>
      <c r="C718" s="2982" t="s">
        <v>3152</v>
      </c>
      <c r="D718" s="2972" t="s">
        <v>3183</v>
      </c>
      <c r="E718" s="2982" t="s">
        <v>3136</v>
      </c>
      <c r="F718" s="2983">
        <v>71.52</v>
      </c>
      <c r="G718" s="2979">
        <v>2.4700000000000002</v>
      </c>
      <c r="H718" s="2979">
        <v>73.989999999999995</v>
      </c>
      <c r="I718" s="2974" t="s">
        <v>1373</v>
      </c>
      <c r="J718" s="2981" t="s">
        <v>3133</v>
      </c>
      <c r="L718" s="2976"/>
      <c r="M718" s="2976"/>
      <c r="N718" s="2976"/>
      <c r="O718" s="2976"/>
      <c r="P718" s="2976"/>
      <c r="Q718" s="2976"/>
      <c r="R718" s="2976"/>
      <c r="S718" s="2976"/>
      <c r="T718" s="2976"/>
      <c r="U718" s="2976"/>
      <c r="V718" s="2976"/>
      <c r="W718" s="2976"/>
      <c r="X718" s="2976"/>
      <c r="Y718" s="2976"/>
      <c r="Z718" s="2976"/>
      <c r="AA718" s="2976"/>
      <c r="AB718" s="2976"/>
      <c r="AC718" s="2976"/>
      <c r="AD718" s="2976"/>
      <c r="AE718" s="2976"/>
      <c r="AF718" s="2976"/>
    </row>
    <row r="719" spans="1:32">
      <c r="A719" s="2972">
        <v>718</v>
      </c>
      <c r="B719" s="2974" t="s">
        <v>3236</v>
      </c>
      <c r="C719" s="2982" t="s">
        <v>3159</v>
      </c>
      <c r="D719" s="2972" t="s">
        <v>3183</v>
      </c>
      <c r="E719" s="2982" t="s">
        <v>3160</v>
      </c>
      <c r="F719" s="2983">
        <v>77.95</v>
      </c>
      <c r="G719" s="2979">
        <v>42.27</v>
      </c>
      <c r="H719" s="2979">
        <v>120.22</v>
      </c>
      <c r="I719" s="2980" t="s">
        <v>1373</v>
      </c>
      <c r="J719" s="2981" t="s">
        <v>3133</v>
      </c>
      <c r="L719" s="2976"/>
      <c r="M719" s="2976"/>
      <c r="N719" s="2976"/>
      <c r="O719" s="2976"/>
      <c r="P719" s="2976"/>
      <c r="Q719" s="2976"/>
      <c r="R719" s="2976"/>
      <c r="S719" s="2976"/>
      <c r="T719" s="2976"/>
      <c r="U719" s="2976"/>
      <c r="V719" s="2976"/>
      <c r="W719" s="2976"/>
      <c r="X719" s="2976"/>
      <c r="Y719" s="2976"/>
      <c r="Z719" s="2976"/>
      <c r="AA719" s="2976"/>
      <c r="AB719" s="2976"/>
      <c r="AC719" s="2976"/>
      <c r="AD719" s="2976"/>
      <c r="AE719" s="2976"/>
      <c r="AF719" s="2976"/>
    </row>
    <row r="720" spans="1:32">
      <c r="A720" s="2972">
        <v>719</v>
      </c>
      <c r="B720" s="2974" t="s">
        <v>3236</v>
      </c>
      <c r="C720" s="2982" t="s">
        <v>3159</v>
      </c>
      <c r="D720" s="2972" t="s">
        <v>3183</v>
      </c>
      <c r="E720" s="2982" t="s">
        <v>3161</v>
      </c>
      <c r="F720" s="2983">
        <v>74.41</v>
      </c>
      <c r="G720" s="2979">
        <v>40.35</v>
      </c>
      <c r="H720" s="2979">
        <v>114.75999999999999</v>
      </c>
      <c r="I720" s="2980" t="s">
        <v>1373</v>
      </c>
      <c r="J720" s="2981" t="s">
        <v>3133</v>
      </c>
      <c r="L720" s="2976"/>
      <c r="M720" s="2976"/>
      <c r="N720" s="2976"/>
      <c r="O720" s="2976"/>
      <c r="P720" s="2976"/>
      <c r="Q720" s="2976"/>
      <c r="R720" s="2976"/>
      <c r="S720" s="2976"/>
      <c r="T720" s="2976"/>
      <c r="U720" s="2976"/>
      <c r="V720" s="2976"/>
      <c r="W720" s="2976"/>
      <c r="X720" s="2976"/>
      <c r="Y720" s="2976"/>
      <c r="Z720" s="2976"/>
      <c r="AA720" s="2976"/>
      <c r="AB720" s="2976"/>
      <c r="AC720" s="2976"/>
      <c r="AD720" s="2976"/>
      <c r="AE720" s="2976"/>
      <c r="AF720" s="2976"/>
    </row>
    <row r="721" spans="1:32">
      <c r="A721" s="2972">
        <v>720</v>
      </c>
      <c r="B721" s="2974" t="s">
        <v>3236</v>
      </c>
      <c r="C721" s="2982" t="s">
        <v>3159</v>
      </c>
      <c r="D721" s="2972" t="s">
        <v>3183</v>
      </c>
      <c r="E721" s="2982" t="s">
        <v>3203</v>
      </c>
      <c r="F721" s="2983">
        <v>82.19</v>
      </c>
      <c r="G721" s="2979">
        <v>44.57</v>
      </c>
      <c r="H721" s="2979">
        <v>126.75999999999999</v>
      </c>
      <c r="I721" s="2974" t="s">
        <v>1373</v>
      </c>
      <c r="J721" s="2981" t="s">
        <v>3133</v>
      </c>
      <c r="L721" s="2976"/>
    </row>
    <row r="722" spans="1:32">
      <c r="A722" s="2972">
        <v>721</v>
      </c>
      <c r="B722" s="2974" t="s">
        <v>3237</v>
      </c>
      <c r="C722" s="2982" t="s">
        <v>3152</v>
      </c>
      <c r="D722" s="2972" t="s">
        <v>3183</v>
      </c>
      <c r="E722" s="2982" t="s">
        <v>3132</v>
      </c>
      <c r="F722" s="2983">
        <v>104.89</v>
      </c>
      <c r="G722" s="2979">
        <v>4.28</v>
      </c>
      <c r="H722" s="2979">
        <v>109.17</v>
      </c>
      <c r="I722" s="2974" t="s">
        <v>1373</v>
      </c>
      <c r="J722" s="2981" t="s">
        <v>3133</v>
      </c>
      <c r="L722" s="2976"/>
    </row>
    <row r="723" spans="1:32">
      <c r="A723" s="2972">
        <v>722</v>
      </c>
      <c r="B723" s="2974" t="s">
        <v>3237</v>
      </c>
      <c r="C723" s="2982" t="s">
        <v>3152</v>
      </c>
      <c r="D723" s="2972" t="s">
        <v>3183</v>
      </c>
      <c r="E723" s="2982" t="s">
        <v>3134</v>
      </c>
      <c r="F723" s="2983">
        <v>56.7</v>
      </c>
      <c r="G723" s="2979">
        <v>2.31</v>
      </c>
      <c r="H723" s="2979">
        <v>59.010000000000005</v>
      </c>
      <c r="I723" s="2974" t="s">
        <v>1373</v>
      </c>
      <c r="J723" s="2981" t="s">
        <v>3133</v>
      </c>
      <c r="L723" s="2976"/>
    </row>
    <row r="724" spans="1:32">
      <c r="A724" s="2972">
        <v>723</v>
      </c>
      <c r="B724" s="2974" t="s">
        <v>3237</v>
      </c>
      <c r="C724" s="2982" t="s">
        <v>3152</v>
      </c>
      <c r="D724" s="2972" t="s">
        <v>3183</v>
      </c>
      <c r="E724" s="2982" t="s">
        <v>3135</v>
      </c>
      <c r="F724" s="2983">
        <v>82.92</v>
      </c>
      <c r="G724" s="2979">
        <v>3.38</v>
      </c>
      <c r="H724" s="2979">
        <v>86.3</v>
      </c>
      <c r="I724" s="2974" t="s">
        <v>1373</v>
      </c>
      <c r="J724" s="2981" t="s">
        <v>3133</v>
      </c>
      <c r="L724" s="2976"/>
      <c r="R724" s="2984"/>
    </row>
    <row r="725" spans="1:32">
      <c r="A725" s="2972">
        <v>724</v>
      </c>
      <c r="B725" s="2974" t="s">
        <v>3237</v>
      </c>
      <c r="C725" s="2974" t="s">
        <v>3159</v>
      </c>
      <c r="D725" s="2972" t="s">
        <v>3183</v>
      </c>
      <c r="E725" s="2982" t="s">
        <v>3161</v>
      </c>
      <c r="F725" s="2983">
        <v>72.400000000000006</v>
      </c>
      <c r="G725" s="2979">
        <v>52.32</v>
      </c>
      <c r="H725" s="2979">
        <v>124.72</v>
      </c>
      <c r="I725" s="2980" t="s">
        <v>1373</v>
      </c>
      <c r="J725" s="2981" t="s">
        <v>3133</v>
      </c>
      <c r="L725" s="2976"/>
      <c r="R725" s="2985"/>
    </row>
    <row r="726" spans="1:32">
      <c r="A726" s="2976" t="s">
        <v>3204</v>
      </c>
      <c r="H726" s="2976">
        <f>SUM(H2:H725)</f>
        <v>57167.729999999989</v>
      </c>
      <c r="K726" s="2992">
        <f>K725+K664+K662</f>
        <v>0</v>
      </c>
      <c r="L726" s="2976"/>
      <c r="R726" s="3373"/>
    </row>
    <row r="727" spans="1:32" s="2988" customFormat="1">
      <c r="A727" s="2976"/>
      <c r="B727" s="2976"/>
      <c r="C727" s="2986"/>
      <c r="D727" s="2976"/>
      <c r="E727" s="2976"/>
      <c r="F727" s="2976"/>
      <c r="G727" s="2976"/>
      <c r="H727" s="2976"/>
      <c r="I727" s="2976"/>
      <c r="J727" s="2976"/>
      <c r="K727" s="2976"/>
      <c r="L727" s="2976"/>
      <c r="M727" s="2977"/>
      <c r="N727" s="2977"/>
      <c r="O727" s="2977"/>
      <c r="P727" s="2977"/>
      <c r="Q727" s="2977"/>
      <c r="R727" s="3373"/>
      <c r="S727" s="2977"/>
      <c r="T727" s="2977"/>
      <c r="U727" s="2977"/>
      <c r="V727" s="2977"/>
      <c r="W727" s="2977"/>
      <c r="X727" s="2977"/>
      <c r="Y727" s="2977"/>
      <c r="Z727" s="2977"/>
      <c r="AA727" s="2977"/>
      <c r="AB727" s="2977"/>
      <c r="AC727" s="2977"/>
      <c r="AD727" s="2977"/>
      <c r="AE727" s="2977"/>
      <c r="AF727" s="2987"/>
    </row>
    <row r="728" spans="1:32" s="2989" customFormat="1">
      <c r="C728" s="2990"/>
      <c r="M728" s="2977"/>
      <c r="N728" s="2977"/>
      <c r="O728" s="2977"/>
      <c r="P728" s="2977"/>
      <c r="Q728" s="2977"/>
      <c r="R728" s="3373"/>
      <c r="S728" s="2977"/>
      <c r="T728" s="2977"/>
      <c r="U728" s="2977"/>
      <c r="V728" s="2977"/>
      <c r="W728" s="2977"/>
      <c r="X728" s="2977"/>
      <c r="Y728" s="2977"/>
      <c r="Z728" s="2977"/>
      <c r="AA728" s="2977"/>
      <c r="AB728" s="2977"/>
      <c r="AC728" s="2977"/>
      <c r="AD728" s="2977"/>
      <c r="AE728" s="2977"/>
    </row>
    <row r="729" spans="1:32" s="2989" customFormat="1">
      <c r="C729" s="2990" t="s">
        <v>3248</v>
      </c>
      <c r="D729" s="2993">
        <f>SUM(H2:H662)</f>
        <v>49595.349999999962</v>
      </c>
      <c r="M729" s="2977"/>
      <c r="N729" s="2977"/>
      <c r="O729" s="2977"/>
      <c r="P729" s="2977"/>
      <c r="Q729" s="2977"/>
      <c r="R729" s="3373"/>
      <c r="S729" s="2977"/>
      <c r="T729" s="2977"/>
      <c r="U729" s="2977"/>
      <c r="V729" s="2977"/>
      <c r="W729" s="2977"/>
      <c r="X729" s="2977"/>
      <c r="Y729" s="2977"/>
      <c r="Z729" s="2977"/>
      <c r="AA729" s="2977"/>
      <c r="AB729" s="2977"/>
      <c r="AC729" s="2977"/>
      <c r="AD729" s="2977"/>
      <c r="AE729" s="2977"/>
    </row>
    <row r="730" spans="1:32" s="2989" customFormat="1">
      <c r="C730" s="2990" t="s">
        <v>3249</v>
      </c>
      <c r="D730" s="2993">
        <f>SUM(H663:H684)+SUM(H687:H725)</f>
        <v>5361.51</v>
      </c>
      <c r="M730" s="2977"/>
      <c r="N730" s="2977"/>
      <c r="O730" s="2977"/>
      <c r="P730" s="2977"/>
      <c r="Q730" s="2977"/>
      <c r="R730" s="2977"/>
      <c r="S730" s="2977"/>
      <c r="T730" s="2977"/>
      <c r="U730" s="2977"/>
      <c r="V730" s="2977"/>
      <c r="W730" s="2977"/>
      <c r="X730" s="2977"/>
      <c r="Y730" s="2977"/>
      <c r="Z730" s="2977"/>
      <c r="AA730" s="2977"/>
      <c r="AB730" s="2977"/>
      <c r="AC730" s="2977"/>
      <c r="AD730" s="2977"/>
      <c r="AE730" s="2977"/>
    </row>
    <row r="731" spans="1:32" s="2989" customFormat="1">
      <c r="C731" s="2990" t="s">
        <v>3250</v>
      </c>
      <c r="D731" s="2989">
        <f>H685+H686</f>
        <v>2210.87</v>
      </c>
      <c r="M731" s="2977"/>
      <c r="N731" s="2977"/>
      <c r="O731" s="2977"/>
      <c r="P731" s="2977"/>
      <c r="Q731" s="2977"/>
      <c r="R731" s="2977"/>
      <c r="S731" s="2977"/>
      <c r="T731" s="2977"/>
      <c r="U731" s="2977"/>
      <c r="V731" s="2977"/>
      <c r="W731" s="2977"/>
      <c r="X731" s="2977"/>
      <c r="Y731" s="2977"/>
      <c r="Z731" s="2977"/>
      <c r="AA731" s="2977"/>
      <c r="AB731" s="2977"/>
      <c r="AC731" s="2977"/>
      <c r="AD731" s="2977"/>
      <c r="AE731" s="2977"/>
    </row>
    <row r="732" spans="1:32" s="2989" customFormat="1">
      <c r="C732" s="2990"/>
      <c r="D732" s="2993">
        <f>D731+D730+D729</f>
        <v>57167.72999999996</v>
      </c>
      <c r="M732" s="2977"/>
      <c r="N732" s="2977"/>
      <c r="O732" s="2977"/>
      <c r="P732" s="2977"/>
      <c r="Q732" s="2977"/>
      <c r="R732" s="2977"/>
      <c r="S732" s="2977"/>
      <c r="T732" s="2977"/>
      <c r="U732" s="2977"/>
      <c r="V732" s="2977"/>
      <c r="W732" s="2977"/>
      <c r="X732" s="2977"/>
      <c r="Y732" s="2977"/>
      <c r="Z732" s="2977"/>
      <c r="AA732" s="2977"/>
      <c r="AB732" s="2977"/>
      <c r="AC732" s="2977"/>
      <c r="AD732" s="2977"/>
      <c r="AE732" s="2977"/>
    </row>
    <row r="733" spans="1:32" s="2989" customFormat="1">
      <c r="C733" s="2990"/>
      <c r="M733" s="2977"/>
      <c r="N733" s="2977"/>
      <c r="O733" s="2977"/>
      <c r="P733" s="2977"/>
      <c r="Q733" s="2977"/>
      <c r="R733" s="2977"/>
      <c r="S733" s="2977"/>
      <c r="T733" s="2977"/>
      <c r="U733" s="2977"/>
      <c r="V733" s="2977"/>
      <c r="W733" s="2977"/>
      <c r="X733" s="2977"/>
      <c r="Y733" s="2977"/>
      <c r="Z733" s="2977"/>
      <c r="AA733" s="2977"/>
      <c r="AB733" s="2977"/>
      <c r="AC733" s="2977"/>
      <c r="AD733" s="2977"/>
      <c r="AE733" s="2977"/>
    </row>
    <row r="734" spans="1:32" s="2989" customFormat="1">
      <c r="C734" s="2990"/>
      <c r="M734" s="2977"/>
      <c r="N734" s="2977"/>
      <c r="O734" s="2977"/>
      <c r="P734" s="2977"/>
      <c r="Q734" s="2977"/>
      <c r="R734" s="2977"/>
      <c r="S734" s="2977"/>
      <c r="T734" s="2977"/>
      <c r="U734" s="2977"/>
      <c r="V734" s="2977"/>
      <c r="W734" s="2977"/>
      <c r="X734" s="2977"/>
      <c r="Y734" s="2977"/>
      <c r="Z734" s="2977"/>
      <c r="AA734" s="2977"/>
      <c r="AB734" s="2977"/>
      <c r="AC734" s="2977"/>
      <c r="AD734" s="2977"/>
      <c r="AE734" s="2977"/>
    </row>
    <row r="735" spans="1:32" s="2989" customFormat="1">
      <c r="C735" s="2990"/>
      <c r="M735" s="2977"/>
      <c r="N735" s="2977"/>
      <c r="O735" s="2977"/>
      <c r="P735" s="2977"/>
      <c r="Q735" s="2977"/>
      <c r="R735" s="2977"/>
      <c r="S735" s="2977"/>
      <c r="T735" s="2977"/>
      <c r="U735" s="2977"/>
      <c r="V735" s="2977"/>
      <c r="W735" s="2977"/>
      <c r="X735" s="2977"/>
      <c r="Y735" s="2977"/>
      <c r="Z735" s="2977"/>
      <c r="AA735" s="2977"/>
      <c r="AB735" s="2977"/>
      <c r="AC735" s="2977"/>
      <c r="AD735" s="2977"/>
      <c r="AE735" s="2977"/>
    </row>
    <row r="736" spans="1:32" s="2989" customFormat="1">
      <c r="C736" s="2990"/>
      <c r="M736" s="2977"/>
      <c r="N736" s="2977"/>
      <c r="O736" s="2977"/>
      <c r="P736" s="2977"/>
      <c r="Q736" s="2977"/>
      <c r="R736" s="2977"/>
      <c r="S736" s="2977"/>
      <c r="T736" s="2977"/>
      <c r="U736" s="2977"/>
      <c r="V736" s="2977"/>
      <c r="W736" s="2977"/>
      <c r="X736" s="2977"/>
      <c r="Y736" s="2977"/>
      <c r="Z736" s="2977"/>
      <c r="AA736" s="2977"/>
      <c r="AB736" s="2977"/>
      <c r="AC736" s="2977"/>
      <c r="AD736" s="2977"/>
      <c r="AE736" s="2977"/>
    </row>
    <row r="737" spans="3:31" s="2989" customFormat="1">
      <c r="C737" s="2990"/>
      <c r="M737" s="2977"/>
      <c r="N737" s="2977"/>
      <c r="O737" s="2977"/>
      <c r="P737" s="2977"/>
      <c r="Q737" s="2977"/>
      <c r="R737" s="2977"/>
      <c r="S737" s="2977"/>
      <c r="T737" s="2977"/>
      <c r="U737" s="2977"/>
      <c r="V737" s="2977"/>
      <c r="W737" s="2977"/>
      <c r="X737" s="2977"/>
      <c r="Y737" s="2977"/>
      <c r="Z737" s="2977"/>
      <c r="AA737" s="2977"/>
      <c r="AB737" s="2977"/>
      <c r="AC737" s="2977"/>
      <c r="AD737" s="2977"/>
      <c r="AE737" s="2977"/>
    </row>
    <row r="738" spans="3:31" s="2989" customFormat="1">
      <c r="C738" s="2990"/>
      <c r="M738" s="2977"/>
      <c r="N738" s="2977"/>
      <c r="O738" s="2977"/>
      <c r="P738" s="2977"/>
      <c r="Q738" s="2977"/>
      <c r="R738" s="2977"/>
      <c r="S738" s="2977"/>
      <c r="T738" s="2977"/>
      <c r="U738" s="2977"/>
      <c r="V738" s="2977"/>
      <c r="W738" s="2977"/>
      <c r="X738" s="2977"/>
      <c r="Y738" s="2977"/>
      <c r="Z738" s="2977"/>
      <c r="AA738" s="2977"/>
      <c r="AB738" s="2977"/>
      <c r="AC738" s="2977"/>
      <c r="AD738" s="2977"/>
      <c r="AE738" s="2977"/>
    </row>
    <row r="739" spans="3:31" s="2989" customFormat="1">
      <c r="C739" s="2990"/>
      <c r="M739" s="2977"/>
      <c r="N739" s="2977"/>
      <c r="O739" s="2977"/>
      <c r="P739" s="2977"/>
      <c r="Q739" s="2977"/>
      <c r="R739" s="2977"/>
      <c r="S739" s="2977"/>
      <c r="T739" s="2977"/>
      <c r="U739" s="2977"/>
      <c r="V739" s="2977"/>
      <c r="W739" s="2977"/>
      <c r="X739" s="2977"/>
      <c r="Y739" s="2977"/>
      <c r="Z739" s="2977"/>
      <c r="AA739" s="2977"/>
      <c r="AB739" s="2977"/>
      <c r="AC739" s="2977"/>
      <c r="AD739" s="2977"/>
      <c r="AE739" s="2977"/>
    </row>
    <row r="740" spans="3:31" s="2989" customFormat="1">
      <c r="C740" s="2990"/>
      <c r="M740" s="2977"/>
      <c r="N740" s="2977"/>
      <c r="O740" s="2977"/>
      <c r="P740" s="2977"/>
      <c r="Q740" s="2977"/>
      <c r="R740" s="2977"/>
      <c r="S740" s="2977"/>
      <c r="T740" s="2977"/>
      <c r="U740" s="2977"/>
      <c r="V740" s="2977"/>
      <c r="W740" s="2977"/>
      <c r="X740" s="2977"/>
      <c r="Y740" s="2977"/>
      <c r="Z740" s="2977"/>
      <c r="AA740" s="2977"/>
      <c r="AB740" s="2977"/>
      <c r="AC740" s="2977"/>
      <c r="AD740" s="2977"/>
      <c r="AE740" s="2977"/>
    </row>
    <row r="741" spans="3:31" s="2989" customFormat="1">
      <c r="C741" s="2990"/>
      <c r="M741" s="2977"/>
      <c r="N741" s="2977"/>
      <c r="O741" s="2977"/>
      <c r="P741" s="2977"/>
      <c r="Q741" s="2977"/>
      <c r="R741" s="2977"/>
      <c r="S741" s="2977"/>
      <c r="T741" s="2977"/>
      <c r="U741" s="2977"/>
      <c r="V741" s="2977"/>
      <c r="W741" s="2977"/>
      <c r="X741" s="2977"/>
      <c r="Y741" s="2977"/>
      <c r="Z741" s="2977"/>
      <c r="AA741" s="2977"/>
      <c r="AB741" s="2977"/>
      <c r="AC741" s="2977"/>
      <c r="AD741" s="2977"/>
      <c r="AE741" s="2977"/>
    </row>
    <row r="742" spans="3:31" s="2989" customFormat="1">
      <c r="C742" s="2990"/>
      <c r="M742" s="2977"/>
      <c r="N742" s="2977"/>
      <c r="O742" s="2977"/>
      <c r="P742" s="2977"/>
      <c r="Q742" s="2977"/>
      <c r="R742" s="2977"/>
      <c r="S742" s="2977"/>
      <c r="T742" s="2977"/>
      <c r="U742" s="2977"/>
      <c r="V742" s="2977"/>
      <c r="W742" s="2977"/>
      <c r="X742" s="2977"/>
      <c r="Y742" s="2977"/>
      <c r="Z742" s="2977"/>
      <c r="AA742" s="2977"/>
      <c r="AB742" s="2977"/>
      <c r="AC742" s="2977"/>
      <c r="AD742" s="2977"/>
      <c r="AE742" s="2977"/>
    </row>
    <row r="743" spans="3:31" s="2989" customFormat="1">
      <c r="C743" s="2990"/>
      <c r="M743" s="2977"/>
      <c r="N743" s="2977"/>
      <c r="O743" s="2977"/>
      <c r="P743" s="2977"/>
      <c r="Q743" s="2977"/>
      <c r="R743" s="2977"/>
      <c r="S743" s="2977"/>
      <c r="T743" s="2977"/>
      <c r="U743" s="2977"/>
      <c r="V743" s="2977"/>
      <c r="W743" s="2977"/>
      <c r="X743" s="2977"/>
      <c r="Y743" s="2977"/>
      <c r="Z743" s="2977"/>
      <c r="AA743" s="2977"/>
      <c r="AB743" s="2977"/>
      <c r="AC743" s="2977"/>
      <c r="AD743" s="2977"/>
      <c r="AE743" s="2977"/>
    </row>
    <row r="744" spans="3:31" s="2989" customFormat="1">
      <c r="C744" s="2990"/>
      <c r="M744" s="2977"/>
      <c r="N744" s="2977"/>
      <c r="O744" s="2977"/>
      <c r="P744" s="2977"/>
      <c r="Q744" s="2977"/>
      <c r="R744" s="2977"/>
      <c r="S744" s="2977"/>
      <c r="T744" s="2977"/>
      <c r="U744" s="2977"/>
      <c r="V744" s="2977"/>
      <c r="W744" s="2977"/>
      <c r="X744" s="2977"/>
      <c r="Y744" s="2977"/>
      <c r="Z744" s="2977"/>
      <c r="AA744" s="2977"/>
      <c r="AB744" s="2977"/>
      <c r="AC744" s="2977"/>
      <c r="AD744" s="2977"/>
      <c r="AE744" s="2977"/>
    </row>
    <row r="745" spans="3:31" s="2989" customFormat="1">
      <c r="C745" s="2990"/>
      <c r="M745" s="2977"/>
      <c r="N745" s="2977"/>
      <c r="O745" s="2977"/>
      <c r="P745" s="2977"/>
      <c r="Q745" s="2977"/>
      <c r="R745" s="2977"/>
      <c r="S745" s="2977"/>
      <c r="T745" s="2977"/>
      <c r="U745" s="2977"/>
      <c r="V745" s="2977"/>
      <c r="W745" s="2977"/>
      <c r="X745" s="2977"/>
      <c r="Y745" s="2977"/>
      <c r="Z745" s="2977"/>
      <c r="AA745" s="2977"/>
      <c r="AB745" s="2977"/>
      <c r="AC745" s="2977"/>
      <c r="AD745" s="2977"/>
      <c r="AE745" s="2977"/>
    </row>
    <row r="746" spans="3:31" s="2989" customFormat="1">
      <c r="C746" s="2990"/>
      <c r="M746" s="2977"/>
      <c r="N746" s="2977"/>
      <c r="O746" s="2977"/>
      <c r="P746" s="2977"/>
      <c r="Q746" s="2977"/>
      <c r="R746" s="2977"/>
      <c r="S746" s="2977"/>
      <c r="T746" s="2977"/>
      <c r="U746" s="2977"/>
      <c r="V746" s="2977"/>
      <c r="W746" s="2977"/>
      <c r="X746" s="2977"/>
      <c r="Y746" s="2977"/>
      <c r="Z746" s="2977"/>
      <c r="AA746" s="2977"/>
      <c r="AB746" s="2977"/>
      <c r="AC746" s="2977"/>
      <c r="AD746" s="2977"/>
      <c r="AE746" s="2977"/>
    </row>
    <row r="747" spans="3:31" s="2989" customFormat="1">
      <c r="C747" s="2990"/>
      <c r="M747" s="2977"/>
      <c r="N747" s="2977"/>
      <c r="O747" s="2977"/>
      <c r="P747" s="2977"/>
      <c r="Q747" s="2977"/>
      <c r="R747" s="2977"/>
      <c r="S747" s="2977"/>
      <c r="T747" s="2977"/>
      <c r="U747" s="2977"/>
      <c r="V747" s="2977"/>
      <c r="W747" s="2977"/>
      <c r="X747" s="2977"/>
      <c r="Y747" s="2977"/>
      <c r="Z747" s="2977"/>
      <c r="AA747" s="2977"/>
      <c r="AB747" s="2977"/>
      <c r="AC747" s="2977"/>
      <c r="AD747" s="2977"/>
      <c r="AE747" s="2977"/>
    </row>
    <row r="748" spans="3:31" s="2989" customFormat="1">
      <c r="C748" s="2990"/>
      <c r="M748" s="2977"/>
      <c r="N748" s="2977"/>
      <c r="O748" s="2977"/>
      <c r="P748" s="2977"/>
      <c r="Q748" s="2977"/>
      <c r="R748" s="2977"/>
      <c r="S748" s="2977"/>
      <c r="T748" s="2977"/>
      <c r="U748" s="2977"/>
      <c r="V748" s="2977"/>
      <c r="W748" s="2977"/>
      <c r="X748" s="2977"/>
      <c r="Y748" s="2977"/>
      <c r="Z748" s="2977"/>
      <c r="AA748" s="2977"/>
      <c r="AB748" s="2977"/>
      <c r="AC748" s="2977"/>
      <c r="AD748" s="2977"/>
      <c r="AE748" s="2977"/>
    </row>
    <row r="749" spans="3:31" s="2989" customFormat="1">
      <c r="C749" s="2990"/>
      <c r="M749" s="2977"/>
      <c r="N749" s="2977"/>
      <c r="O749" s="2977"/>
      <c r="P749" s="2977"/>
      <c r="Q749" s="2977"/>
      <c r="R749" s="2977"/>
      <c r="S749" s="2977"/>
      <c r="T749" s="2977"/>
      <c r="U749" s="2977"/>
      <c r="V749" s="2977"/>
      <c r="W749" s="2977"/>
      <c r="X749" s="2977"/>
      <c r="Y749" s="2977"/>
      <c r="Z749" s="2977"/>
      <c r="AA749" s="2977"/>
      <c r="AB749" s="2977"/>
      <c r="AC749" s="2977"/>
      <c r="AD749" s="2977"/>
      <c r="AE749" s="2977"/>
    </row>
    <row r="750" spans="3:31" s="2989" customFormat="1">
      <c r="C750" s="2990"/>
      <c r="M750" s="2977"/>
      <c r="N750" s="2977"/>
      <c r="O750" s="2977"/>
      <c r="P750" s="2977"/>
      <c r="Q750" s="2977"/>
      <c r="R750" s="2977"/>
      <c r="S750" s="2977"/>
      <c r="T750" s="2977"/>
      <c r="U750" s="2977"/>
      <c r="V750" s="2977"/>
      <c r="W750" s="2977"/>
      <c r="X750" s="2977"/>
      <c r="Y750" s="2977"/>
      <c r="Z750" s="2977"/>
      <c r="AA750" s="2977"/>
      <c r="AB750" s="2977"/>
      <c r="AC750" s="2977"/>
      <c r="AD750" s="2977"/>
      <c r="AE750" s="2977"/>
    </row>
    <row r="751" spans="3:31" s="2989" customFormat="1">
      <c r="C751" s="2990"/>
      <c r="M751" s="2977"/>
      <c r="N751" s="2977"/>
      <c r="O751" s="2977"/>
      <c r="P751" s="2977"/>
      <c r="Q751" s="2977"/>
      <c r="R751" s="2977"/>
      <c r="S751" s="2977"/>
      <c r="T751" s="2977"/>
      <c r="U751" s="2977"/>
      <c r="V751" s="2977"/>
      <c r="W751" s="2977"/>
      <c r="X751" s="2977"/>
      <c r="Y751" s="2977"/>
      <c r="Z751" s="2977"/>
      <c r="AA751" s="2977"/>
      <c r="AB751" s="2977"/>
      <c r="AC751" s="2977"/>
      <c r="AD751" s="2977"/>
      <c r="AE751" s="2977"/>
    </row>
    <row r="752" spans="3:31" s="2989" customFormat="1">
      <c r="C752" s="2990"/>
      <c r="M752" s="2977"/>
      <c r="N752" s="2977"/>
      <c r="O752" s="2977"/>
      <c r="P752" s="2977"/>
      <c r="Q752" s="2977"/>
      <c r="R752" s="2977"/>
      <c r="S752" s="2977"/>
      <c r="T752" s="2977"/>
      <c r="U752" s="2977"/>
      <c r="V752" s="2977"/>
      <c r="W752" s="2977"/>
      <c r="X752" s="2977"/>
      <c r="Y752" s="2977"/>
      <c r="Z752" s="2977"/>
      <c r="AA752" s="2977"/>
      <c r="AB752" s="2977"/>
      <c r="AC752" s="2977"/>
      <c r="AD752" s="2977"/>
      <c r="AE752" s="2977"/>
    </row>
    <row r="753" spans="3:31" s="2989" customFormat="1">
      <c r="C753" s="2990"/>
      <c r="M753" s="2977"/>
      <c r="N753" s="2977"/>
      <c r="O753" s="2977"/>
      <c r="P753" s="2977"/>
      <c r="Q753" s="2977"/>
      <c r="R753" s="2977"/>
      <c r="S753" s="2977"/>
      <c r="T753" s="2977"/>
      <c r="U753" s="2977"/>
      <c r="V753" s="2977"/>
      <c r="W753" s="2977"/>
      <c r="X753" s="2977"/>
      <c r="Y753" s="2977"/>
      <c r="Z753" s="2977"/>
      <c r="AA753" s="2977"/>
      <c r="AB753" s="2977"/>
      <c r="AC753" s="2977"/>
      <c r="AD753" s="2977"/>
      <c r="AE753" s="2977"/>
    </row>
    <row r="754" spans="3:31" s="2989" customFormat="1">
      <c r="C754" s="2990"/>
      <c r="M754" s="2977"/>
      <c r="N754" s="2977"/>
      <c r="O754" s="2977"/>
      <c r="P754" s="2977"/>
      <c r="Q754" s="2977"/>
      <c r="R754" s="2977"/>
      <c r="S754" s="2977"/>
      <c r="T754" s="2977"/>
      <c r="U754" s="2977"/>
      <c r="V754" s="2977"/>
      <c r="W754" s="2977"/>
      <c r="X754" s="2977"/>
      <c r="Y754" s="2977"/>
      <c r="Z754" s="2977"/>
      <c r="AA754" s="2977"/>
      <c r="AB754" s="2977"/>
      <c r="AC754" s="2977"/>
      <c r="AD754" s="2977"/>
      <c r="AE754" s="2977"/>
    </row>
    <row r="755" spans="3:31" s="2989" customFormat="1">
      <c r="C755" s="2990"/>
      <c r="M755" s="2977"/>
      <c r="N755" s="2977"/>
      <c r="O755" s="2977"/>
      <c r="P755" s="2977"/>
      <c r="Q755" s="2977"/>
      <c r="R755" s="2977"/>
      <c r="S755" s="2977"/>
      <c r="T755" s="2977"/>
      <c r="U755" s="2977"/>
      <c r="V755" s="2977"/>
      <c r="W755" s="2977"/>
      <c r="X755" s="2977"/>
      <c r="Y755" s="2977"/>
      <c r="Z755" s="2977"/>
      <c r="AA755" s="2977"/>
      <c r="AB755" s="2977"/>
      <c r="AC755" s="2977"/>
      <c r="AD755" s="2977"/>
      <c r="AE755" s="2977"/>
    </row>
    <row r="756" spans="3:31" s="2989" customFormat="1">
      <c r="C756" s="2990"/>
      <c r="M756" s="2977"/>
      <c r="N756" s="2977"/>
      <c r="O756" s="2977"/>
      <c r="P756" s="2977"/>
      <c r="Q756" s="2977"/>
      <c r="R756" s="2977"/>
      <c r="S756" s="2977"/>
      <c r="T756" s="2977"/>
      <c r="U756" s="2977"/>
      <c r="V756" s="2977"/>
      <c r="W756" s="2977"/>
      <c r="X756" s="2977"/>
      <c r="Y756" s="2977"/>
      <c r="Z756" s="2977"/>
      <c r="AA756" s="2977"/>
      <c r="AB756" s="2977"/>
      <c r="AC756" s="2977"/>
      <c r="AD756" s="2977"/>
      <c r="AE756" s="2977"/>
    </row>
    <row r="757" spans="3:31" s="2989" customFormat="1">
      <c r="C757" s="2990"/>
      <c r="M757" s="2977"/>
      <c r="N757" s="2977"/>
      <c r="O757" s="2977"/>
      <c r="P757" s="2977"/>
      <c r="Q757" s="2977"/>
      <c r="R757" s="2977"/>
      <c r="S757" s="2977"/>
      <c r="T757" s="2977"/>
      <c r="U757" s="2977"/>
      <c r="V757" s="2977"/>
      <c r="W757" s="2977"/>
      <c r="X757" s="2977"/>
      <c r="Y757" s="2977"/>
      <c r="Z757" s="2977"/>
      <c r="AA757" s="2977"/>
      <c r="AB757" s="2977"/>
      <c r="AC757" s="2977"/>
      <c r="AD757" s="2977"/>
      <c r="AE757" s="2977"/>
    </row>
    <row r="758" spans="3:31" s="2989" customFormat="1">
      <c r="C758" s="2990"/>
      <c r="M758" s="2977"/>
      <c r="N758" s="2977"/>
      <c r="O758" s="2977"/>
      <c r="P758" s="2977"/>
      <c r="Q758" s="2977"/>
      <c r="R758" s="2977"/>
      <c r="S758" s="2977"/>
      <c r="T758" s="2977"/>
      <c r="U758" s="2977"/>
      <c r="V758" s="2977"/>
      <c r="W758" s="2977"/>
      <c r="X758" s="2977"/>
      <c r="Y758" s="2977"/>
      <c r="Z758" s="2977"/>
      <c r="AA758" s="2977"/>
      <c r="AB758" s="2977"/>
      <c r="AC758" s="2977"/>
      <c r="AD758" s="2977"/>
      <c r="AE758" s="2977"/>
    </row>
    <row r="759" spans="3:31" s="2989" customFormat="1">
      <c r="C759" s="2990"/>
      <c r="M759" s="2977"/>
      <c r="N759" s="2977"/>
      <c r="O759" s="2977"/>
      <c r="P759" s="2977"/>
      <c r="Q759" s="2977"/>
      <c r="R759" s="2977"/>
      <c r="S759" s="2977"/>
      <c r="T759" s="2977"/>
      <c r="U759" s="2977"/>
      <c r="V759" s="2977"/>
      <c r="W759" s="2977"/>
      <c r="X759" s="2977"/>
      <c r="Y759" s="2977"/>
      <c r="Z759" s="2977"/>
      <c r="AA759" s="2977"/>
      <c r="AB759" s="2977"/>
      <c r="AC759" s="2977"/>
      <c r="AD759" s="2977"/>
      <c r="AE759" s="2977"/>
    </row>
    <row r="760" spans="3:31" s="2989" customFormat="1">
      <c r="C760" s="2990"/>
      <c r="M760" s="2977"/>
      <c r="N760" s="2977"/>
      <c r="O760" s="2977"/>
      <c r="P760" s="2977"/>
      <c r="Q760" s="2977"/>
      <c r="R760" s="2977"/>
      <c r="S760" s="2977"/>
      <c r="T760" s="2977"/>
      <c r="U760" s="2977"/>
      <c r="V760" s="2977"/>
      <c r="W760" s="2977"/>
      <c r="X760" s="2977"/>
      <c r="Y760" s="2977"/>
      <c r="Z760" s="2977"/>
      <c r="AA760" s="2977"/>
      <c r="AB760" s="2977"/>
      <c r="AC760" s="2977"/>
      <c r="AD760" s="2977"/>
      <c r="AE760" s="2977"/>
    </row>
    <row r="761" spans="3:31" s="2989" customFormat="1">
      <c r="C761" s="2990"/>
      <c r="M761" s="2977"/>
      <c r="N761" s="2977"/>
      <c r="O761" s="2977"/>
      <c r="P761" s="2977"/>
      <c r="Q761" s="2977"/>
      <c r="R761" s="2977"/>
      <c r="S761" s="2977"/>
      <c r="T761" s="2977"/>
      <c r="U761" s="2977"/>
      <c r="V761" s="2977"/>
      <c r="W761" s="2977"/>
      <c r="X761" s="2977"/>
      <c r="Y761" s="2977"/>
      <c r="Z761" s="2977"/>
      <c r="AA761" s="2977"/>
      <c r="AB761" s="2977"/>
      <c r="AC761" s="2977"/>
      <c r="AD761" s="2977"/>
      <c r="AE761" s="2977"/>
    </row>
    <row r="762" spans="3:31" s="2989" customFormat="1">
      <c r="C762" s="2990"/>
      <c r="M762" s="2977"/>
      <c r="N762" s="2977"/>
      <c r="O762" s="2977"/>
      <c r="P762" s="2977"/>
      <c r="Q762" s="2977"/>
      <c r="R762" s="2977"/>
      <c r="S762" s="2977"/>
      <c r="T762" s="2977"/>
      <c r="U762" s="2977"/>
      <c r="V762" s="2977"/>
      <c r="W762" s="2977"/>
      <c r="X762" s="2977"/>
      <c r="Y762" s="2977"/>
      <c r="Z762" s="2977"/>
      <c r="AA762" s="2977"/>
      <c r="AB762" s="2977"/>
      <c r="AC762" s="2977"/>
      <c r="AD762" s="2977"/>
      <c r="AE762" s="2977"/>
    </row>
    <row r="763" spans="3:31" s="2989" customFormat="1">
      <c r="C763" s="2990"/>
      <c r="M763" s="2977"/>
      <c r="N763" s="2977"/>
      <c r="O763" s="2977"/>
      <c r="P763" s="2977"/>
      <c r="Q763" s="2977"/>
      <c r="R763" s="2977"/>
      <c r="S763" s="2977"/>
      <c r="T763" s="2977"/>
      <c r="U763" s="2977"/>
      <c r="V763" s="2977"/>
      <c r="W763" s="2977"/>
      <c r="X763" s="2977"/>
      <c r="Y763" s="2977"/>
      <c r="Z763" s="2977"/>
      <c r="AA763" s="2977"/>
      <c r="AB763" s="2977"/>
      <c r="AC763" s="2977"/>
      <c r="AD763" s="2977"/>
      <c r="AE763" s="2977"/>
    </row>
    <row r="764" spans="3:31" s="2989" customFormat="1">
      <c r="C764" s="2990"/>
      <c r="M764" s="2977"/>
      <c r="N764" s="2977"/>
      <c r="O764" s="2977"/>
      <c r="P764" s="2977"/>
      <c r="Q764" s="2977"/>
      <c r="R764" s="2977"/>
      <c r="S764" s="2977"/>
      <c r="T764" s="2977"/>
      <c r="U764" s="2977"/>
      <c r="V764" s="2977"/>
      <c r="W764" s="2977"/>
      <c r="X764" s="2977"/>
      <c r="Y764" s="2977"/>
      <c r="Z764" s="2977"/>
      <c r="AA764" s="2977"/>
      <c r="AB764" s="2977"/>
      <c r="AC764" s="2977"/>
      <c r="AD764" s="2977"/>
      <c r="AE764" s="2977"/>
    </row>
    <row r="765" spans="3:31" s="2989" customFormat="1">
      <c r="C765" s="2990"/>
      <c r="M765" s="2977"/>
      <c r="N765" s="2977"/>
      <c r="O765" s="2977"/>
      <c r="P765" s="2977"/>
      <c r="Q765" s="2977"/>
      <c r="R765" s="2977"/>
      <c r="S765" s="2977"/>
      <c r="T765" s="2977"/>
      <c r="U765" s="2977"/>
      <c r="V765" s="2977"/>
      <c r="W765" s="2977"/>
      <c r="X765" s="2977"/>
      <c r="Y765" s="2977"/>
      <c r="Z765" s="2977"/>
      <c r="AA765" s="2977"/>
      <c r="AB765" s="2977"/>
      <c r="AC765" s="2977"/>
      <c r="AD765" s="2977"/>
      <c r="AE765" s="2977"/>
    </row>
    <row r="766" spans="3:31" s="2989" customFormat="1">
      <c r="C766" s="2990"/>
      <c r="M766" s="2977"/>
      <c r="N766" s="2977"/>
      <c r="O766" s="2977"/>
      <c r="P766" s="2977"/>
      <c r="Q766" s="2977"/>
      <c r="R766" s="2977"/>
      <c r="S766" s="2977"/>
      <c r="T766" s="2977"/>
      <c r="U766" s="2977"/>
      <c r="V766" s="2977"/>
      <c r="W766" s="2977"/>
      <c r="X766" s="2977"/>
      <c r="Y766" s="2977"/>
      <c r="Z766" s="2977"/>
      <c r="AA766" s="2977"/>
      <c r="AB766" s="2977"/>
      <c r="AC766" s="2977"/>
      <c r="AD766" s="2977"/>
      <c r="AE766" s="2977"/>
    </row>
    <row r="767" spans="3:31" s="2989" customFormat="1">
      <c r="C767" s="2990"/>
      <c r="M767" s="2977"/>
      <c r="N767" s="2977"/>
      <c r="O767" s="2977"/>
      <c r="P767" s="2977"/>
      <c r="Q767" s="2977"/>
      <c r="R767" s="2977"/>
      <c r="S767" s="2977"/>
      <c r="T767" s="2977"/>
      <c r="U767" s="2977"/>
      <c r="V767" s="2977"/>
      <c r="W767" s="2977"/>
      <c r="X767" s="2977"/>
      <c r="Y767" s="2977"/>
      <c r="Z767" s="2977"/>
      <c r="AA767" s="2977"/>
      <c r="AB767" s="2977"/>
      <c r="AC767" s="2977"/>
      <c r="AD767" s="2977"/>
      <c r="AE767" s="2977"/>
    </row>
    <row r="768" spans="3:31" s="2989" customFormat="1">
      <c r="C768" s="2990"/>
      <c r="M768" s="2977"/>
      <c r="N768" s="2977"/>
      <c r="O768" s="2977"/>
      <c r="P768" s="2977"/>
      <c r="Q768" s="2977"/>
      <c r="R768" s="2977"/>
      <c r="S768" s="2977"/>
      <c r="T768" s="2977"/>
      <c r="U768" s="2977"/>
      <c r="V768" s="2977"/>
      <c r="W768" s="2977"/>
      <c r="X768" s="2977"/>
      <c r="Y768" s="2977"/>
      <c r="Z768" s="2977"/>
      <c r="AA768" s="2977"/>
      <c r="AB768" s="2977"/>
      <c r="AC768" s="2977"/>
      <c r="AD768" s="2977"/>
      <c r="AE768" s="2977"/>
    </row>
    <row r="769" spans="3:31" s="2989" customFormat="1">
      <c r="C769" s="2990"/>
      <c r="M769" s="2977"/>
      <c r="N769" s="2977"/>
      <c r="O769" s="2977"/>
      <c r="P769" s="2977"/>
      <c r="Q769" s="2977"/>
      <c r="R769" s="2977"/>
      <c r="S769" s="2977"/>
      <c r="T769" s="2977"/>
      <c r="U769" s="2977"/>
      <c r="V769" s="2977"/>
      <c r="W769" s="2977"/>
      <c r="X769" s="2977"/>
      <c r="Y769" s="2977"/>
      <c r="Z769" s="2977"/>
      <c r="AA769" s="2977"/>
      <c r="AB769" s="2977"/>
      <c r="AC769" s="2977"/>
      <c r="AD769" s="2977"/>
      <c r="AE769" s="2977"/>
    </row>
    <row r="770" spans="3:31" s="2989" customFormat="1">
      <c r="C770" s="2990"/>
      <c r="M770" s="2977"/>
      <c r="N770" s="2977"/>
      <c r="O770" s="2977"/>
      <c r="P770" s="2977"/>
      <c r="Q770" s="2977"/>
      <c r="R770" s="2977"/>
      <c r="S770" s="2977"/>
      <c r="T770" s="2977"/>
      <c r="U770" s="2977"/>
      <c r="V770" s="2977"/>
      <c r="W770" s="2977"/>
      <c r="X770" s="2977"/>
      <c r="Y770" s="2977"/>
      <c r="Z770" s="2977"/>
      <c r="AA770" s="2977"/>
      <c r="AB770" s="2977"/>
      <c r="AC770" s="2977"/>
      <c r="AD770" s="2977"/>
      <c r="AE770" s="2977"/>
    </row>
    <row r="771" spans="3:31" s="2989" customFormat="1">
      <c r="C771" s="2990"/>
      <c r="M771" s="2977"/>
      <c r="N771" s="2977"/>
      <c r="O771" s="2977"/>
      <c r="P771" s="2977"/>
      <c r="Q771" s="2977"/>
      <c r="R771" s="2977"/>
      <c r="S771" s="2977"/>
      <c r="T771" s="2977"/>
      <c r="U771" s="2977"/>
      <c r="V771" s="2977"/>
      <c r="W771" s="2977"/>
      <c r="X771" s="2977"/>
      <c r="Y771" s="2977"/>
      <c r="Z771" s="2977"/>
      <c r="AA771" s="2977"/>
      <c r="AB771" s="2977"/>
      <c r="AC771" s="2977"/>
      <c r="AD771" s="2977"/>
      <c r="AE771" s="2977"/>
    </row>
    <row r="772" spans="3:31" s="2989" customFormat="1">
      <c r="C772" s="2990"/>
      <c r="M772" s="2977"/>
      <c r="N772" s="2977"/>
      <c r="O772" s="2977"/>
      <c r="P772" s="2977"/>
      <c r="Q772" s="2977"/>
      <c r="R772" s="2977"/>
      <c r="S772" s="2977"/>
      <c r="T772" s="2977"/>
      <c r="U772" s="2977"/>
      <c r="V772" s="2977"/>
      <c r="W772" s="2977"/>
      <c r="X772" s="2977"/>
      <c r="Y772" s="2977"/>
      <c r="Z772" s="2977"/>
      <c r="AA772" s="2977"/>
      <c r="AB772" s="2977"/>
      <c r="AC772" s="2977"/>
      <c r="AD772" s="2977"/>
      <c r="AE772" s="2977"/>
    </row>
    <row r="773" spans="3:31" s="2989" customFormat="1">
      <c r="C773" s="2990"/>
      <c r="M773" s="2977"/>
      <c r="N773" s="2977"/>
      <c r="O773" s="2977"/>
      <c r="P773" s="2977"/>
      <c r="Q773" s="2977"/>
      <c r="R773" s="2977"/>
      <c r="S773" s="2977"/>
      <c r="T773" s="2977"/>
      <c r="U773" s="2977"/>
      <c r="V773" s="2977"/>
      <c r="W773" s="2977"/>
      <c r="X773" s="2977"/>
      <c r="Y773" s="2977"/>
      <c r="Z773" s="2977"/>
      <c r="AA773" s="2977"/>
      <c r="AB773" s="2977"/>
      <c r="AC773" s="2977"/>
      <c r="AD773" s="2977"/>
      <c r="AE773" s="2977"/>
    </row>
    <row r="774" spans="3:31" s="2989" customFormat="1">
      <c r="C774" s="2990"/>
      <c r="M774" s="2977"/>
      <c r="N774" s="2977"/>
      <c r="O774" s="2977"/>
      <c r="P774" s="2977"/>
      <c r="Q774" s="2977"/>
      <c r="R774" s="2977"/>
      <c r="S774" s="2977"/>
      <c r="T774" s="2977"/>
      <c r="U774" s="2977"/>
      <c r="V774" s="2977"/>
      <c r="W774" s="2977"/>
      <c r="X774" s="2977"/>
      <c r="Y774" s="2977"/>
      <c r="Z774" s="2977"/>
      <c r="AA774" s="2977"/>
      <c r="AB774" s="2977"/>
      <c r="AC774" s="2977"/>
      <c r="AD774" s="2977"/>
      <c r="AE774" s="2977"/>
    </row>
    <row r="775" spans="3:31" s="2989" customFormat="1">
      <c r="C775" s="2990"/>
      <c r="M775" s="2977"/>
      <c r="N775" s="2977"/>
      <c r="O775" s="2977"/>
      <c r="P775" s="2977"/>
      <c r="Q775" s="2977"/>
      <c r="R775" s="2977"/>
      <c r="S775" s="2977"/>
      <c r="T775" s="2977"/>
      <c r="U775" s="2977"/>
      <c r="V775" s="2977"/>
      <c r="W775" s="2977"/>
      <c r="X775" s="2977"/>
      <c r="Y775" s="2977"/>
      <c r="Z775" s="2977"/>
      <c r="AA775" s="2977"/>
      <c r="AB775" s="2977"/>
      <c r="AC775" s="2977"/>
      <c r="AD775" s="2977"/>
      <c r="AE775" s="2977"/>
    </row>
    <row r="776" spans="3:31" s="2989" customFormat="1">
      <c r="C776" s="2990"/>
      <c r="M776" s="2977"/>
      <c r="N776" s="2977"/>
      <c r="O776" s="2977"/>
      <c r="P776" s="2977"/>
      <c r="Q776" s="2977"/>
      <c r="R776" s="2977"/>
      <c r="S776" s="2977"/>
      <c r="T776" s="2977"/>
      <c r="U776" s="2977"/>
      <c r="V776" s="2977"/>
      <c r="W776" s="2977"/>
      <c r="X776" s="2977"/>
      <c r="Y776" s="2977"/>
      <c r="Z776" s="2977"/>
      <c r="AA776" s="2977"/>
      <c r="AB776" s="2977"/>
      <c r="AC776" s="2977"/>
      <c r="AD776" s="2977"/>
      <c r="AE776" s="2977"/>
    </row>
    <row r="777" spans="3:31" s="2989" customFormat="1">
      <c r="C777" s="2990"/>
      <c r="M777" s="2977"/>
      <c r="N777" s="2977"/>
      <c r="O777" s="2977"/>
      <c r="P777" s="2977"/>
      <c r="Q777" s="2977"/>
      <c r="R777" s="2977"/>
      <c r="S777" s="2977"/>
      <c r="T777" s="2977"/>
      <c r="U777" s="2977"/>
      <c r="V777" s="2977"/>
      <c r="W777" s="2977"/>
      <c r="X777" s="2977"/>
      <c r="Y777" s="2977"/>
      <c r="Z777" s="2977"/>
      <c r="AA777" s="2977"/>
      <c r="AB777" s="2977"/>
      <c r="AC777" s="2977"/>
      <c r="AD777" s="2977"/>
      <c r="AE777" s="2977"/>
    </row>
    <row r="778" spans="3:31" s="2989" customFormat="1">
      <c r="C778" s="2990"/>
      <c r="M778" s="2977"/>
      <c r="N778" s="2977"/>
      <c r="O778" s="2977"/>
      <c r="P778" s="2977"/>
      <c r="Q778" s="2977"/>
      <c r="R778" s="2977"/>
      <c r="S778" s="2977"/>
      <c r="T778" s="2977"/>
      <c r="U778" s="2977"/>
      <c r="V778" s="2977"/>
      <c r="W778" s="2977"/>
      <c r="X778" s="2977"/>
      <c r="Y778" s="2977"/>
      <c r="Z778" s="2977"/>
      <c r="AA778" s="2977"/>
      <c r="AB778" s="2977"/>
      <c r="AC778" s="2977"/>
      <c r="AD778" s="2977"/>
      <c r="AE778" s="2977"/>
    </row>
    <row r="779" spans="3:31" s="2989" customFormat="1">
      <c r="C779" s="2990"/>
      <c r="M779" s="2977"/>
      <c r="N779" s="2977"/>
      <c r="O779" s="2977"/>
      <c r="P779" s="2977"/>
      <c r="Q779" s="2977"/>
      <c r="R779" s="2977"/>
      <c r="S779" s="2977"/>
      <c r="T779" s="2977"/>
      <c r="U779" s="2977"/>
      <c r="V779" s="2977"/>
      <c r="W779" s="2977"/>
      <c r="X779" s="2977"/>
      <c r="Y779" s="2977"/>
      <c r="Z779" s="2977"/>
      <c r="AA779" s="2977"/>
      <c r="AB779" s="2977"/>
      <c r="AC779" s="2977"/>
      <c r="AD779" s="2977"/>
      <c r="AE779" s="2977"/>
    </row>
    <row r="780" spans="3:31" s="2989" customFormat="1">
      <c r="C780" s="2990"/>
      <c r="M780" s="2977"/>
      <c r="N780" s="2977"/>
      <c r="O780" s="2977"/>
      <c r="P780" s="2977"/>
      <c r="Q780" s="2977"/>
      <c r="R780" s="2977"/>
      <c r="S780" s="2977"/>
      <c r="T780" s="2977"/>
      <c r="U780" s="2977"/>
      <c r="V780" s="2977"/>
      <c r="W780" s="2977"/>
      <c r="X780" s="2977"/>
      <c r="Y780" s="2977"/>
      <c r="Z780" s="2977"/>
      <c r="AA780" s="2977"/>
      <c r="AB780" s="2977"/>
      <c r="AC780" s="2977"/>
      <c r="AD780" s="2977"/>
      <c r="AE780" s="2977"/>
    </row>
    <row r="781" spans="3:31" s="2989" customFormat="1">
      <c r="C781" s="2990"/>
      <c r="M781" s="2977"/>
      <c r="N781" s="2977"/>
      <c r="O781" s="2977"/>
      <c r="P781" s="2977"/>
      <c r="Q781" s="2977"/>
      <c r="R781" s="2977"/>
      <c r="S781" s="2977"/>
      <c r="T781" s="2977"/>
      <c r="U781" s="2977"/>
      <c r="V781" s="2977"/>
      <c r="W781" s="2977"/>
      <c r="X781" s="2977"/>
      <c r="Y781" s="2977"/>
      <c r="Z781" s="2977"/>
      <c r="AA781" s="2977"/>
      <c r="AB781" s="2977"/>
      <c r="AC781" s="2977"/>
      <c r="AD781" s="2977"/>
      <c r="AE781" s="2977"/>
    </row>
    <row r="782" spans="3:31" s="2989" customFormat="1">
      <c r="C782" s="2990"/>
      <c r="M782" s="2977"/>
      <c r="N782" s="2977"/>
      <c r="O782" s="2977"/>
      <c r="P782" s="2977"/>
      <c r="Q782" s="2977"/>
      <c r="R782" s="2977"/>
      <c r="S782" s="2977"/>
      <c r="T782" s="2977"/>
      <c r="U782" s="2977"/>
      <c r="V782" s="2977"/>
      <c r="W782" s="2977"/>
      <c r="X782" s="2977"/>
      <c r="Y782" s="2977"/>
      <c r="Z782" s="2977"/>
      <c r="AA782" s="2977"/>
      <c r="AB782" s="2977"/>
      <c r="AC782" s="2977"/>
      <c r="AD782" s="2977"/>
      <c r="AE782" s="2977"/>
    </row>
    <row r="783" spans="3:31" s="2989" customFormat="1">
      <c r="C783" s="2990"/>
      <c r="M783" s="2977"/>
      <c r="N783" s="2977"/>
      <c r="O783" s="2977"/>
      <c r="P783" s="2977"/>
      <c r="Q783" s="2977"/>
      <c r="R783" s="2977"/>
      <c r="S783" s="2977"/>
      <c r="T783" s="2977"/>
      <c r="U783" s="2977"/>
      <c r="V783" s="2977"/>
      <c r="W783" s="2977"/>
      <c r="X783" s="2977"/>
      <c r="Y783" s="2977"/>
      <c r="Z783" s="2977"/>
      <c r="AA783" s="2977"/>
      <c r="AB783" s="2977"/>
      <c r="AC783" s="2977"/>
      <c r="AD783" s="2977"/>
      <c r="AE783" s="2977"/>
    </row>
    <row r="784" spans="3:31" s="2989" customFormat="1">
      <c r="C784" s="2990"/>
      <c r="M784" s="2977"/>
      <c r="N784" s="2977"/>
      <c r="O784" s="2977"/>
      <c r="P784" s="2977"/>
      <c r="Q784" s="2977"/>
      <c r="R784" s="2977"/>
      <c r="S784" s="2977"/>
      <c r="T784" s="2977"/>
      <c r="U784" s="2977"/>
      <c r="V784" s="2977"/>
      <c r="W784" s="2977"/>
      <c r="X784" s="2977"/>
      <c r="Y784" s="2977"/>
      <c r="Z784" s="2977"/>
      <c r="AA784" s="2977"/>
      <c r="AB784" s="2977"/>
      <c r="AC784" s="2977"/>
      <c r="AD784" s="2977"/>
      <c r="AE784" s="2977"/>
    </row>
    <row r="785" spans="3:31" s="2989" customFormat="1">
      <c r="C785" s="2990"/>
      <c r="M785" s="2977"/>
      <c r="N785" s="2977"/>
      <c r="O785" s="2977"/>
      <c r="P785" s="2977"/>
      <c r="Q785" s="2977"/>
      <c r="R785" s="2977"/>
      <c r="S785" s="2977"/>
      <c r="T785" s="2977"/>
      <c r="U785" s="2977"/>
      <c r="V785" s="2977"/>
      <c r="W785" s="2977"/>
      <c r="X785" s="2977"/>
      <c r="Y785" s="2977"/>
      <c r="Z785" s="2977"/>
      <c r="AA785" s="2977"/>
      <c r="AB785" s="2977"/>
      <c r="AC785" s="2977"/>
      <c r="AD785" s="2977"/>
      <c r="AE785" s="2977"/>
    </row>
    <row r="786" spans="3:31" s="2989" customFormat="1">
      <c r="C786" s="2990"/>
      <c r="M786" s="2977"/>
      <c r="N786" s="2977"/>
      <c r="O786" s="2977"/>
      <c r="P786" s="2977"/>
      <c r="Q786" s="2977"/>
      <c r="R786" s="2977"/>
      <c r="S786" s="2977"/>
      <c r="T786" s="2977"/>
      <c r="U786" s="2977"/>
      <c r="V786" s="2977"/>
      <c r="W786" s="2977"/>
      <c r="X786" s="2977"/>
      <c r="Y786" s="2977"/>
      <c r="Z786" s="2977"/>
      <c r="AA786" s="2977"/>
      <c r="AB786" s="2977"/>
      <c r="AC786" s="2977"/>
      <c r="AD786" s="2977"/>
      <c r="AE786" s="2977"/>
    </row>
    <row r="787" spans="3:31" s="2989" customFormat="1">
      <c r="C787" s="2990"/>
      <c r="M787" s="2977"/>
      <c r="N787" s="2977"/>
      <c r="O787" s="2977"/>
      <c r="P787" s="2977"/>
      <c r="Q787" s="2977"/>
      <c r="R787" s="2977"/>
      <c r="S787" s="2977"/>
      <c r="T787" s="2977"/>
      <c r="U787" s="2977"/>
      <c r="V787" s="2977"/>
      <c r="W787" s="2977"/>
      <c r="X787" s="2977"/>
      <c r="Y787" s="2977"/>
      <c r="Z787" s="2977"/>
      <c r="AA787" s="2977"/>
      <c r="AB787" s="2977"/>
      <c r="AC787" s="2977"/>
      <c r="AD787" s="2977"/>
      <c r="AE787" s="2977"/>
    </row>
    <row r="788" spans="3:31" s="2989" customFormat="1">
      <c r="C788" s="2990"/>
      <c r="M788" s="2977"/>
      <c r="N788" s="2977"/>
      <c r="O788" s="2977"/>
      <c r="P788" s="2977"/>
      <c r="Q788" s="2977"/>
      <c r="R788" s="2977"/>
      <c r="S788" s="2977"/>
      <c r="T788" s="2977"/>
      <c r="U788" s="2977"/>
      <c r="V788" s="2977"/>
      <c r="W788" s="2977"/>
      <c r="X788" s="2977"/>
      <c r="Y788" s="2977"/>
      <c r="Z788" s="2977"/>
      <c r="AA788" s="2977"/>
      <c r="AB788" s="2977"/>
      <c r="AC788" s="2977"/>
      <c r="AD788" s="2977"/>
      <c r="AE788" s="2977"/>
    </row>
  </sheetData>
  <autoFilter ref="A1:K726"/>
  <sortState ref="A2:K803">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1637</v>
      </c>
      <c r="B2" s="3048" t="s">
        <v>1638</v>
      </c>
      <c r="C2" s="3048" t="s">
        <v>1639</v>
      </c>
      <c r="D2" s="3048" t="str">
        <f>结果表!D116</f>
        <v>出让国有建设用地使用权价值</v>
      </c>
      <c r="E2" s="3048"/>
      <c r="F2" s="3048" t="str">
        <f>结果表!F116</f>
        <v>在建建筑物价值</v>
      </c>
      <c r="G2" s="3048"/>
      <c r="H2" s="3048" t="str">
        <f>IF(项目基本情况!B9="房地产市场价值","房地产市场价值","房地产价值")</f>
        <v>房地产价值</v>
      </c>
      <c r="I2" s="3048"/>
    </row>
    <row r="3" spans="1:9" ht="15">
      <c r="A3" s="3049"/>
      <c r="B3" s="3049"/>
      <c r="C3" s="3049"/>
      <c r="D3" s="1039" t="s">
        <v>1634</v>
      </c>
      <c r="E3" s="1039" t="s">
        <v>1640</v>
      </c>
      <c r="F3" s="1039" t="s">
        <v>1634</v>
      </c>
      <c r="G3" s="1039" t="s">
        <v>1635</v>
      </c>
      <c r="H3" s="1039" t="s">
        <v>1634</v>
      </c>
      <c r="I3" s="1039" t="s">
        <v>1635</v>
      </c>
    </row>
    <row r="4" spans="1:9" ht="30">
      <c r="A4" s="1968" t="str">
        <f>项目基本情况!S2</f>
        <v>出让国有建设用地使用权及在建建筑物房地产</v>
      </c>
      <c r="B4" s="1039">
        <f>项目基本情况!C17</f>
        <v>71473.9099999998</v>
      </c>
      <c r="C4" s="1039">
        <f>项目基本情况!C18</f>
        <v>63815.99</v>
      </c>
      <c r="D4" s="1039">
        <f ca="1">结果表!D118</f>
        <v>34567</v>
      </c>
      <c r="E4" s="1039">
        <f ca="1">结果表!E118</f>
        <v>4836</v>
      </c>
      <c r="F4" s="1039">
        <f ca="1">结果表!F118</f>
        <v>27716</v>
      </c>
      <c r="G4" s="1039">
        <f ca="1">结果表!G118</f>
        <v>3878</v>
      </c>
      <c r="H4" s="1039">
        <f ca="1">结果表!H118</f>
        <v>62283</v>
      </c>
      <c r="I4" s="1039">
        <f ca="1">结果表!I118</f>
        <v>8714</v>
      </c>
    </row>
    <row r="5" spans="1:9" ht="30" customHeight="1">
      <c r="A5" s="3049" t="s">
        <v>1636</v>
      </c>
      <c r="B5" s="3049"/>
      <c r="C5" s="3049"/>
      <c r="D5" s="3050" t="str">
        <f ca="1">结果表!D119</f>
        <v>叁亿肆仟伍佰陆拾柒万元整</v>
      </c>
      <c r="E5" s="3050"/>
      <c r="F5" s="3050" t="str">
        <f ca="1">结果表!F119</f>
        <v>贰亿柒仟柒佰壹拾陆万元整</v>
      </c>
      <c r="G5" s="3050"/>
      <c r="H5" s="3050" t="str">
        <f ca="1">结果表!H119</f>
        <v>陆亿贰仟贰佰捌拾叁万元整</v>
      </c>
      <c r="I5" s="3050"/>
    </row>
    <row r="6" spans="1:9" ht="15.75">
      <c r="A6" s="3051" t="str">
        <f>结果表!A120</f>
        <v>估价师知悉的法定优先受偿款</v>
      </c>
      <c r="B6" s="3051"/>
      <c r="C6" s="3051"/>
      <c r="D6" s="3051">
        <f>结果表!D120</f>
        <v>0</v>
      </c>
      <c r="E6" s="3051"/>
      <c r="F6" s="3051"/>
      <c r="G6" s="3051"/>
      <c r="H6" s="3051"/>
      <c r="I6" s="3051"/>
    </row>
    <row r="7" spans="1:9" ht="15">
      <c r="A7" s="3049" t="s">
        <v>1636</v>
      </c>
      <c r="B7" s="3049"/>
      <c r="C7" s="3049"/>
      <c r="D7" s="3052" t="str">
        <f>结果表!D121</f>
        <v>零元整</v>
      </c>
      <c r="E7" s="3053"/>
      <c r="F7" s="3053"/>
      <c r="G7" s="3053"/>
      <c r="H7" s="3053"/>
      <c r="I7" s="3054"/>
    </row>
    <row r="8" spans="1:9" ht="15.75">
      <c r="A8" s="3051" t="str">
        <f>结果表!A122</f>
        <v>房地产抵押价值</v>
      </c>
      <c r="B8" s="3051"/>
      <c r="C8" s="3051"/>
      <c r="D8" s="3051">
        <f ca="1">结果表!D122</f>
        <v>62283</v>
      </c>
      <c r="E8" s="3051"/>
      <c r="F8" s="3051"/>
      <c r="G8" s="3051"/>
      <c r="H8" s="3051"/>
      <c r="I8" s="3051"/>
    </row>
    <row r="9" spans="1:9" ht="15">
      <c r="A9" s="3049" t="s">
        <v>1636</v>
      </c>
      <c r="B9" s="3049"/>
      <c r="C9" s="3049"/>
      <c r="D9" s="3050" t="str">
        <f ca="1">结果表!D123</f>
        <v>陆亿贰仟贰佰捌拾叁万元整</v>
      </c>
      <c r="E9" s="3050"/>
      <c r="F9" s="3050"/>
      <c r="G9" s="3050"/>
      <c r="H9" s="3050"/>
      <c r="I9" s="3050"/>
    </row>
    <row r="10" spans="1:9" ht="15.75">
      <c r="A10" s="3051" t="str">
        <f>结果表!A124</f>
        <v/>
      </c>
      <c r="B10" s="3051"/>
      <c r="C10" s="3051"/>
      <c r="D10" s="3051" t="str">
        <f>结果表!D124</f>
        <v>——</v>
      </c>
      <c r="E10" s="3051"/>
      <c r="F10" s="3051"/>
      <c r="G10" s="3051"/>
      <c r="H10" s="3051"/>
      <c r="I10" s="3051"/>
    </row>
    <row r="11" spans="1:9" ht="15">
      <c r="A11" s="3049" t="s">
        <v>1636</v>
      </c>
      <c r="B11" s="3049"/>
      <c r="C11" s="3049"/>
      <c r="D11" s="3050" t="e">
        <f>结果表!D125</f>
        <v>#VALUE!</v>
      </c>
      <c r="E11" s="3050"/>
      <c r="F11" s="3050"/>
      <c r="G11" s="3050"/>
      <c r="H11" s="3050"/>
      <c r="I11" s="3050"/>
    </row>
    <row r="12" spans="1:9" ht="15.75">
      <c r="A12" s="3051" t="str">
        <f>结果表!A126</f>
        <v>抵押净值</v>
      </c>
      <c r="B12" s="3051"/>
      <c r="C12" s="3051"/>
      <c r="D12" s="3051">
        <f ca="1">结果表!D126</f>
        <v>39644</v>
      </c>
      <c r="E12" s="3051"/>
      <c r="F12" s="3051"/>
      <c r="G12" s="3051"/>
      <c r="H12" s="3051"/>
      <c r="I12" s="3051"/>
    </row>
    <row r="13" spans="1:9" ht="15.75" thickBot="1">
      <c r="A13" s="3055" t="s">
        <v>1636</v>
      </c>
      <c r="B13" s="3055"/>
      <c r="C13" s="3055"/>
      <c r="D13" s="3056" t="str">
        <f ca="1">结果表!D127</f>
        <v>叁亿玖仟陆佰肆拾肆万元整</v>
      </c>
      <c r="E13" s="3056"/>
      <c r="F13" s="3056"/>
      <c r="G13" s="3056"/>
      <c r="H13" s="3056"/>
      <c r="I13" s="3056"/>
    </row>
    <row r="14" spans="1:9" ht="15" thickTop="1">
      <c r="A14" s="3057" t="s">
        <v>1641</v>
      </c>
      <c r="B14" s="3057"/>
      <c r="C14" s="3057"/>
      <c r="D14" s="3057"/>
      <c r="E14" s="3057"/>
      <c r="F14" s="3057"/>
      <c r="G14" s="3057"/>
      <c r="H14" s="3057"/>
      <c r="I14" s="3057"/>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60" zoomScale="85" zoomScaleNormal="85" workbookViewId="0">
      <selection activeCell="D732" sqref="D732"/>
    </sheetView>
  </sheetViews>
  <sheetFormatPr defaultRowHeight="14.25"/>
  <cols>
    <col min="1" max="2" width="9" style="2976"/>
    <col min="3" max="3" width="10.5" style="2986" bestFit="1" customWidth="1"/>
    <col min="4" max="4" width="11.25" style="2976" bestFit="1" customWidth="1"/>
    <col min="5" max="5" width="9" style="2976"/>
    <col min="6" max="6" width="15.25" style="2976" hidden="1" customWidth="1"/>
    <col min="7" max="7" width="13.75" style="2976" hidden="1" customWidth="1"/>
    <col min="8" max="8" width="11.5" style="2976" customWidth="1"/>
    <col min="9" max="9" width="9" style="2976"/>
    <col min="10" max="10" width="0" style="2976" hidden="1" customWidth="1"/>
    <col min="11" max="11" width="11.25" style="2976" bestFit="1" customWidth="1"/>
    <col min="12" max="12" width="9" style="2991"/>
    <col min="13" max="17" width="9" style="2977"/>
    <col min="18" max="18" width="13.875" style="2977" customWidth="1"/>
    <col min="19" max="31" width="9" style="2977"/>
    <col min="32" max="32" width="9" style="2978"/>
    <col min="33" max="16384" width="9" style="2976"/>
  </cols>
  <sheetData>
    <row r="1" spans="1:32">
      <c r="A1" s="2974" t="s">
        <v>3251</v>
      </c>
      <c r="B1" s="2974" t="s">
        <v>3198</v>
      </c>
      <c r="C1" s="2975" t="s">
        <v>3123</v>
      </c>
      <c r="D1" s="2974" t="s">
        <v>3199</v>
      </c>
      <c r="E1" s="2974" t="s">
        <v>3124</v>
      </c>
      <c r="F1" s="2974" t="s">
        <v>3125</v>
      </c>
      <c r="G1" s="2974" t="s">
        <v>3202</v>
      </c>
      <c r="H1" s="2974" t="s">
        <v>3126</v>
      </c>
      <c r="I1" s="2974" t="s">
        <v>3127</v>
      </c>
      <c r="J1" s="2974" t="s">
        <v>3128</v>
      </c>
      <c r="L1" s="2976"/>
      <c r="M1" s="2976"/>
      <c r="N1" s="2976"/>
      <c r="O1" s="2976"/>
      <c r="P1" s="2976"/>
      <c r="Q1" s="2976"/>
      <c r="R1" s="2976"/>
      <c r="S1" s="2976"/>
      <c r="T1" s="2976"/>
      <c r="U1" s="2976"/>
      <c r="V1" s="2976"/>
      <c r="W1" s="2976"/>
      <c r="X1" s="2976"/>
      <c r="Y1" s="2976"/>
      <c r="Z1" s="2976"/>
      <c r="AA1" s="2976"/>
      <c r="AB1" s="2976"/>
      <c r="AC1" s="2976"/>
      <c r="AD1" s="2976"/>
      <c r="AE1" s="2976"/>
      <c r="AF1" s="2976"/>
    </row>
    <row r="2" spans="1:32">
      <c r="A2" s="2972">
        <v>1</v>
      </c>
      <c r="B2" s="2974" t="s">
        <v>3220</v>
      </c>
      <c r="C2" s="2973" t="s">
        <v>3207</v>
      </c>
      <c r="D2" s="2981" t="s">
        <v>3213</v>
      </c>
      <c r="E2" s="2974">
        <v>101</v>
      </c>
      <c r="F2" s="2980">
        <v>53.82</v>
      </c>
      <c r="G2" s="2979">
        <v>12.25</v>
      </c>
      <c r="H2" s="2979">
        <v>66.069999999999993</v>
      </c>
      <c r="I2" s="2979" t="s">
        <v>3055</v>
      </c>
      <c r="J2" s="2974" t="s">
        <v>3143</v>
      </c>
      <c r="L2" s="2976"/>
      <c r="M2" s="2976"/>
      <c r="N2" s="2976"/>
      <c r="O2" s="2976"/>
      <c r="P2" s="2976"/>
      <c r="Q2" s="2976"/>
      <c r="R2" s="2976"/>
      <c r="S2" s="2976"/>
      <c r="T2" s="2976"/>
      <c r="U2" s="2976"/>
      <c r="V2" s="2976"/>
      <c r="W2" s="2976"/>
      <c r="X2" s="2976"/>
      <c r="Y2" s="2976"/>
      <c r="Z2" s="2976"/>
      <c r="AA2" s="2976"/>
      <c r="AB2" s="2976"/>
      <c r="AC2" s="2976"/>
      <c r="AD2" s="2976"/>
      <c r="AE2" s="2976"/>
      <c r="AF2" s="2976"/>
    </row>
    <row r="3" spans="1:32">
      <c r="A3" s="2972">
        <v>2</v>
      </c>
      <c r="B3" s="2974" t="s">
        <v>3220</v>
      </c>
      <c r="C3" s="2973" t="s">
        <v>3207</v>
      </c>
      <c r="D3" s="2981" t="s">
        <v>3213</v>
      </c>
      <c r="E3" s="2974">
        <v>103</v>
      </c>
      <c r="F3" s="2980">
        <v>56.79</v>
      </c>
      <c r="G3" s="2979">
        <v>12.93</v>
      </c>
      <c r="H3" s="2979">
        <v>69.72</v>
      </c>
      <c r="I3" s="2979" t="s">
        <v>3055</v>
      </c>
      <c r="J3" s="2974" t="s">
        <v>3144</v>
      </c>
      <c r="L3" s="2976"/>
      <c r="M3" s="2976"/>
      <c r="N3" s="2976"/>
      <c r="O3" s="2976"/>
      <c r="P3" s="2976"/>
      <c r="Q3" s="2976"/>
      <c r="R3" s="2976"/>
      <c r="S3" s="2976"/>
      <c r="T3" s="2976"/>
      <c r="U3" s="2976"/>
      <c r="V3" s="2976"/>
      <c r="W3" s="2976"/>
      <c r="X3" s="2976"/>
      <c r="Y3" s="2976"/>
      <c r="Z3" s="2976"/>
      <c r="AA3" s="2976"/>
      <c r="AB3" s="2976"/>
      <c r="AC3" s="2976"/>
      <c r="AD3" s="2976"/>
      <c r="AE3" s="2976"/>
      <c r="AF3" s="2976"/>
    </row>
    <row r="4" spans="1:32">
      <c r="A4" s="2972">
        <v>3</v>
      </c>
      <c r="B4" s="2974" t="s">
        <v>3220</v>
      </c>
      <c r="C4" s="2973" t="s">
        <v>3207</v>
      </c>
      <c r="D4" s="2981" t="s">
        <v>3213</v>
      </c>
      <c r="E4" s="2974">
        <v>105</v>
      </c>
      <c r="F4" s="2980">
        <v>56.66</v>
      </c>
      <c r="G4" s="2979">
        <v>12.9</v>
      </c>
      <c r="H4" s="2979">
        <v>69.56</v>
      </c>
      <c r="I4" s="2979" t="s">
        <v>3055</v>
      </c>
      <c r="J4" s="2974" t="s">
        <v>3144</v>
      </c>
      <c r="L4" s="2976"/>
      <c r="M4" s="2976"/>
      <c r="N4" s="2976"/>
      <c r="O4" s="2976"/>
      <c r="P4" s="2976"/>
      <c r="Q4" s="2976"/>
      <c r="R4" s="2976"/>
      <c r="S4" s="2976"/>
      <c r="T4" s="2976"/>
      <c r="U4" s="2976"/>
      <c r="V4" s="2976"/>
      <c r="W4" s="2976"/>
      <c r="X4" s="2976"/>
      <c r="Y4" s="2976"/>
      <c r="Z4" s="2976"/>
      <c r="AA4" s="2976"/>
      <c r="AB4" s="2976"/>
      <c r="AC4" s="2976"/>
      <c r="AD4" s="2976"/>
      <c r="AE4" s="2976"/>
      <c r="AF4" s="2976"/>
    </row>
    <row r="5" spans="1:32">
      <c r="A5" s="2972">
        <v>4</v>
      </c>
      <c r="B5" s="2974" t="s">
        <v>3220</v>
      </c>
      <c r="C5" s="2973" t="s">
        <v>3207</v>
      </c>
      <c r="D5" s="2981" t="s">
        <v>3213</v>
      </c>
      <c r="E5" s="2974">
        <v>106</v>
      </c>
      <c r="F5" s="2980">
        <v>77.17</v>
      </c>
      <c r="G5" s="2979">
        <v>17.57</v>
      </c>
      <c r="H5" s="2979">
        <v>94.740000000000009</v>
      </c>
      <c r="I5" s="2979" t="s">
        <v>3055</v>
      </c>
      <c r="J5" s="2974" t="s">
        <v>3144</v>
      </c>
      <c r="L5" s="2976"/>
      <c r="M5" s="2976"/>
      <c r="N5" s="2976"/>
      <c r="O5" s="2976"/>
      <c r="P5" s="2976"/>
      <c r="Q5" s="2976"/>
      <c r="R5" s="2976"/>
      <c r="S5" s="2976"/>
      <c r="T5" s="2976"/>
      <c r="U5" s="2976"/>
      <c r="V5" s="2976"/>
      <c r="W5" s="2976"/>
      <c r="X5" s="2976"/>
      <c r="Y5" s="2976"/>
      <c r="Z5" s="2976"/>
      <c r="AA5" s="2976"/>
      <c r="AB5" s="2976"/>
      <c r="AC5" s="2976"/>
      <c r="AD5" s="2976"/>
      <c r="AE5" s="2976"/>
      <c r="AF5" s="2976"/>
    </row>
    <row r="6" spans="1:32">
      <c r="A6" s="2972">
        <v>5</v>
      </c>
      <c r="B6" s="2974" t="s">
        <v>3220</v>
      </c>
      <c r="C6" s="2973" t="s">
        <v>3207</v>
      </c>
      <c r="D6" s="2981" t="s">
        <v>3215</v>
      </c>
      <c r="E6" s="2974">
        <v>101</v>
      </c>
      <c r="F6" s="2980">
        <v>77.17</v>
      </c>
      <c r="G6" s="2979">
        <v>17.57</v>
      </c>
      <c r="H6" s="2979">
        <v>94.740000000000009</v>
      </c>
      <c r="I6" s="2979" t="s">
        <v>3055</v>
      </c>
      <c r="J6" s="2974" t="s">
        <v>3144</v>
      </c>
      <c r="L6" s="2976"/>
      <c r="M6" s="2976"/>
      <c r="N6" s="2976"/>
      <c r="O6" s="2976"/>
      <c r="P6" s="2976"/>
      <c r="Q6" s="2976"/>
      <c r="R6" s="2976"/>
      <c r="S6" s="2976"/>
      <c r="T6" s="2976"/>
      <c r="U6" s="2976"/>
      <c r="V6" s="2976"/>
      <c r="W6" s="2976"/>
      <c r="X6" s="2976"/>
      <c r="Y6" s="2976"/>
      <c r="Z6" s="2976"/>
      <c r="AA6" s="2976"/>
      <c r="AB6" s="2976"/>
      <c r="AC6" s="2976"/>
      <c r="AD6" s="2976"/>
      <c r="AE6" s="2976"/>
      <c r="AF6" s="2976"/>
    </row>
    <row r="7" spans="1:32">
      <c r="A7" s="2972">
        <v>6</v>
      </c>
      <c r="B7" s="2974" t="s">
        <v>3220</v>
      </c>
      <c r="C7" s="2973" t="s">
        <v>3207</v>
      </c>
      <c r="D7" s="2981" t="s">
        <v>3215</v>
      </c>
      <c r="E7" s="2974">
        <v>106</v>
      </c>
      <c r="F7" s="2980">
        <v>53.82</v>
      </c>
      <c r="G7" s="2979">
        <v>12.25</v>
      </c>
      <c r="H7" s="2979">
        <v>66.069999999999993</v>
      </c>
      <c r="I7" s="2979" t="s">
        <v>3055</v>
      </c>
      <c r="J7" s="2974" t="s">
        <v>3143</v>
      </c>
      <c r="L7" s="2976"/>
      <c r="M7" s="2976"/>
      <c r="N7" s="2976"/>
      <c r="O7" s="2976"/>
      <c r="P7" s="2976"/>
      <c r="Q7" s="2976"/>
      <c r="R7" s="2976"/>
      <c r="S7" s="2976"/>
      <c r="T7" s="2976"/>
      <c r="U7" s="2976"/>
      <c r="V7" s="2976"/>
      <c r="W7" s="2976"/>
      <c r="X7" s="2976"/>
      <c r="Y7" s="2976"/>
      <c r="Z7" s="2976"/>
      <c r="AA7" s="2976"/>
      <c r="AB7" s="2976"/>
      <c r="AC7" s="2976"/>
      <c r="AD7" s="2976"/>
      <c r="AE7" s="2976"/>
      <c r="AF7" s="2976"/>
    </row>
    <row r="8" spans="1:32">
      <c r="A8" s="2972">
        <v>7</v>
      </c>
      <c r="B8" s="2974" t="s">
        <v>3220</v>
      </c>
      <c r="C8" s="2973" t="s">
        <v>3208</v>
      </c>
      <c r="D8" s="2981" t="s">
        <v>3213</v>
      </c>
      <c r="E8" s="2974">
        <v>201</v>
      </c>
      <c r="F8" s="2980">
        <v>53.82</v>
      </c>
      <c r="G8" s="2979">
        <v>12.25</v>
      </c>
      <c r="H8" s="2979">
        <v>66.069999999999993</v>
      </c>
      <c r="I8" s="2979" t="s">
        <v>3055</v>
      </c>
      <c r="J8" s="2974" t="s">
        <v>3143</v>
      </c>
      <c r="L8" s="2976"/>
      <c r="M8" s="2976"/>
      <c r="N8" s="2976"/>
      <c r="O8" s="2976"/>
      <c r="P8" s="2976"/>
      <c r="Q8" s="2976"/>
      <c r="R8" s="2976"/>
      <c r="S8" s="2976"/>
      <c r="T8" s="2976"/>
      <c r="U8" s="2976"/>
      <c r="V8" s="2976"/>
      <c r="W8" s="2976"/>
      <c r="X8" s="2976"/>
      <c r="Y8" s="2976"/>
      <c r="Z8" s="2976"/>
      <c r="AA8" s="2976"/>
      <c r="AB8" s="2976"/>
      <c r="AC8" s="2976"/>
      <c r="AD8" s="2976"/>
      <c r="AE8" s="2976"/>
      <c r="AF8" s="2976"/>
    </row>
    <row r="9" spans="1:32">
      <c r="A9" s="2972">
        <v>8</v>
      </c>
      <c r="B9" s="2974" t="s">
        <v>3220</v>
      </c>
      <c r="C9" s="2973" t="s">
        <v>3208</v>
      </c>
      <c r="D9" s="2981" t="s">
        <v>3213</v>
      </c>
      <c r="E9" s="2974">
        <v>202</v>
      </c>
      <c r="F9" s="2980">
        <v>56.66</v>
      </c>
      <c r="G9" s="2979">
        <v>12.9</v>
      </c>
      <c r="H9" s="2979">
        <v>69.56</v>
      </c>
      <c r="I9" s="2979" t="s">
        <v>3055</v>
      </c>
      <c r="J9" s="2974" t="s">
        <v>3144</v>
      </c>
      <c r="L9" s="2976"/>
      <c r="M9" s="2976"/>
      <c r="N9" s="2976"/>
      <c r="O9" s="2976"/>
      <c r="P9" s="2976"/>
      <c r="Q9" s="2976"/>
      <c r="R9" s="2976"/>
      <c r="S9" s="2976"/>
      <c r="T9" s="2976"/>
      <c r="U9" s="2976"/>
      <c r="V9" s="2976"/>
      <c r="W9" s="2976"/>
      <c r="X9" s="2976"/>
      <c r="Y9" s="2976"/>
      <c r="Z9" s="2976"/>
      <c r="AA9" s="2976"/>
      <c r="AB9" s="2976"/>
      <c r="AC9" s="2976"/>
      <c r="AD9" s="2976"/>
      <c r="AE9" s="2976"/>
      <c r="AF9" s="2976"/>
    </row>
    <row r="10" spans="1:32">
      <c r="A10" s="2972">
        <v>9</v>
      </c>
      <c r="B10" s="2974" t="s">
        <v>3220</v>
      </c>
      <c r="C10" s="2973" t="s">
        <v>3208</v>
      </c>
      <c r="D10" s="2981" t="s">
        <v>3213</v>
      </c>
      <c r="E10" s="2974">
        <v>206</v>
      </c>
      <c r="F10" s="2980">
        <v>56.66</v>
      </c>
      <c r="G10" s="2979">
        <v>12.9</v>
      </c>
      <c r="H10" s="2979">
        <v>69.56</v>
      </c>
      <c r="I10" s="2979" t="s">
        <v>3055</v>
      </c>
      <c r="J10" s="2974" t="s">
        <v>3144</v>
      </c>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row>
    <row r="11" spans="1:32">
      <c r="A11" s="2972">
        <v>10</v>
      </c>
      <c r="B11" s="2974" t="s">
        <v>3220</v>
      </c>
      <c r="C11" s="2973" t="s">
        <v>3208</v>
      </c>
      <c r="D11" s="2981" t="s">
        <v>3213</v>
      </c>
      <c r="E11" s="2974">
        <v>207</v>
      </c>
      <c r="F11" s="2980">
        <v>77.17</v>
      </c>
      <c r="G11" s="2979">
        <v>17.57</v>
      </c>
      <c r="H11" s="2979">
        <v>94.740000000000009</v>
      </c>
      <c r="I11" s="2979" t="s">
        <v>3055</v>
      </c>
      <c r="J11" s="2974" t="s">
        <v>3144</v>
      </c>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row>
    <row r="12" spans="1:32">
      <c r="A12" s="2972">
        <v>11</v>
      </c>
      <c r="B12" s="2974" t="s">
        <v>3220</v>
      </c>
      <c r="C12" s="2973" t="s">
        <v>3208</v>
      </c>
      <c r="D12" s="2981" t="s">
        <v>3215</v>
      </c>
      <c r="E12" s="2974">
        <v>201</v>
      </c>
      <c r="F12" s="2980">
        <v>77.17</v>
      </c>
      <c r="G12" s="2979">
        <v>17.57</v>
      </c>
      <c r="H12" s="2979">
        <v>94.740000000000009</v>
      </c>
      <c r="I12" s="2979" t="s">
        <v>3055</v>
      </c>
      <c r="J12" s="2974" t="s">
        <v>3144</v>
      </c>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row>
    <row r="13" spans="1:32">
      <c r="A13" s="2972">
        <v>12</v>
      </c>
      <c r="B13" s="2974" t="s">
        <v>3220</v>
      </c>
      <c r="C13" s="2973" t="s">
        <v>3209</v>
      </c>
      <c r="D13" s="2981" t="s">
        <v>3213</v>
      </c>
      <c r="E13" s="2974">
        <v>301</v>
      </c>
      <c r="F13" s="2980">
        <v>53.82</v>
      </c>
      <c r="G13" s="2979">
        <v>12.25</v>
      </c>
      <c r="H13" s="2979">
        <v>66.069999999999993</v>
      </c>
      <c r="I13" s="2979" t="s">
        <v>3055</v>
      </c>
      <c r="J13" s="2974" t="s">
        <v>3143</v>
      </c>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row>
    <row r="14" spans="1:32">
      <c r="A14" s="2972">
        <v>13</v>
      </c>
      <c r="B14" s="2974" t="s">
        <v>3220</v>
      </c>
      <c r="C14" s="2973" t="s">
        <v>3209</v>
      </c>
      <c r="D14" s="2981" t="s">
        <v>3213</v>
      </c>
      <c r="E14" s="2974">
        <v>303</v>
      </c>
      <c r="F14" s="2980">
        <v>56.81</v>
      </c>
      <c r="G14" s="2979">
        <v>12.94</v>
      </c>
      <c r="H14" s="2979">
        <v>69.75</v>
      </c>
      <c r="I14" s="2979" t="s">
        <v>3055</v>
      </c>
      <c r="J14" s="2974" t="s">
        <v>3144</v>
      </c>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row>
    <row r="15" spans="1:32">
      <c r="A15" s="2972">
        <v>14</v>
      </c>
      <c r="B15" s="2974" t="s">
        <v>3220</v>
      </c>
      <c r="C15" s="2973" t="s">
        <v>3209</v>
      </c>
      <c r="D15" s="2981" t="s">
        <v>3213</v>
      </c>
      <c r="E15" s="2974">
        <v>305</v>
      </c>
      <c r="F15" s="2980">
        <v>56.81</v>
      </c>
      <c r="G15" s="2979">
        <v>12.94</v>
      </c>
      <c r="H15" s="2979">
        <v>69.75</v>
      </c>
      <c r="I15" s="2979" t="s">
        <v>3055</v>
      </c>
      <c r="J15" s="2974" t="s">
        <v>3144</v>
      </c>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row>
    <row r="16" spans="1:32">
      <c r="A16" s="2972">
        <v>15</v>
      </c>
      <c r="B16" s="2974" t="s">
        <v>3220</v>
      </c>
      <c r="C16" s="2973" t="s">
        <v>3209</v>
      </c>
      <c r="D16" s="2981" t="s">
        <v>3213</v>
      </c>
      <c r="E16" s="2974">
        <v>306</v>
      </c>
      <c r="F16" s="2980">
        <v>56.66</v>
      </c>
      <c r="G16" s="2979">
        <v>12.9</v>
      </c>
      <c r="H16" s="2979">
        <v>69.56</v>
      </c>
      <c r="I16" s="2979" t="s">
        <v>3055</v>
      </c>
      <c r="J16" s="2974" t="s">
        <v>3144</v>
      </c>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row>
    <row r="17" spans="1:32">
      <c r="A17" s="2972">
        <v>16</v>
      </c>
      <c r="B17" s="2974" t="s">
        <v>3220</v>
      </c>
      <c r="C17" s="2973" t="s">
        <v>3209</v>
      </c>
      <c r="D17" s="2981" t="s">
        <v>3213</v>
      </c>
      <c r="E17" s="2974">
        <v>307</v>
      </c>
      <c r="F17" s="2980">
        <v>77.17</v>
      </c>
      <c r="G17" s="2979">
        <v>17.57</v>
      </c>
      <c r="H17" s="2979">
        <v>94.740000000000009</v>
      </c>
      <c r="I17" s="2979" t="s">
        <v>3055</v>
      </c>
      <c r="J17" s="2974" t="s">
        <v>3144</v>
      </c>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row>
    <row r="18" spans="1:32">
      <c r="A18" s="2972">
        <v>17</v>
      </c>
      <c r="B18" s="2974" t="s">
        <v>3220</v>
      </c>
      <c r="C18" s="2973" t="s">
        <v>3209</v>
      </c>
      <c r="D18" s="2981" t="s">
        <v>3215</v>
      </c>
      <c r="E18" s="2974">
        <v>302</v>
      </c>
      <c r="F18" s="2980">
        <v>56.66</v>
      </c>
      <c r="G18" s="2979">
        <v>12.9</v>
      </c>
      <c r="H18" s="2979">
        <v>69.56</v>
      </c>
      <c r="I18" s="2979" t="s">
        <v>3055</v>
      </c>
      <c r="J18" s="2974" t="s">
        <v>3144</v>
      </c>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row>
    <row r="19" spans="1:32">
      <c r="A19" s="2972">
        <v>18</v>
      </c>
      <c r="B19" s="2974" t="s">
        <v>3220</v>
      </c>
      <c r="C19" s="2973" t="s">
        <v>3209</v>
      </c>
      <c r="D19" s="2981" t="s">
        <v>3215</v>
      </c>
      <c r="E19" s="2974">
        <v>303</v>
      </c>
      <c r="F19" s="2980">
        <v>56.81</v>
      </c>
      <c r="G19" s="2979">
        <v>12.94</v>
      </c>
      <c r="H19" s="2979">
        <v>69.75</v>
      </c>
      <c r="I19" s="2979" t="s">
        <v>3055</v>
      </c>
      <c r="J19" s="2974" t="s">
        <v>3144</v>
      </c>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row>
    <row r="20" spans="1:32">
      <c r="A20" s="2972">
        <v>19</v>
      </c>
      <c r="B20" s="2974" t="s">
        <v>3220</v>
      </c>
      <c r="C20" s="2973" t="s">
        <v>3209</v>
      </c>
      <c r="D20" s="2981" t="s">
        <v>3215</v>
      </c>
      <c r="E20" s="2974">
        <v>305</v>
      </c>
      <c r="F20" s="2980">
        <v>56.81</v>
      </c>
      <c r="G20" s="2979">
        <v>12.94</v>
      </c>
      <c r="H20" s="2979">
        <v>69.75</v>
      </c>
      <c r="I20" s="2979" t="s">
        <v>3055</v>
      </c>
      <c r="J20" s="2974" t="s">
        <v>3144</v>
      </c>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row>
    <row r="21" spans="1:32">
      <c r="A21" s="2972">
        <v>20</v>
      </c>
      <c r="B21" s="2974" t="s">
        <v>3220</v>
      </c>
      <c r="C21" s="2973" t="s">
        <v>3209</v>
      </c>
      <c r="D21" s="2981" t="s">
        <v>3215</v>
      </c>
      <c r="E21" s="2974">
        <v>306</v>
      </c>
      <c r="F21" s="2980">
        <v>56.66</v>
      </c>
      <c r="G21" s="2979">
        <v>12.9</v>
      </c>
      <c r="H21" s="2979">
        <v>69.56</v>
      </c>
      <c r="I21" s="2979" t="s">
        <v>3055</v>
      </c>
      <c r="J21" s="2974" t="s">
        <v>3144</v>
      </c>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row>
    <row r="22" spans="1:32">
      <c r="A22" s="2972">
        <v>21</v>
      </c>
      <c r="B22" s="2974" t="s">
        <v>3220</v>
      </c>
      <c r="C22" s="2973" t="s">
        <v>3209</v>
      </c>
      <c r="D22" s="2981" t="s">
        <v>3215</v>
      </c>
      <c r="E22" s="2974">
        <v>307</v>
      </c>
      <c r="F22" s="2980">
        <v>53.82</v>
      </c>
      <c r="G22" s="2979">
        <v>12.25</v>
      </c>
      <c r="H22" s="2979">
        <v>66.069999999999993</v>
      </c>
      <c r="I22" s="2979" t="s">
        <v>3055</v>
      </c>
      <c r="J22" s="2974" t="s">
        <v>3143</v>
      </c>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row>
    <row r="23" spans="1:32">
      <c r="A23" s="2972">
        <v>22</v>
      </c>
      <c r="B23" s="2974" t="s">
        <v>3220</v>
      </c>
      <c r="C23" s="2973" t="s">
        <v>3210</v>
      </c>
      <c r="D23" s="2981" t="s">
        <v>3213</v>
      </c>
      <c r="E23" s="2974" t="s">
        <v>3146</v>
      </c>
      <c r="F23" s="2980">
        <v>56.66</v>
      </c>
      <c r="G23" s="2979">
        <v>12.9</v>
      </c>
      <c r="H23" s="2979">
        <v>69.56</v>
      </c>
      <c r="I23" s="2979" t="s">
        <v>3055</v>
      </c>
      <c r="J23" s="2974" t="s">
        <v>3144</v>
      </c>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row>
    <row r="24" spans="1:32">
      <c r="A24" s="2972">
        <v>23</v>
      </c>
      <c r="B24" s="2974" t="s">
        <v>3220</v>
      </c>
      <c r="C24" s="2973" t="s">
        <v>3210</v>
      </c>
      <c r="D24" s="2981" t="s">
        <v>3213</v>
      </c>
      <c r="E24" s="2974" t="s">
        <v>3148</v>
      </c>
      <c r="F24" s="2980">
        <v>56.81</v>
      </c>
      <c r="G24" s="2979">
        <v>12.94</v>
      </c>
      <c r="H24" s="2979">
        <v>69.75</v>
      </c>
      <c r="I24" s="2979" t="s">
        <v>3055</v>
      </c>
      <c r="J24" s="2974" t="s">
        <v>3144</v>
      </c>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row>
    <row r="25" spans="1:32">
      <c r="A25" s="2972">
        <v>24</v>
      </c>
      <c r="B25" s="2974" t="s">
        <v>3220</v>
      </c>
      <c r="C25" s="2973" t="s">
        <v>3210</v>
      </c>
      <c r="D25" s="2981" t="s">
        <v>3213</v>
      </c>
      <c r="E25" s="2974" t="s">
        <v>3149</v>
      </c>
      <c r="F25" s="2980">
        <v>56.66</v>
      </c>
      <c r="G25" s="2979">
        <v>12.9</v>
      </c>
      <c r="H25" s="2979">
        <v>69.56</v>
      </c>
      <c r="I25" s="2979" t="s">
        <v>3055</v>
      </c>
      <c r="J25" s="2974" t="s">
        <v>3144</v>
      </c>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row>
    <row r="26" spans="1:32">
      <c r="A26" s="2972">
        <v>25</v>
      </c>
      <c r="B26" s="2974" t="s">
        <v>3220</v>
      </c>
      <c r="C26" s="2973" t="s">
        <v>3210</v>
      </c>
      <c r="D26" s="2981" t="s">
        <v>3215</v>
      </c>
      <c r="E26" s="2974" t="s">
        <v>3145</v>
      </c>
      <c r="F26" s="2980">
        <v>77.17</v>
      </c>
      <c r="G26" s="2979">
        <v>17.57</v>
      </c>
      <c r="H26" s="2979">
        <v>94.740000000000009</v>
      </c>
      <c r="I26" s="2979" t="s">
        <v>3055</v>
      </c>
      <c r="J26" s="2974" t="s">
        <v>3144</v>
      </c>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row>
    <row r="27" spans="1:32">
      <c r="A27" s="2972">
        <v>26</v>
      </c>
      <c r="B27" s="2974" t="s">
        <v>3220</v>
      </c>
      <c r="C27" s="2973" t="s">
        <v>3210</v>
      </c>
      <c r="D27" s="2981" t="s">
        <v>3215</v>
      </c>
      <c r="E27" s="2974" t="s">
        <v>3146</v>
      </c>
      <c r="F27" s="2980">
        <v>56.66</v>
      </c>
      <c r="G27" s="2979">
        <v>12.9</v>
      </c>
      <c r="H27" s="2979">
        <v>69.56</v>
      </c>
      <c r="I27" s="2979" t="s">
        <v>3055</v>
      </c>
      <c r="J27" s="2974" t="s">
        <v>3144</v>
      </c>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row>
    <row r="28" spans="1:32">
      <c r="A28" s="2972">
        <v>27</v>
      </c>
      <c r="B28" s="2974" t="s">
        <v>3220</v>
      </c>
      <c r="C28" s="2973" t="s">
        <v>3210</v>
      </c>
      <c r="D28" s="2981" t="s">
        <v>3215</v>
      </c>
      <c r="E28" s="2974" t="s">
        <v>3147</v>
      </c>
      <c r="F28" s="2980">
        <v>56.81</v>
      </c>
      <c r="G28" s="2979">
        <v>12.94</v>
      </c>
      <c r="H28" s="2979">
        <v>69.75</v>
      </c>
      <c r="I28" s="2979" t="s">
        <v>3055</v>
      </c>
      <c r="J28" s="2974" t="s">
        <v>3144</v>
      </c>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row>
    <row r="29" spans="1:32">
      <c r="A29" s="2972">
        <v>28</v>
      </c>
      <c r="B29" s="2974" t="s">
        <v>3220</v>
      </c>
      <c r="C29" s="2973" t="s">
        <v>3210</v>
      </c>
      <c r="D29" s="2981" t="s">
        <v>3215</v>
      </c>
      <c r="E29" s="2974" t="s">
        <v>3148</v>
      </c>
      <c r="F29" s="2980">
        <v>56.81</v>
      </c>
      <c r="G29" s="2979">
        <v>12.94</v>
      </c>
      <c r="H29" s="2979">
        <v>69.75</v>
      </c>
      <c r="I29" s="2979" t="s">
        <v>3055</v>
      </c>
      <c r="J29" s="2974" t="s">
        <v>3144</v>
      </c>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row>
    <row r="30" spans="1:32">
      <c r="A30" s="2972">
        <v>29</v>
      </c>
      <c r="B30" s="2974" t="s">
        <v>3220</v>
      </c>
      <c r="C30" s="2973" t="s">
        <v>3210</v>
      </c>
      <c r="D30" s="2981" t="s">
        <v>3215</v>
      </c>
      <c r="E30" s="2974" t="s">
        <v>3150</v>
      </c>
      <c r="F30" s="2980">
        <v>53.82</v>
      </c>
      <c r="G30" s="2979">
        <v>12.25</v>
      </c>
      <c r="H30" s="2979">
        <v>66.069999999999993</v>
      </c>
      <c r="I30" s="2979" t="s">
        <v>3055</v>
      </c>
      <c r="J30" s="2974" t="s">
        <v>3143</v>
      </c>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row>
    <row r="31" spans="1:32">
      <c r="A31" s="2972">
        <v>30</v>
      </c>
      <c r="B31" s="2974" t="s">
        <v>3220</v>
      </c>
      <c r="C31" s="2973" t="s">
        <v>3211</v>
      </c>
      <c r="D31" s="2981" t="s">
        <v>3213</v>
      </c>
      <c r="E31" s="2974">
        <v>502</v>
      </c>
      <c r="F31" s="2980">
        <v>56.66</v>
      </c>
      <c r="G31" s="2979">
        <v>12.9</v>
      </c>
      <c r="H31" s="2979">
        <v>69.56</v>
      </c>
      <c r="I31" s="2979" t="s">
        <v>3055</v>
      </c>
      <c r="J31" s="2974" t="s">
        <v>3144</v>
      </c>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row>
    <row r="32" spans="1:32">
      <c r="A32" s="2972">
        <v>31</v>
      </c>
      <c r="B32" s="2974" t="s">
        <v>3220</v>
      </c>
      <c r="C32" s="2973" t="s">
        <v>3211</v>
      </c>
      <c r="D32" s="2981" t="s">
        <v>3213</v>
      </c>
      <c r="E32" s="2974">
        <v>503</v>
      </c>
      <c r="F32" s="2980">
        <v>56.81</v>
      </c>
      <c r="G32" s="2979">
        <v>12.94</v>
      </c>
      <c r="H32" s="2979">
        <v>69.75</v>
      </c>
      <c r="I32" s="2979" t="s">
        <v>3055</v>
      </c>
      <c r="J32" s="2974" t="s">
        <v>3144</v>
      </c>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row>
    <row r="33" spans="1:32">
      <c r="A33" s="2972">
        <v>32</v>
      </c>
      <c r="B33" s="2974" t="s">
        <v>3220</v>
      </c>
      <c r="C33" s="2973" t="s">
        <v>3211</v>
      </c>
      <c r="D33" s="2981" t="s">
        <v>3213</v>
      </c>
      <c r="E33" s="2974">
        <v>505</v>
      </c>
      <c r="F33" s="2980">
        <v>56.81</v>
      </c>
      <c r="G33" s="2979">
        <v>12.94</v>
      </c>
      <c r="H33" s="2979">
        <v>69.75</v>
      </c>
      <c r="I33" s="2979" t="s">
        <v>3055</v>
      </c>
      <c r="J33" s="2974" t="s">
        <v>3144</v>
      </c>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row>
    <row r="34" spans="1:32">
      <c r="A34" s="2972">
        <v>33</v>
      </c>
      <c r="B34" s="2974" t="s">
        <v>3220</v>
      </c>
      <c r="C34" s="2973" t="s">
        <v>3211</v>
      </c>
      <c r="D34" s="2981" t="s">
        <v>3213</v>
      </c>
      <c r="E34" s="2974">
        <v>506</v>
      </c>
      <c r="F34" s="2980">
        <v>56.66</v>
      </c>
      <c r="G34" s="2979">
        <v>12.9</v>
      </c>
      <c r="H34" s="2979">
        <v>69.56</v>
      </c>
      <c r="I34" s="2979" t="s">
        <v>3055</v>
      </c>
      <c r="J34" s="2974" t="s">
        <v>3144</v>
      </c>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row>
    <row r="35" spans="1:32">
      <c r="A35" s="2972">
        <v>34</v>
      </c>
      <c r="B35" s="2974" t="s">
        <v>3220</v>
      </c>
      <c r="C35" s="2973" t="s">
        <v>3211</v>
      </c>
      <c r="D35" s="2981" t="s">
        <v>3213</v>
      </c>
      <c r="E35" s="2974">
        <v>507</v>
      </c>
      <c r="F35" s="2980">
        <v>77.17</v>
      </c>
      <c r="G35" s="2979">
        <v>17.57</v>
      </c>
      <c r="H35" s="2979">
        <v>94.740000000000009</v>
      </c>
      <c r="I35" s="2979" t="s">
        <v>3055</v>
      </c>
      <c r="J35" s="2974" t="s">
        <v>3144</v>
      </c>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row>
    <row r="36" spans="1:32">
      <c r="A36" s="2972">
        <v>35</v>
      </c>
      <c r="B36" s="2974" t="s">
        <v>3220</v>
      </c>
      <c r="C36" s="2973" t="s">
        <v>3211</v>
      </c>
      <c r="D36" s="2981" t="s">
        <v>3215</v>
      </c>
      <c r="E36" s="2974">
        <v>502</v>
      </c>
      <c r="F36" s="2980">
        <v>56.66</v>
      </c>
      <c r="G36" s="2979">
        <v>12.9</v>
      </c>
      <c r="H36" s="2979">
        <v>69.56</v>
      </c>
      <c r="I36" s="2979" t="s">
        <v>3055</v>
      </c>
      <c r="J36" s="2974" t="s">
        <v>3144</v>
      </c>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row>
    <row r="37" spans="1:32">
      <c r="A37" s="2972">
        <v>36</v>
      </c>
      <c r="B37" s="2974" t="s">
        <v>3220</v>
      </c>
      <c r="C37" s="2973" t="s">
        <v>3211</v>
      </c>
      <c r="D37" s="2981" t="s">
        <v>3215</v>
      </c>
      <c r="E37" s="2974">
        <v>503</v>
      </c>
      <c r="F37" s="2980">
        <v>56.81</v>
      </c>
      <c r="G37" s="2979">
        <v>12.94</v>
      </c>
      <c r="H37" s="2979">
        <v>69.75</v>
      </c>
      <c r="I37" s="2979" t="s">
        <v>3055</v>
      </c>
      <c r="J37" s="2974" t="s">
        <v>3144</v>
      </c>
      <c r="L37" s="2976"/>
      <c r="M37" s="2976"/>
      <c r="N37" s="2976"/>
      <c r="O37" s="2976"/>
      <c r="P37" s="2976"/>
      <c r="Q37" s="2976"/>
      <c r="R37" s="2976"/>
      <c r="S37" s="2976"/>
      <c r="T37" s="2976"/>
      <c r="U37" s="2976"/>
      <c r="V37" s="2976"/>
      <c r="W37" s="2976"/>
      <c r="X37" s="2976"/>
      <c r="Y37" s="2976"/>
      <c r="Z37" s="2976"/>
      <c r="AA37" s="2976"/>
      <c r="AB37" s="2976"/>
      <c r="AC37" s="2976"/>
      <c r="AD37" s="2976"/>
      <c r="AE37" s="2976"/>
      <c r="AF37" s="2976"/>
    </row>
    <row r="38" spans="1:32">
      <c r="A38" s="2972">
        <v>37</v>
      </c>
      <c r="B38" s="2974" t="s">
        <v>3220</v>
      </c>
      <c r="C38" s="2973" t="s">
        <v>3211</v>
      </c>
      <c r="D38" s="2981" t="s">
        <v>3215</v>
      </c>
      <c r="E38" s="2974">
        <v>505</v>
      </c>
      <c r="F38" s="2980">
        <v>56.81</v>
      </c>
      <c r="G38" s="2979">
        <v>12.94</v>
      </c>
      <c r="H38" s="2979">
        <v>69.75</v>
      </c>
      <c r="I38" s="2979" t="s">
        <v>3055</v>
      </c>
      <c r="J38" s="2974" t="s">
        <v>3144</v>
      </c>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row>
    <row r="39" spans="1:32">
      <c r="A39" s="2972">
        <v>38</v>
      </c>
      <c r="B39" s="2974" t="s">
        <v>3220</v>
      </c>
      <c r="C39" s="2973" t="s">
        <v>3211</v>
      </c>
      <c r="D39" s="2981" t="s">
        <v>3215</v>
      </c>
      <c r="E39" s="2974">
        <v>507</v>
      </c>
      <c r="F39" s="2980">
        <v>53.82</v>
      </c>
      <c r="G39" s="2979">
        <v>12.25</v>
      </c>
      <c r="H39" s="2979">
        <v>66.069999999999993</v>
      </c>
      <c r="I39" s="2979" t="s">
        <v>3055</v>
      </c>
      <c r="J39" s="2974" t="s">
        <v>3143</v>
      </c>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row>
    <row r="40" spans="1:32">
      <c r="A40" s="2972">
        <v>39</v>
      </c>
      <c r="B40" s="2974" t="s">
        <v>3220</v>
      </c>
      <c r="C40" s="2973" t="s">
        <v>3212</v>
      </c>
      <c r="D40" s="2981" t="s">
        <v>3213</v>
      </c>
      <c r="E40" s="2974">
        <v>607</v>
      </c>
      <c r="F40" s="2980">
        <v>77.17</v>
      </c>
      <c r="G40" s="2979">
        <v>17.57</v>
      </c>
      <c r="H40" s="2979">
        <v>94.740000000000009</v>
      </c>
      <c r="I40" s="2979" t="s">
        <v>3055</v>
      </c>
      <c r="J40" s="2974" t="s">
        <v>3144</v>
      </c>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row>
    <row r="41" spans="1:32">
      <c r="A41" s="2972">
        <v>40</v>
      </c>
      <c r="B41" s="2974" t="s">
        <v>3220</v>
      </c>
      <c r="C41" s="2973" t="s">
        <v>3212</v>
      </c>
      <c r="D41" s="2981" t="s">
        <v>3215</v>
      </c>
      <c r="E41" s="2974">
        <v>602</v>
      </c>
      <c r="F41" s="2980">
        <v>56.66</v>
      </c>
      <c r="G41" s="2979">
        <v>12.9</v>
      </c>
      <c r="H41" s="2979">
        <v>69.56</v>
      </c>
      <c r="I41" s="2979" t="s">
        <v>3055</v>
      </c>
      <c r="J41" s="2974" t="s">
        <v>3144</v>
      </c>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row>
    <row r="42" spans="1:32">
      <c r="A42" s="2972">
        <v>41</v>
      </c>
      <c r="B42" s="2974" t="s">
        <v>3220</v>
      </c>
      <c r="C42" s="2973" t="s">
        <v>3212</v>
      </c>
      <c r="D42" s="2981" t="s">
        <v>3215</v>
      </c>
      <c r="E42" s="2974">
        <v>607</v>
      </c>
      <c r="F42" s="2980">
        <v>53.82</v>
      </c>
      <c r="G42" s="2979">
        <v>12.25</v>
      </c>
      <c r="H42" s="2979">
        <v>66.069999999999993</v>
      </c>
      <c r="I42" s="2979" t="s">
        <v>3055</v>
      </c>
      <c r="J42" s="2974" t="s">
        <v>3143</v>
      </c>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row>
    <row r="43" spans="1:32">
      <c r="A43" s="2972">
        <v>42</v>
      </c>
      <c r="B43" s="2974" t="s">
        <v>3227</v>
      </c>
      <c r="C43" s="2973" t="s">
        <v>3207</v>
      </c>
      <c r="D43" s="2981" t="s">
        <v>3213</v>
      </c>
      <c r="E43" s="2974">
        <v>101</v>
      </c>
      <c r="F43" s="2974">
        <v>52.63</v>
      </c>
      <c r="G43" s="2979">
        <v>14.6</v>
      </c>
      <c r="H43" s="2979">
        <v>67.23</v>
      </c>
      <c r="I43" s="2979" t="s">
        <v>3055</v>
      </c>
      <c r="J43" s="2974" t="s">
        <v>3143</v>
      </c>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row>
    <row r="44" spans="1:32">
      <c r="A44" s="2972">
        <v>43</v>
      </c>
      <c r="B44" s="2974" t="s">
        <v>3227</v>
      </c>
      <c r="C44" s="2973" t="s">
        <v>3207</v>
      </c>
      <c r="D44" s="2981" t="s">
        <v>3213</v>
      </c>
      <c r="E44" s="2974">
        <v>102</v>
      </c>
      <c r="F44" s="2974">
        <v>67.849999999999994</v>
      </c>
      <c r="G44" s="2979">
        <v>18.82</v>
      </c>
      <c r="H44" s="2979">
        <v>86.669999999999987</v>
      </c>
      <c r="I44" s="2979" t="s">
        <v>3055</v>
      </c>
      <c r="J44" s="2974" t="s">
        <v>3144</v>
      </c>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row>
    <row r="45" spans="1:32">
      <c r="A45" s="2972">
        <v>44</v>
      </c>
      <c r="B45" s="2974" t="s">
        <v>3227</v>
      </c>
      <c r="C45" s="2973" t="s">
        <v>3207</v>
      </c>
      <c r="D45" s="2981" t="s">
        <v>3213</v>
      </c>
      <c r="E45" s="2974">
        <v>103</v>
      </c>
      <c r="F45" s="2974">
        <v>67.849999999999994</v>
      </c>
      <c r="G45" s="2979">
        <v>18.82</v>
      </c>
      <c r="H45" s="2979">
        <v>86.669999999999987</v>
      </c>
      <c r="I45" s="2979" t="s">
        <v>3055</v>
      </c>
      <c r="J45" s="2974" t="s">
        <v>3144</v>
      </c>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row>
    <row r="46" spans="1:32">
      <c r="A46" s="2972">
        <v>45</v>
      </c>
      <c r="B46" s="2974" t="s">
        <v>3227</v>
      </c>
      <c r="C46" s="2973" t="s">
        <v>3207</v>
      </c>
      <c r="D46" s="2981" t="s">
        <v>3213</v>
      </c>
      <c r="E46" s="2974">
        <v>105</v>
      </c>
      <c r="F46" s="2980">
        <v>56.74</v>
      </c>
      <c r="G46" s="2979">
        <v>15.74</v>
      </c>
      <c r="H46" s="2979">
        <v>72.48</v>
      </c>
      <c r="I46" s="2979" t="s">
        <v>3055</v>
      </c>
      <c r="J46" s="2974" t="s">
        <v>3144</v>
      </c>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row>
    <row r="47" spans="1:32">
      <c r="A47" s="2972">
        <v>46</v>
      </c>
      <c r="B47" s="2974" t="s">
        <v>3227</v>
      </c>
      <c r="C47" s="2973" t="s">
        <v>3207</v>
      </c>
      <c r="D47" s="2981" t="s">
        <v>3215</v>
      </c>
      <c r="E47" s="2974">
        <v>101</v>
      </c>
      <c r="F47" s="2974">
        <v>77.27</v>
      </c>
      <c r="G47" s="2979">
        <v>20.04</v>
      </c>
      <c r="H47" s="2979">
        <v>97.31</v>
      </c>
      <c r="I47" s="2979" t="s">
        <v>3055</v>
      </c>
      <c r="J47" s="2974" t="s">
        <v>3144</v>
      </c>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row>
    <row r="48" spans="1:32">
      <c r="A48" s="2972">
        <v>47</v>
      </c>
      <c r="B48" s="2974" t="s">
        <v>3227</v>
      </c>
      <c r="C48" s="2973" t="s">
        <v>3207</v>
      </c>
      <c r="D48" s="2981" t="s">
        <v>3215</v>
      </c>
      <c r="E48" s="2974">
        <v>102</v>
      </c>
      <c r="F48" s="2974">
        <v>67.849999999999994</v>
      </c>
      <c r="G48" s="2979">
        <v>17.600000000000001</v>
      </c>
      <c r="H48" s="2979">
        <v>85.449999999999989</v>
      </c>
      <c r="I48" s="2979" t="s">
        <v>3055</v>
      </c>
      <c r="J48" s="2974" t="s">
        <v>3144</v>
      </c>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row>
    <row r="49" spans="1:32">
      <c r="A49" s="2972">
        <v>48</v>
      </c>
      <c r="B49" s="2974" t="s">
        <v>3227</v>
      </c>
      <c r="C49" s="2973" t="s">
        <v>3207</v>
      </c>
      <c r="D49" s="2981" t="s">
        <v>3215</v>
      </c>
      <c r="E49" s="2974">
        <v>103</v>
      </c>
      <c r="F49" s="2974">
        <v>67.849999999999994</v>
      </c>
      <c r="G49" s="2979">
        <v>17.600000000000001</v>
      </c>
      <c r="H49" s="2979">
        <v>85.449999999999989</v>
      </c>
      <c r="I49" s="2979" t="s">
        <v>3055</v>
      </c>
      <c r="J49" s="2974" t="s">
        <v>3144</v>
      </c>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row>
    <row r="50" spans="1:32">
      <c r="A50" s="2972">
        <v>49</v>
      </c>
      <c r="B50" s="2974" t="s">
        <v>3227</v>
      </c>
      <c r="C50" s="2973" t="s">
        <v>3207</v>
      </c>
      <c r="D50" s="2981" t="s">
        <v>3215</v>
      </c>
      <c r="E50" s="2974">
        <v>105</v>
      </c>
      <c r="F50" s="2980">
        <v>52.63</v>
      </c>
      <c r="G50" s="2979">
        <v>13.65</v>
      </c>
      <c r="H50" s="2979">
        <v>66.28</v>
      </c>
      <c r="I50" s="2979" t="s">
        <v>3055</v>
      </c>
      <c r="J50" s="2974" t="s">
        <v>3143</v>
      </c>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row>
    <row r="51" spans="1:32">
      <c r="A51" s="2972">
        <v>50</v>
      </c>
      <c r="B51" s="2974" t="s">
        <v>3227</v>
      </c>
      <c r="C51" s="2973" t="s">
        <v>3208</v>
      </c>
      <c r="D51" s="2981" t="s">
        <v>3213</v>
      </c>
      <c r="E51" s="2974">
        <v>202</v>
      </c>
      <c r="F51" s="2974">
        <v>67.849999999999994</v>
      </c>
      <c r="G51" s="2979">
        <v>18.82</v>
      </c>
      <c r="H51" s="2979">
        <v>86.669999999999987</v>
      </c>
      <c r="I51" s="2979" t="s">
        <v>3055</v>
      </c>
      <c r="J51" s="2974" t="s">
        <v>3144</v>
      </c>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row>
    <row r="52" spans="1:32">
      <c r="A52" s="2972">
        <v>51</v>
      </c>
      <c r="B52" s="2974" t="s">
        <v>3227</v>
      </c>
      <c r="C52" s="2973" t="s">
        <v>3208</v>
      </c>
      <c r="D52" s="2981" t="s">
        <v>3213</v>
      </c>
      <c r="E52" s="2974">
        <v>203</v>
      </c>
      <c r="F52" s="2974">
        <v>67.849999999999994</v>
      </c>
      <c r="G52" s="2979">
        <v>18.82</v>
      </c>
      <c r="H52" s="2979">
        <v>86.669999999999987</v>
      </c>
      <c r="I52" s="2979" t="s">
        <v>3055</v>
      </c>
      <c r="J52" s="2974" t="s">
        <v>3144</v>
      </c>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row>
    <row r="53" spans="1:32">
      <c r="A53" s="2972">
        <v>52</v>
      </c>
      <c r="B53" s="2974" t="s">
        <v>3227</v>
      </c>
      <c r="C53" s="2973" t="s">
        <v>3208</v>
      </c>
      <c r="D53" s="2981" t="s">
        <v>3215</v>
      </c>
      <c r="E53" s="2974">
        <v>201</v>
      </c>
      <c r="F53" s="2974">
        <v>77.27</v>
      </c>
      <c r="G53" s="2979">
        <v>20.04</v>
      </c>
      <c r="H53" s="2979">
        <v>97.31</v>
      </c>
      <c r="I53" s="2979" t="s">
        <v>3055</v>
      </c>
      <c r="J53" s="2974" t="s">
        <v>3144</v>
      </c>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row>
    <row r="54" spans="1:32">
      <c r="A54" s="2972">
        <v>53</v>
      </c>
      <c r="B54" s="2974" t="s">
        <v>3227</v>
      </c>
      <c r="C54" s="2973" t="s">
        <v>3209</v>
      </c>
      <c r="D54" s="2981" t="s">
        <v>3213</v>
      </c>
      <c r="E54" s="2974">
        <v>302</v>
      </c>
      <c r="F54" s="2974">
        <v>67.849999999999994</v>
      </c>
      <c r="G54" s="2979">
        <v>18.82</v>
      </c>
      <c r="H54" s="2979">
        <v>86.669999999999987</v>
      </c>
      <c r="I54" s="2979" t="s">
        <v>3055</v>
      </c>
      <c r="J54" s="2974" t="s">
        <v>3144</v>
      </c>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row>
    <row r="55" spans="1:32">
      <c r="A55" s="2972">
        <v>54</v>
      </c>
      <c r="B55" s="2974" t="s">
        <v>3227</v>
      </c>
      <c r="C55" s="2973" t="s">
        <v>3209</v>
      </c>
      <c r="D55" s="2981" t="s">
        <v>3213</v>
      </c>
      <c r="E55" s="2974">
        <v>305</v>
      </c>
      <c r="F55" s="2974">
        <v>56.74</v>
      </c>
      <c r="G55" s="2979">
        <v>15.74</v>
      </c>
      <c r="H55" s="2979">
        <v>72.48</v>
      </c>
      <c r="I55" s="2979" t="s">
        <v>3055</v>
      </c>
      <c r="J55" s="2974" t="s">
        <v>3144</v>
      </c>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row>
    <row r="56" spans="1:32">
      <c r="A56" s="2972">
        <v>55</v>
      </c>
      <c r="B56" s="2974" t="s">
        <v>3227</v>
      </c>
      <c r="C56" s="2973" t="s">
        <v>3210</v>
      </c>
      <c r="D56" s="2981" t="s">
        <v>3215</v>
      </c>
      <c r="E56" s="2974" t="s">
        <v>3145</v>
      </c>
      <c r="F56" s="2974">
        <v>77.27</v>
      </c>
      <c r="G56" s="2979">
        <v>20.04</v>
      </c>
      <c r="H56" s="2979">
        <v>97.31</v>
      </c>
      <c r="I56" s="2979" t="s">
        <v>3055</v>
      </c>
      <c r="J56" s="2974" t="s">
        <v>3144</v>
      </c>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row>
    <row r="57" spans="1:32">
      <c r="A57" s="2972">
        <v>56</v>
      </c>
      <c r="B57" s="2974" t="s">
        <v>3227</v>
      </c>
      <c r="C57" s="2973" t="s">
        <v>3210</v>
      </c>
      <c r="D57" s="2981" t="s">
        <v>3215</v>
      </c>
      <c r="E57" s="2974" t="s">
        <v>3148</v>
      </c>
      <c r="F57" s="2974">
        <v>52.63</v>
      </c>
      <c r="G57" s="2979">
        <v>13.65</v>
      </c>
      <c r="H57" s="2979">
        <v>66.28</v>
      </c>
      <c r="I57" s="2979" t="s">
        <v>3055</v>
      </c>
      <c r="J57" s="2974" t="s">
        <v>3143</v>
      </c>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row>
    <row r="58" spans="1:32">
      <c r="A58" s="2972">
        <v>57</v>
      </c>
      <c r="B58" s="2974" t="s">
        <v>3227</v>
      </c>
      <c r="C58" s="2973" t="s">
        <v>3211</v>
      </c>
      <c r="D58" s="2981" t="s">
        <v>3213</v>
      </c>
      <c r="E58" s="2974">
        <v>503</v>
      </c>
      <c r="F58" s="2974">
        <v>67.849999999999994</v>
      </c>
      <c r="G58" s="2979">
        <v>18.82</v>
      </c>
      <c r="H58" s="2979">
        <v>86.669999999999987</v>
      </c>
      <c r="I58" s="2979" t="s">
        <v>3055</v>
      </c>
      <c r="J58" s="2974" t="s">
        <v>3144</v>
      </c>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row>
    <row r="59" spans="1:32">
      <c r="A59" s="2972">
        <v>58</v>
      </c>
      <c r="B59" s="2974" t="s">
        <v>3227</v>
      </c>
      <c r="C59" s="2973" t="s">
        <v>3211</v>
      </c>
      <c r="D59" s="2981" t="s">
        <v>3213</v>
      </c>
      <c r="E59" s="2974">
        <v>505</v>
      </c>
      <c r="F59" s="2974">
        <v>56.74</v>
      </c>
      <c r="G59" s="2979">
        <v>15.74</v>
      </c>
      <c r="H59" s="2979">
        <v>72.48</v>
      </c>
      <c r="I59" s="2979" t="s">
        <v>3055</v>
      </c>
      <c r="J59" s="2974" t="s">
        <v>3144</v>
      </c>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row>
    <row r="60" spans="1:32">
      <c r="A60" s="2972">
        <v>59</v>
      </c>
      <c r="B60" s="2974" t="s">
        <v>3227</v>
      </c>
      <c r="C60" s="2973" t="s">
        <v>3212</v>
      </c>
      <c r="D60" s="2981" t="s">
        <v>3213</v>
      </c>
      <c r="E60" s="2974">
        <v>602</v>
      </c>
      <c r="F60" s="2974">
        <v>67.849999999999994</v>
      </c>
      <c r="G60" s="2979">
        <v>18.82</v>
      </c>
      <c r="H60" s="2979">
        <v>86.669999999999987</v>
      </c>
      <c r="I60" s="2979" t="s">
        <v>3055</v>
      </c>
      <c r="J60" s="2974" t="s">
        <v>3144</v>
      </c>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row>
    <row r="61" spans="1:32">
      <c r="A61" s="2972">
        <v>60</v>
      </c>
      <c r="B61" s="2974" t="s">
        <v>3227</v>
      </c>
      <c r="C61" s="2973" t="s">
        <v>3212</v>
      </c>
      <c r="D61" s="2981" t="s">
        <v>3213</v>
      </c>
      <c r="E61" s="2974">
        <v>603</v>
      </c>
      <c r="F61" s="2974">
        <v>67.849999999999994</v>
      </c>
      <c r="G61" s="2979">
        <v>18.82</v>
      </c>
      <c r="H61" s="2979">
        <v>86.669999999999987</v>
      </c>
      <c r="I61" s="2979" t="s">
        <v>3055</v>
      </c>
      <c r="J61" s="2974" t="s">
        <v>3144</v>
      </c>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row>
    <row r="62" spans="1:32">
      <c r="A62" s="2972">
        <v>61</v>
      </c>
      <c r="B62" s="2974" t="s">
        <v>3227</v>
      </c>
      <c r="C62" s="2973" t="s">
        <v>3212</v>
      </c>
      <c r="D62" s="2981" t="s">
        <v>3215</v>
      </c>
      <c r="E62" s="2974">
        <v>601</v>
      </c>
      <c r="F62" s="2974">
        <v>77.27</v>
      </c>
      <c r="G62" s="2979">
        <v>20.04</v>
      </c>
      <c r="H62" s="2979">
        <v>97.31</v>
      </c>
      <c r="I62" s="2979" t="s">
        <v>3055</v>
      </c>
      <c r="J62" s="2974" t="s">
        <v>3144</v>
      </c>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row>
    <row r="63" spans="1:32">
      <c r="A63" s="2972">
        <v>62</v>
      </c>
      <c r="B63" s="2974" t="s">
        <v>3238</v>
      </c>
      <c r="C63" s="2982" t="s">
        <v>3152</v>
      </c>
      <c r="D63" s="2974" t="s">
        <v>3215</v>
      </c>
      <c r="E63" s="2982">
        <v>101</v>
      </c>
      <c r="F63" s="2983">
        <v>77.27</v>
      </c>
      <c r="G63" s="2979">
        <v>19.77</v>
      </c>
      <c r="H63" s="2979">
        <v>97.039999999999992</v>
      </c>
      <c r="I63" s="2974" t="s">
        <v>3055</v>
      </c>
      <c r="J63" s="2981" t="s">
        <v>3155</v>
      </c>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row>
    <row r="64" spans="1:32">
      <c r="A64" s="2972">
        <v>63</v>
      </c>
      <c r="B64" s="2974" t="s">
        <v>3238</v>
      </c>
      <c r="C64" s="2982" t="s">
        <v>3152</v>
      </c>
      <c r="D64" s="2974" t="s">
        <v>3215</v>
      </c>
      <c r="E64" s="2982">
        <v>102</v>
      </c>
      <c r="F64" s="2983">
        <v>68.87</v>
      </c>
      <c r="G64" s="2979">
        <v>17.62</v>
      </c>
      <c r="H64" s="2979">
        <v>86.490000000000009</v>
      </c>
      <c r="I64" s="2974" t="s">
        <v>3055</v>
      </c>
      <c r="J64" s="2981" t="s">
        <v>3162</v>
      </c>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row>
    <row r="65" spans="1:32">
      <c r="A65" s="2972">
        <v>64</v>
      </c>
      <c r="B65" s="2974" t="s">
        <v>3238</v>
      </c>
      <c r="C65" s="2982" t="s">
        <v>3152</v>
      </c>
      <c r="D65" s="2974" t="s">
        <v>3215</v>
      </c>
      <c r="E65" s="2982">
        <v>103</v>
      </c>
      <c r="F65" s="2983">
        <v>68.87</v>
      </c>
      <c r="G65" s="2979">
        <v>17.62</v>
      </c>
      <c r="H65" s="2979">
        <v>86.490000000000009</v>
      </c>
      <c r="I65" s="2974" t="s">
        <v>3055</v>
      </c>
      <c r="J65" s="2981" t="s">
        <v>3162</v>
      </c>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row>
    <row r="66" spans="1:32">
      <c r="A66" s="2972">
        <v>65</v>
      </c>
      <c r="B66" s="2974" t="s">
        <v>3238</v>
      </c>
      <c r="C66" s="2982" t="s">
        <v>3152</v>
      </c>
      <c r="D66" s="2974" t="s">
        <v>3215</v>
      </c>
      <c r="E66" s="2982">
        <v>105</v>
      </c>
      <c r="F66" s="2983">
        <v>52.98</v>
      </c>
      <c r="G66" s="2979">
        <v>13.56</v>
      </c>
      <c r="H66" s="2979">
        <v>66.539999999999992</v>
      </c>
      <c r="I66" s="2974" t="s">
        <v>3055</v>
      </c>
      <c r="J66" s="2981" t="s">
        <v>3154</v>
      </c>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row>
    <row r="67" spans="1:32">
      <c r="A67" s="2972">
        <v>66</v>
      </c>
      <c r="B67" s="2974" t="s">
        <v>3238</v>
      </c>
      <c r="C67" s="2982" t="s">
        <v>3152</v>
      </c>
      <c r="D67" s="2974" t="s">
        <v>3213</v>
      </c>
      <c r="E67" s="2982">
        <v>106</v>
      </c>
      <c r="F67" s="2983">
        <v>52.98</v>
      </c>
      <c r="G67" s="2979">
        <v>14.49</v>
      </c>
      <c r="H67" s="2979">
        <v>67.47</v>
      </c>
      <c r="I67" s="2974" t="s">
        <v>3055</v>
      </c>
      <c r="J67" s="2981" t="s">
        <v>3154</v>
      </c>
      <c r="L67" s="2976"/>
      <c r="M67" s="2976"/>
      <c r="N67" s="2976"/>
      <c r="O67" s="2976"/>
      <c r="P67" s="2976"/>
      <c r="Q67" s="2976"/>
      <c r="R67" s="2976"/>
      <c r="S67" s="2976"/>
      <c r="T67" s="2976"/>
      <c r="U67" s="2976"/>
      <c r="V67" s="2976"/>
      <c r="W67" s="2976"/>
      <c r="X67" s="2976"/>
      <c r="Y67" s="2976"/>
      <c r="Z67" s="2976"/>
      <c r="AA67" s="2976"/>
      <c r="AB67" s="2976"/>
      <c r="AC67" s="2976"/>
      <c r="AD67" s="2976"/>
      <c r="AE67" s="2976"/>
      <c r="AF67" s="2976"/>
    </row>
    <row r="68" spans="1:32">
      <c r="A68" s="2972">
        <v>67</v>
      </c>
      <c r="B68" s="2974" t="s">
        <v>3238</v>
      </c>
      <c r="C68" s="2982" t="s">
        <v>3152</v>
      </c>
      <c r="D68" s="2974" t="s">
        <v>3213</v>
      </c>
      <c r="E68" s="2982">
        <v>107</v>
      </c>
      <c r="F68" s="2983">
        <v>68.87</v>
      </c>
      <c r="G68" s="2979">
        <v>18.84</v>
      </c>
      <c r="H68" s="2979">
        <v>87.710000000000008</v>
      </c>
      <c r="I68" s="2974" t="s">
        <v>3055</v>
      </c>
      <c r="J68" s="2981" t="s">
        <v>3162</v>
      </c>
      <c r="L68" s="2976"/>
      <c r="M68" s="2976"/>
      <c r="N68" s="2976"/>
      <c r="O68" s="2976"/>
      <c r="P68" s="2976"/>
      <c r="Q68" s="2976"/>
      <c r="R68" s="2976"/>
      <c r="S68" s="2976"/>
      <c r="T68" s="2976"/>
      <c r="U68" s="2976"/>
      <c r="V68" s="2976"/>
      <c r="W68" s="2976"/>
      <c r="X68" s="2976"/>
      <c r="Y68" s="2976"/>
      <c r="Z68" s="2976"/>
      <c r="AA68" s="2976"/>
      <c r="AB68" s="2976"/>
      <c r="AC68" s="2976"/>
      <c r="AD68" s="2976"/>
      <c r="AE68" s="2976"/>
      <c r="AF68" s="2976"/>
    </row>
    <row r="69" spans="1:32">
      <c r="A69" s="2972">
        <v>68</v>
      </c>
      <c r="B69" s="2974" t="s">
        <v>3238</v>
      </c>
      <c r="C69" s="2982" t="s">
        <v>3152</v>
      </c>
      <c r="D69" s="2974" t="s">
        <v>3213</v>
      </c>
      <c r="E69" s="2982">
        <v>108</v>
      </c>
      <c r="F69" s="2983">
        <v>68.87</v>
      </c>
      <c r="G69" s="2979">
        <v>18.84</v>
      </c>
      <c r="H69" s="2979">
        <v>87.710000000000008</v>
      </c>
      <c r="I69" s="2974" t="s">
        <v>3055</v>
      </c>
      <c r="J69" s="2981" t="s">
        <v>3162</v>
      </c>
      <c r="L69" s="2976"/>
      <c r="M69" s="2976"/>
      <c r="N69" s="2976"/>
      <c r="O69" s="2976"/>
      <c r="P69" s="2976"/>
      <c r="Q69" s="2976"/>
      <c r="R69" s="2976"/>
      <c r="S69" s="2976"/>
      <c r="T69" s="2976"/>
      <c r="U69" s="2976"/>
      <c r="V69" s="2976"/>
      <c r="W69" s="2976"/>
      <c r="X69" s="2976"/>
      <c r="Y69" s="2976"/>
      <c r="Z69" s="2976"/>
      <c r="AA69" s="2976"/>
      <c r="AB69" s="2976"/>
      <c r="AC69" s="2976"/>
      <c r="AD69" s="2976"/>
      <c r="AE69" s="2976"/>
      <c r="AF69" s="2976"/>
    </row>
    <row r="70" spans="1:32">
      <c r="A70" s="2972">
        <v>69</v>
      </c>
      <c r="B70" s="2974" t="s">
        <v>3238</v>
      </c>
      <c r="C70" s="2982" t="s">
        <v>3152</v>
      </c>
      <c r="D70" s="2974" t="s">
        <v>3213</v>
      </c>
      <c r="E70" s="2982">
        <v>109</v>
      </c>
      <c r="F70" s="2974">
        <v>56.75</v>
      </c>
      <c r="G70" s="2979">
        <v>15.52</v>
      </c>
      <c r="H70" s="2979">
        <v>72.27</v>
      </c>
      <c r="I70" s="2974" t="s">
        <v>3055</v>
      </c>
      <c r="J70" s="2981" t="s">
        <v>3155</v>
      </c>
      <c r="L70" s="2976"/>
      <c r="M70" s="2976"/>
      <c r="N70" s="2976"/>
      <c r="O70" s="2976"/>
      <c r="P70" s="2976"/>
      <c r="Q70" s="2976"/>
      <c r="R70" s="2976"/>
      <c r="S70" s="2976"/>
      <c r="T70" s="2976"/>
      <c r="U70" s="2976"/>
      <c r="V70" s="2976"/>
      <c r="W70" s="2976"/>
      <c r="X70" s="2976"/>
      <c r="Y70" s="2976"/>
      <c r="Z70" s="2976"/>
      <c r="AA70" s="2976"/>
      <c r="AB70" s="2976"/>
      <c r="AC70" s="2976"/>
      <c r="AD70" s="2976"/>
      <c r="AE70" s="2976"/>
      <c r="AF70" s="2976"/>
    </row>
    <row r="71" spans="1:32">
      <c r="A71" s="2972">
        <v>70</v>
      </c>
      <c r="B71" s="2974" t="s">
        <v>3238</v>
      </c>
      <c r="C71" s="2982" t="s">
        <v>3159</v>
      </c>
      <c r="D71" s="2974" t="s">
        <v>3215</v>
      </c>
      <c r="E71" s="2982">
        <v>201</v>
      </c>
      <c r="F71" s="2983">
        <v>77.27</v>
      </c>
      <c r="G71" s="2979">
        <v>19.77</v>
      </c>
      <c r="H71" s="2979">
        <v>97.039999999999992</v>
      </c>
      <c r="I71" s="2974" t="s">
        <v>3055</v>
      </c>
      <c r="J71" s="2981" t="s">
        <v>3155</v>
      </c>
      <c r="L71" s="2976"/>
      <c r="M71" s="2976"/>
      <c r="N71" s="2976"/>
      <c r="O71" s="2976"/>
      <c r="P71" s="2976"/>
      <c r="Q71" s="2976"/>
      <c r="R71" s="2976"/>
      <c r="S71" s="2976"/>
      <c r="T71" s="2976"/>
      <c r="U71" s="2976"/>
      <c r="V71" s="2976"/>
      <c r="W71" s="2976"/>
      <c r="X71" s="2976"/>
      <c r="Y71" s="2976"/>
      <c r="Z71" s="2976"/>
      <c r="AA71" s="2976"/>
      <c r="AB71" s="2976"/>
      <c r="AC71" s="2976"/>
      <c r="AD71" s="2976"/>
      <c r="AE71" s="2976"/>
      <c r="AF71" s="2976"/>
    </row>
    <row r="72" spans="1:32">
      <c r="A72" s="2972">
        <v>71</v>
      </c>
      <c r="B72" s="2974" t="s">
        <v>3238</v>
      </c>
      <c r="C72" s="2982" t="s">
        <v>3159</v>
      </c>
      <c r="D72" s="2974" t="s">
        <v>3215</v>
      </c>
      <c r="E72" s="2982">
        <v>202</v>
      </c>
      <c r="F72" s="2983">
        <v>68.87</v>
      </c>
      <c r="G72" s="2979">
        <v>17.62</v>
      </c>
      <c r="H72" s="2979">
        <v>86.490000000000009</v>
      </c>
      <c r="I72" s="2974" t="s">
        <v>3055</v>
      </c>
      <c r="J72" s="2981" t="s">
        <v>3162</v>
      </c>
      <c r="L72" s="2976"/>
      <c r="M72" s="2976"/>
      <c r="N72" s="2976"/>
      <c r="O72" s="2976"/>
      <c r="P72" s="2976"/>
      <c r="Q72" s="2976"/>
      <c r="R72" s="2976"/>
      <c r="S72" s="2976"/>
      <c r="T72" s="2976"/>
      <c r="U72" s="2976"/>
      <c r="V72" s="2976"/>
      <c r="W72" s="2976"/>
      <c r="X72" s="2976"/>
      <c r="Y72" s="2976"/>
      <c r="Z72" s="2976"/>
      <c r="AA72" s="2976"/>
      <c r="AB72" s="2976"/>
      <c r="AC72" s="2976"/>
      <c r="AD72" s="2976"/>
      <c r="AE72" s="2976"/>
      <c r="AF72" s="2976"/>
    </row>
    <row r="73" spans="1:32">
      <c r="A73" s="2972">
        <v>72</v>
      </c>
      <c r="B73" s="2974" t="s">
        <v>3238</v>
      </c>
      <c r="C73" s="2982" t="s">
        <v>3159</v>
      </c>
      <c r="D73" s="2974" t="s">
        <v>3215</v>
      </c>
      <c r="E73" s="2982">
        <v>203</v>
      </c>
      <c r="F73" s="2983">
        <v>68.87</v>
      </c>
      <c r="G73" s="2979">
        <v>17.62</v>
      </c>
      <c r="H73" s="2979">
        <v>86.490000000000009</v>
      </c>
      <c r="I73" s="2974" t="s">
        <v>3055</v>
      </c>
      <c r="J73" s="2981" t="s">
        <v>3162</v>
      </c>
      <c r="L73" s="2976"/>
      <c r="M73" s="2976"/>
      <c r="N73" s="2976"/>
      <c r="O73" s="2976"/>
      <c r="P73" s="2976"/>
      <c r="Q73" s="2976"/>
      <c r="R73" s="2976"/>
      <c r="S73" s="2976"/>
      <c r="T73" s="2976"/>
      <c r="U73" s="2976"/>
      <c r="V73" s="2976"/>
      <c r="W73" s="2976"/>
      <c r="X73" s="2976"/>
      <c r="Y73" s="2976"/>
      <c r="Z73" s="2976"/>
      <c r="AA73" s="2976"/>
      <c r="AB73" s="2976"/>
      <c r="AC73" s="2976"/>
      <c r="AD73" s="2976"/>
      <c r="AE73" s="2976"/>
      <c r="AF73" s="2976"/>
    </row>
    <row r="74" spans="1:32">
      <c r="A74" s="2972">
        <v>73</v>
      </c>
      <c r="B74" s="2974" t="s">
        <v>3238</v>
      </c>
      <c r="C74" s="2982" t="s">
        <v>3159</v>
      </c>
      <c r="D74" s="2974" t="s">
        <v>3215</v>
      </c>
      <c r="E74" s="2982">
        <v>205</v>
      </c>
      <c r="F74" s="2983">
        <v>52.98</v>
      </c>
      <c r="G74" s="2979">
        <v>13.56</v>
      </c>
      <c r="H74" s="2979">
        <v>66.539999999999992</v>
      </c>
      <c r="I74" s="2974" t="s">
        <v>3055</v>
      </c>
      <c r="J74" s="2981" t="s">
        <v>3154</v>
      </c>
      <c r="L74" s="2976"/>
      <c r="M74" s="2976"/>
      <c r="N74" s="2976"/>
      <c r="O74" s="2976"/>
      <c r="P74" s="2976"/>
      <c r="Q74" s="2976"/>
      <c r="R74" s="2976"/>
      <c r="S74" s="2976"/>
      <c r="T74" s="2976"/>
      <c r="U74" s="2976"/>
      <c r="V74" s="2976"/>
      <c r="W74" s="2976"/>
      <c r="X74" s="2976"/>
      <c r="Y74" s="2976"/>
      <c r="Z74" s="2976"/>
      <c r="AA74" s="2976"/>
      <c r="AB74" s="2976"/>
      <c r="AC74" s="2976"/>
      <c r="AD74" s="2976"/>
      <c r="AE74" s="2976"/>
      <c r="AF74" s="2976"/>
    </row>
    <row r="75" spans="1:32">
      <c r="A75" s="2972">
        <v>74</v>
      </c>
      <c r="B75" s="2974" t="s">
        <v>3238</v>
      </c>
      <c r="C75" s="2982" t="s">
        <v>3159</v>
      </c>
      <c r="D75" s="2974" t="s">
        <v>3213</v>
      </c>
      <c r="E75" s="2982">
        <v>206</v>
      </c>
      <c r="F75" s="2983">
        <v>52.98</v>
      </c>
      <c r="G75" s="2979">
        <v>14.49</v>
      </c>
      <c r="H75" s="2979">
        <v>67.47</v>
      </c>
      <c r="I75" s="2974" t="s">
        <v>3055</v>
      </c>
      <c r="J75" s="2981" t="s">
        <v>3154</v>
      </c>
      <c r="L75" s="2976"/>
      <c r="M75" s="2976"/>
      <c r="N75" s="2976"/>
      <c r="O75" s="2976"/>
      <c r="P75" s="2976"/>
      <c r="Q75" s="2976"/>
      <c r="R75" s="2976"/>
      <c r="S75" s="2976"/>
      <c r="T75" s="2976"/>
      <c r="U75" s="2976"/>
      <c r="V75" s="2976"/>
      <c r="W75" s="2976"/>
      <c r="X75" s="2976"/>
      <c r="Y75" s="2976"/>
      <c r="Z75" s="2976"/>
      <c r="AA75" s="2976"/>
      <c r="AB75" s="2976"/>
      <c r="AC75" s="2976"/>
      <c r="AD75" s="2976"/>
      <c r="AE75" s="2976"/>
      <c r="AF75" s="2976"/>
    </row>
    <row r="76" spans="1:32">
      <c r="A76" s="2972">
        <v>75</v>
      </c>
      <c r="B76" s="2974" t="s">
        <v>3238</v>
      </c>
      <c r="C76" s="2982" t="s">
        <v>3159</v>
      </c>
      <c r="D76" s="2974" t="s">
        <v>3213</v>
      </c>
      <c r="E76" s="2982">
        <v>207</v>
      </c>
      <c r="F76" s="2983">
        <v>68.87</v>
      </c>
      <c r="G76" s="2979">
        <v>18.84</v>
      </c>
      <c r="H76" s="2979">
        <v>87.710000000000008</v>
      </c>
      <c r="I76" s="2974" t="s">
        <v>3055</v>
      </c>
      <c r="J76" s="2981" t="s">
        <v>3162</v>
      </c>
      <c r="L76" s="2976"/>
      <c r="M76" s="2976"/>
      <c r="N76" s="2976"/>
      <c r="O76" s="2976"/>
      <c r="P76" s="2976"/>
      <c r="Q76" s="2976"/>
      <c r="R76" s="2976"/>
      <c r="S76" s="2976"/>
      <c r="T76" s="2976"/>
      <c r="U76" s="2976"/>
      <c r="V76" s="2976"/>
      <c r="W76" s="2976"/>
      <c r="X76" s="2976"/>
      <c r="Y76" s="2976"/>
      <c r="Z76" s="2976"/>
      <c r="AA76" s="2976"/>
      <c r="AB76" s="2976"/>
      <c r="AC76" s="2976"/>
      <c r="AD76" s="2976"/>
      <c r="AE76" s="2976"/>
      <c r="AF76" s="2976"/>
    </row>
    <row r="77" spans="1:32">
      <c r="A77" s="2972">
        <v>76</v>
      </c>
      <c r="B77" s="2974" t="s">
        <v>3238</v>
      </c>
      <c r="C77" s="2982" t="s">
        <v>3159</v>
      </c>
      <c r="D77" s="2974" t="s">
        <v>3213</v>
      </c>
      <c r="E77" s="2982">
        <v>208</v>
      </c>
      <c r="F77" s="2983">
        <v>68.87</v>
      </c>
      <c r="G77" s="2979">
        <v>18.84</v>
      </c>
      <c r="H77" s="2979">
        <v>87.710000000000008</v>
      </c>
      <c r="I77" s="2974" t="s">
        <v>3055</v>
      </c>
      <c r="J77" s="2981" t="s">
        <v>3162</v>
      </c>
      <c r="L77" s="2976"/>
      <c r="M77" s="2976"/>
      <c r="N77" s="2976"/>
      <c r="O77" s="2976"/>
      <c r="P77" s="2976"/>
      <c r="Q77" s="2976"/>
      <c r="R77" s="2976"/>
      <c r="S77" s="2976"/>
      <c r="T77" s="2976"/>
      <c r="U77" s="2976"/>
      <c r="V77" s="2976"/>
      <c r="W77" s="2976"/>
      <c r="X77" s="2976"/>
      <c r="Y77" s="2976"/>
      <c r="Z77" s="2976"/>
      <c r="AA77" s="2976"/>
      <c r="AB77" s="2976"/>
      <c r="AC77" s="2976"/>
      <c r="AD77" s="2976"/>
      <c r="AE77" s="2976"/>
      <c r="AF77" s="2976"/>
    </row>
    <row r="78" spans="1:32">
      <c r="A78" s="2972">
        <v>77</v>
      </c>
      <c r="B78" s="2974" t="s">
        <v>3238</v>
      </c>
      <c r="C78" s="2982" t="s">
        <v>3159</v>
      </c>
      <c r="D78" s="2974" t="s">
        <v>3213</v>
      </c>
      <c r="E78" s="2982">
        <v>209</v>
      </c>
      <c r="F78" s="2974">
        <v>56.75</v>
      </c>
      <c r="G78" s="2979">
        <v>15.52</v>
      </c>
      <c r="H78" s="2979">
        <v>72.27</v>
      </c>
      <c r="I78" s="2974" t="s">
        <v>3055</v>
      </c>
      <c r="J78" s="2981" t="s">
        <v>3155</v>
      </c>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row>
    <row r="79" spans="1:32">
      <c r="A79" s="2972">
        <v>78</v>
      </c>
      <c r="B79" s="2974" t="s">
        <v>3238</v>
      </c>
      <c r="C79" s="2982" t="s">
        <v>3153</v>
      </c>
      <c r="D79" s="2974" t="s">
        <v>3215</v>
      </c>
      <c r="E79" s="2982">
        <v>301</v>
      </c>
      <c r="F79" s="2983">
        <v>77.27</v>
      </c>
      <c r="G79" s="2979">
        <v>19.77</v>
      </c>
      <c r="H79" s="2979">
        <v>97.039999999999992</v>
      </c>
      <c r="I79" s="2974" t="s">
        <v>3055</v>
      </c>
      <c r="J79" s="2981" t="s">
        <v>3155</v>
      </c>
      <c r="L79" s="2976"/>
      <c r="M79" s="2976"/>
      <c r="N79" s="2976"/>
      <c r="O79" s="2976"/>
      <c r="P79" s="2976"/>
      <c r="Q79" s="2976"/>
      <c r="R79" s="2976"/>
      <c r="S79" s="2976"/>
      <c r="T79" s="2976"/>
      <c r="U79" s="2976"/>
      <c r="V79" s="2976"/>
      <c r="W79" s="2976"/>
      <c r="X79" s="2976"/>
      <c r="Y79" s="2976"/>
      <c r="Z79" s="2976"/>
      <c r="AA79" s="2976"/>
      <c r="AB79" s="2976"/>
      <c r="AC79" s="2976"/>
      <c r="AD79" s="2976"/>
      <c r="AE79" s="2976"/>
      <c r="AF79" s="2976"/>
    </row>
    <row r="80" spans="1:32">
      <c r="A80" s="2972">
        <v>79</v>
      </c>
      <c r="B80" s="2974" t="s">
        <v>3238</v>
      </c>
      <c r="C80" s="2982" t="s">
        <v>3153</v>
      </c>
      <c r="D80" s="2974" t="s">
        <v>3215</v>
      </c>
      <c r="E80" s="2982">
        <v>302</v>
      </c>
      <c r="F80" s="2983">
        <v>68.87</v>
      </c>
      <c r="G80" s="2979">
        <v>17.62</v>
      </c>
      <c r="H80" s="2979">
        <v>86.490000000000009</v>
      </c>
      <c r="I80" s="2974" t="s">
        <v>3055</v>
      </c>
      <c r="J80" s="2981" t="s">
        <v>3162</v>
      </c>
      <c r="L80" s="2976"/>
      <c r="M80" s="2976"/>
      <c r="N80" s="2976"/>
      <c r="O80" s="2976"/>
      <c r="P80" s="2976"/>
      <c r="Q80" s="2976"/>
      <c r="R80" s="2976"/>
      <c r="S80" s="2976"/>
      <c r="T80" s="2976"/>
      <c r="U80" s="2976"/>
      <c r="V80" s="2976"/>
      <c r="W80" s="2976"/>
      <c r="X80" s="2976"/>
      <c r="Y80" s="2976"/>
      <c r="Z80" s="2976"/>
      <c r="AA80" s="2976"/>
      <c r="AB80" s="2976"/>
      <c r="AC80" s="2976"/>
      <c r="AD80" s="2976"/>
      <c r="AE80" s="2976"/>
      <c r="AF80" s="2976"/>
    </row>
    <row r="81" spans="1:32">
      <c r="A81" s="2972">
        <v>80</v>
      </c>
      <c r="B81" s="2974" t="s">
        <v>3238</v>
      </c>
      <c r="C81" s="2982" t="s">
        <v>3153</v>
      </c>
      <c r="D81" s="2974" t="s">
        <v>3215</v>
      </c>
      <c r="E81" s="2982">
        <v>303</v>
      </c>
      <c r="F81" s="2983">
        <v>68.87</v>
      </c>
      <c r="G81" s="2979">
        <v>17.62</v>
      </c>
      <c r="H81" s="2979">
        <v>86.490000000000009</v>
      </c>
      <c r="I81" s="2974" t="s">
        <v>3055</v>
      </c>
      <c r="J81" s="2981" t="s">
        <v>3162</v>
      </c>
      <c r="L81" s="2976"/>
      <c r="M81" s="2976"/>
      <c r="N81" s="2976"/>
      <c r="O81" s="2976"/>
      <c r="P81" s="2976"/>
      <c r="Q81" s="2976"/>
      <c r="R81" s="2976"/>
      <c r="S81" s="2976"/>
      <c r="T81" s="2976"/>
      <c r="U81" s="2976"/>
      <c r="V81" s="2976"/>
      <c r="W81" s="2976"/>
      <c r="X81" s="2976"/>
      <c r="Y81" s="2976"/>
      <c r="Z81" s="2976"/>
      <c r="AA81" s="2976"/>
      <c r="AB81" s="2976"/>
      <c r="AC81" s="2976"/>
      <c r="AD81" s="2976"/>
      <c r="AE81" s="2976"/>
      <c r="AF81" s="2976"/>
    </row>
    <row r="82" spans="1:32">
      <c r="A82" s="2972">
        <v>81</v>
      </c>
      <c r="B82" s="2974" t="s">
        <v>3238</v>
      </c>
      <c r="C82" s="2982" t="s">
        <v>3153</v>
      </c>
      <c r="D82" s="2974" t="s">
        <v>3215</v>
      </c>
      <c r="E82" s="2982">
        <v>305</v>
      </c>
      <c r="F82" s="2983">
        <v>52.98</v>
      </c>
      <c r="G82" s="2979">
        <v>13.56</v>
      </c>
      <c r="H82" s="2979">
        <v>66.539999999999992</v>
      </c>
      <c r="I82" s="2974" t="s">
        <v>3055</v>
      </c>
      <c r="J82" s="2981" t="s">
        <v>3154</v>
      </c>
      <c r="L82" s="2976"/>
      <c r="M82" s="2976"/>
      <c r="N82" s="2976"/>
      <c r="O82" s="2976"/>
      <c r="P82" s="2976"/>
      <c r="Q82" s="2976"/>
      <c r="R82" s="2976"/>
      <c r="S82" s="2976"/>
      <c r="T82" s="2976"/>
      <c r="U82" s="2976"/>
      <c r="V82" s="2976"/>
      <c r="W82" s="2976"/>
      <c r="X82" s="2976"/>
      <c r="Y82" s="2976"/>
      <c r="Z82" s="2976"/>
      <c r="AA82" s="2976"/>
      <c r="AB82" s="2976"/>
      <c r="AC82" s="2976"/>
      <c r="AD82" s="2976"/>
      <c r="AE82" s="2976"/>
      <c r="AF82" s="2976"/>
    </row>
    <row r="83" spans="1:32">
      <c r="A83" s="2972">
        <v>82</v>
      </c>
      <c r="B83" s="2974" t="s">
        <v>3238</v>
      </c>
      <c r="C83" s="2982" t="s">
        <v>3153</v>
      </c>
      <c r="D83" s="2974" t="s">
        <v>3213</v>
      </c>
      <c r="E83" s="2982">
        <v>306</v>
      </c>
      <c r="F83" s="2983">
        <v>52.98</v>
      </c>
      <c r="G83" s="2979">
        <v>14.49</v>
      </c>
      <c r="H83" s="2979">
        <v>67.47</v>
      </c>
      <c r="I83" s="2974" t="s">
        <v>3055</v>
      </c>
      <c r="J83" s="2981" t="s">
        <v>3154</v>
      </c>
      <c r="L83" s="2976"/>
      <c r="M83" s="2976"/>
      <c r="N83" s="2976"/>
      <c r="O83" s="2976"/>
      <c r="P83" s="2976"/>
      <c r="Q83" s="2976"/>
      <c r="R83" s="2976"/>
      <c r="S83" s="2976"/>
      <c r="T83" s="2976"/>
      <c r="U83" s="2976"/>
      <c r="V83" s="2976"/>
      <c r="W83" s="2976"/>
      <c r="X83" s="2976"/>
      <c r="Y83" s="2976"/>
      <c r="Z83" s="2976"/>
      <c r="AA83" s="2976"/>
      <c r="AB83" s="2976"/>
      <c r="AC83" s="2976"/>
      <c r="AD83" s="2976"/>
      <c r="AE83" s="2976"/>
      <c r="AF83" s="2976"/>
    </row>
    <row r="84" spans="1:32">
      <c r="A84" s="2972">
        <v>83</v>
      </c>
      <c r="B84" s="2974" t="s">
        <v>3238</v>
      </c>
      <c r="C84" s="2982" t="s">
        <v>3153</v>
      </c>
      <c r="D84" s="2974" t="s">
        <v>3213</v>
      </c>
      <c r="E84" s="2982">
        <v>307</v>
      </c>
      <c r="F84" s="2983">
        <v>68.87</v>
      </c>
      <c r="G84" s="2979">
        <v>18.84</v>
      </c>
      <c r="H84" s="2979">
        <v>87.710000000000008</v>
      </c>
      <c r="I84" s="2974" t="s">
        <v>3055</v>
      </c>
      <c r="J84" s="2981" t="s">
        <v>3162</v>
      </c>
      <c r="L84" s="2976"/>
      <c r="M84" s="2976"/>
      <c r="N84" s="2976"/>
      <c r="O84" s="2976"/>
      <c r="P84" s="2976"/>
      <c r="Q84" s="2976"/>
      <c r="R84" s="2976"/>
      <c r="S84" s="2976"/>
      <c r="T84" s="2976"/>
      <c r="U84" s="2976"/>
      <c r="V84" s="2976"/>
      <c r="W84" s="2976"/>
      <c r="X84" s="2976"/>
      <c r="Y84" s="2976"/>
      <c r="Z84" s="2976"/>
      <c r="AA84" s="2976"/>
      <c r="AB84" s="2976"/>
      <c r="AC84" s="2976"/>
      <c r="AD84" s="2976"/>
      <c r="AE84" s="2976"/>
      <c r="AF84" s="2976"/>
    </row>
    <row r="85" spans="1:32">
      <c r="A85" s="2972">
        <v>84</v>
      </c>
      <c r="B85" s="2974" t="s">
        <v>3238</v>
      </c>
      <c r="C85" s="2982" t="s">
        <v>3153</v>
      </c>
      <c r="D85" s="2974" t="s">
        <v>3213</v>
      </c>
      <c r="E85" s="2982">
        <v>308</v>
      </c>
      <c r="F85" s="2983">
        <v>68.87</v>
      </c>
      <c r="G85" s="2979">
        <v>18.84</v>
      </c>
      <c r="H85" s="2979">
        <v>87.710000000000008</v>
      </c>
      <c r="I85" s="2974" t="s">
        <v>3055</v>
      </c>
      <c r="J85" s="2981" t="s">
        <v>3162</v>
      </c>
      <c r="L85" s="2976"/>
      <c r="M85" s="2976"/>
      <c r="N85" s="2976"/>
      <c r="O85" s="2976"/>
      <c r="P85" s="2976"/>
      <c r="Q85" s="2976"/>
      <c r="R85" s="2976"/>
      <c r="S85" s="2976"/>
      <c r="T85" s="2976"/>
      <c r="U85" s="2976"/>
      <c r="V85" s="2976"/>
      <c r="W85" s="2976"/>
      <c r="X85" s="2976"/>
      <c r="Y85" s="2976"/>
      <c r="Z85" s="2976"/>
      <c r="AA85" s="2976"/>
      <c r="AB85" s="2976"/>
      <c r="AC85" s="2976"/>
      <c r="AD85" s="2976"/>
      <c r="AE85" s="2976"/>
      <c r="AF85" s="2976"/>
    </row>
    <row r="86" spans="1:32">
      <c r="A86" s="2972">
        <v>85</v>
      </c>
      <c r="B86" s="2974" t="s">
        <v>3238</v>
      </c>
      <c r="C86" s="2982" t="s">
        <v>3153</v>
      </c>
      <c r="D86" s="2974" t="s">
        <v>3213</v>
      </c>
      <c r="E86" s="2982">
        <v>309</v>
      </c>
      <c r="F86" s="2974">
        <v>56.75</v>
      </c>
      <c r="G86" s="2979">
        <v>15.52</v>
      </c>
      <c r="H86" s="2979">
        <v>72.27</v>
      </c>
      <c r="I86" s="2974" t="s">
        <v>3055</v>
      </c>
      <c r="J86" s="2981" t="s">
        <v>3155</v>
      </c>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row>
    <row r="87" spans="1:32">
      <c r="A87" s="2972">
        <v>86</v>
      </c>
      <c r="B87" s="2974" t="s">
        <v>3238</v>
      </c>
      <c r="C87" s="2982" t="s">
        <v>3156</v>
      </c>
      <c r="D87" s="2974" t="s">
        <v>3215</v>
      </c>
      <c r="E87" s="2982" t="s">
        <v>3145</v>
      </c>
      <c r="F87" s="2983">
        <v>77.27</v>
      </c>
      <c r="G87" s="2979">
        <v>19.77</v>
      </c>
      <c r="H87" s="2979">
        <v>97.039999999999992</v>
      </c>
      <c r="I87" s="2974" t="s">
        <v>3055</v>
      </c>
      <c r="J87" s="2981" t="s">
        <v>3155</v>
      </c>
      <c r="L87" s="2976"/>
      <c r="M87" s="2976"/>
      <c r="N87" s="2976"/>
      <c r="O87" s="2976"/>
      <c r="P87" s="2976"/>
      <c r="Q87" s="2976"/>
      <c r="R87" s="2976"/>
      <c r="S87" s="2976"/>
      <c r="T87" s="2976"/>
      <c r="U87" s="2976"/>
      <c r="V87" s="2976"/>
      <c r="W87" s="2976"/>
      <c r="X87" s="2976"/>
      <c r="Y87" s="2976"/>
      <c r="Z87" s="2976"/>
      <c r="AA87" s="2976"/>
      <c r="AB87" s="2976"/>
      <c r="AC87" s="2976"/>
      <c r="AD87" s="2976"/>
      <c r="AE87" s="2976"/>
      <c r="AF87" s="2976"/>
    </row>
    <row r="88" spans="1:32">
      <c r="A88" s="2972">
        <v>87</v>
      </c>
      <c r="B88" s="2974" t="s">
        <v>3238</v>
      </c>
      <c r="C88" s="2982" t="s">
        <v>3156</v>
      </c>
      <c r="D88" s="2974" t="s">
        <v>3215</v>
      </c>
      <c r="E88" s="2982" t="s">
        <v>3146</v>
      </c>
      <c r="F88" s="2983">
        <v>68.87</v>
      </c>
      <c r="G88" s="2979">
        <v>17.62</v>
      </c>
      <c r="H88" s="2979">
        <v>86.490000000000009</v>
      </c>
      <c r="I88" s="2974" t="s">
        <v>3055</v>
      </c>
      <c r="J88" s="2981" t="s">
        <v>3162</v>
      </c>
      <c r="L88" s="2976"/>
      <c r="M88" s="2976"/>
      <c r="N88" s="2976"/>
      <c r="O88" s="2976"/>
      <c r="P88" s="2976"/>
      <c r="Q88" s="2976"/>
      <c r="R88" s="2976"/>
      <c r="S88" s="2976"/>
      <c r="T88" s="2976"/>
      <c r="U88" s="2976"/>
      <c r="V88" s="2976"/>
      <c r="W88" s="2976"/>
      <c r="X88" s="2976"/>
      <c r="Y88" s="2976"/>
      <c r="Z88" s="2976"/>
      <c r="AA88" s="2976"/>
      <c r="AB88" s="2976"/>
      <c r="AC88" s="2976"/>
      <c r="AD88" s="2976"/>
      <c r="AE88" s="2976"/>
      <c r="AF88" s="2976"/>
    </row>
    <row r="89" spans="1:32">
      <c r="A89" s="2972">
        <v>88</v>
      </c>
      <c r="B89" s="2974" t="s">
        <v>3238</v>
      </c>
      <c r="C89" s="2982" t="s">
        <v>3156</v>
      </c>
      <c r="D89" s="2974" t="s">
        <v>3215</v>
      </c>
      <c r="E89" s="2982" t="s">
        <v>3147</v>
      </c>
      <c r="F89" s="2983">
        <v>68.87</v>
      </c>
      <c r="G89" s="2979">
        <v>17.62</v>
      </c>
      <c r="H89" s="2979">
        <v>86.490000000000009</v>
      </c>
      <c r="I89" s="2974" t="s">
        <v>3055</v>
      </c>
      <c r="J89" s="2981" t="s">
        <v>3162</v>
      </c>
      <c r="L89" s="2976"/>
      <c r="M89" s="2976"/>
      <c r="N89" s="2976"/>
      <c r="O89" s="2976"/>
      <c r="P89" s="2976"/>
      <c r="Q89" s="2976"/>
      <c r="R89" s="2976"/>
      <c r="S89" s="2976"/>
      <c r="T89" s="2976"/>
      <c r="U89" s="2976"/>
      <c r="V89" s="2976"/>
      <c r="W89" s="2976"/>
      <c r="X89" s="2976"/>
      <c r="Y89" s="2976"/>
      <c r="Z89" s="2976"/>
      <c r="AA89" s="2976"/>
      <c r="AB89" s="2976"/>
      <c r="AC89" s="2976"/>
      <c r="AD89" s="2976"/>
      <c r="AE89" s="2976"/>
      <c r="AF89" s="2976"/>
    </row>
    <row r="90" spans="1:32">
      <c r="A90" s="2972">
        <v>89</v>
      </c>
      <c r="B90" s="2974" t="s">
        <v>3238</v>
      </c>
      <c r="C90" s="2982" t="s">
        <v>3156</v>
      </c>
      <c r="D90" s="2974" t="s">
        <v>3215</v>
      </c>
      <c r="E90" s="2982" t="s">
        <v>3148</v>
      </c>
      <c r="F90" s="2983">
        <v>52.98</v>
      </c>
      <c r="G90" s="2979">
        <v>13.56</v>
      </c>
      <c r="H90" s="2979">
        <v>66.539999999999992</v>
      </c>
      <c r="I90" s="2974" t="s">
        <v>3055</v>
      </c>
      <c r="J90" s="2981" t="s">
        <v>3154</v>
      </c>
      <c r="L90" s="2976"/>
      <c r="M90" s="2976"/>
      <c r="N90" s="2976"/>
      <c r="O90" s="2976"/>
      <c r="P90" s="2976"/>
      <c r="Q90" s="2976"/>
      <c r="R90" s="2976"/>
      <c r="S90" s="2976"/>
      <c r="T90" s="2976"/>
      <c r="U90" s="2976"/>
      <c r="V90" s="2976"/>
      <c r="W90" s="2976"/>
      <c r="X90" s="2976"/>
      <c r="Y90" s="2976"/>
      <c r="Z90" s="2976"/>
      <c r="AA90" s="2976"/>
      <c r="AB90" s="2976"/>
      <c r="AC90" s="2976"/>
      <c r="AD90" s="2976"/>
      <c r="AE90" s="2976"/>
      <c r="AF90" s="2976"/>
    </row>
    <row r="91" spans="1:32">
      <c r="A91" s="2972">
        <v>90</v>
      </c>
      <c r="B91" s="2974" t="s">
        <v>3238</v>
      </c>
      <c r="C91" s="2982" t="s">
        <v>3156</v>
      </c>
      <c r="D91" s="2974" t="s">
        <v>3213</v>
      </c>
      <c r="E91" s="2982" t="s">
        <v>3149</v>
      </c>
      <c r="F91" s="2983">
        <v>52.98</v>
      </c>
      <c r="G91" s="2979">
        <v>14.49</v>
      </c>
      <c r="H91" s="2979">
        <v>67.47</v>
      </c>
      <c r="I91" s="2974" t="s">
        <v>3055</v>
      </c>
      <c r="J91" s="2981" t="s">
        <v>3154</v>
      </c>
      <c r="L91" s="2976"/>
      <c r="M91" s="2976"/>
      <c r="N91" s="2976"/>
      <c r="O91" s="2976"/>
      <c r="P91" s="2976"/>
      <c r="Q91" s="2976"/>
      <c r="R91" s="2976"/>
      <c r="S91" s="2976"/>
      <c r="T91" s="2976"/>
      <c r="U91" s="2976"/>
      <c r="V91" s="2976"/>
      <c r="W91" s="2976"/>
      <c r="X91" s="2976"/>
      <c r="Y91" s="2976"/>
      <c r="Z91" s="2976"/>
      <c r="AA91" s="2976"/>
      <c r="AB91" s="2976"/>
      <c r="AC91" s="2976"/>
      <c r="AD91" s="2976"/>
      <c r="AE91" s="2976"/>
      <c r="AF91" s="2976"/>
    </row>
    <row r="92" spans="1:32">
      <c r="A92" s="2972">
        <v>91</v>
      </c>
      <c r="B92" s="2974" t="s">
        <v>3238</v>
      </c>
      <c r="C92" s="2982" t="s">
        <v>3156</v>
      </c>
      <c r="D92" s="2974" t="s">
        <v>3213</v>
      </c>
      <c r="E92" s="2982" t="s">
        <v>3150</v>
      </c>
      <c r="F92" s="2983">
        <v>68.87</v>
      </c>
      <c r="G92" s="2979">
        <v>18.84</v>
      </c>
      <c r="H92" s="2979">
        <v>87.710000000000008</v>
      </c>
      <c r="I92" s="2974" t="s">
        <v>3055</v>
      </c>
      <c r="J92" s="2981" t="s">
        <v>3162</v>
      </c>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row>
    <row r="93" spans="1:32">
      <c r="A93" s="2972">
        <v>92</v>
      </c>
      <c r="B93" s="2974" t="s">
        <v>3238</v>
      </c>
      <c r="C93" s="2982" t="s">
        <v>3156</v>
      </c>
      <c r="D93" s="2974" t="s">
        <v>3213</v>
      </c>
      <c r="E93" s="2982" t="s">
        <v>3151</v>
      </c>
      <c r="F93" s="2983">
        <v>68.87</v>
      </c>
      <c r="G93" s="2979">
        <v>18.84</v>
      </c>
      <c r="H93" s="2979">
        <v>87.710000000000008</v>
      </c>
      <c r="I93" s="2974" t="s">
        <v>3055</v>
      </c>
      <c r="J93" s="2981" t="s">
        <v>3162</v>
      </c>
      <c r="L93" s="2976"/>
      <c r="M93" s="2976"/>
      <c r="N93" s="2976"/>
      <c r="O93" s="2976"/>
      <c r="P93" s="2976"/>
      <c r="Q93" s="2976"/>
      <c r="R93" s="2976"/>
      <c r="S93" s="2976"/>
      <c r="T93" s="2976"/>
      <c r="U93" s="2976"/>
      <c r="V93" s="2976"/>
      <c r="W93" s="2976"/>
      <c r="X93" s="2976"/>
      <c r="Y93" s="2976"/>
      <c r="Z93" s="2976"/>
      <c r="AA93" s="2976"/>
      <c r="AB93" s="2976"/>
      <c r="AC93" s="2976"/>
      <c r="AD93" s="2976"/>
      <c r="AE93" s="2976"/>
      <c r="AF93" s="2976"/>
    </row>
    <row r="94" spans="1:32">
      <c r="A94" s="2972">
        <v>93</v>
      </c>
      <c r="B94" s="2974" t="s">
        <v>3238</v>
      </c>
      <c r="C94" s="2982" t="s">
        <v>3156</v>
      </c>
      <c r="D94" s="2974" t="s">
        <v>3213</v>
      </c>
      <c r="E94" s="2982" t="s">
        <v>3163</v>
      </c>
      <c r="F94" s="2974">
        <v>56.75</v>
      </c>
      <c r="G94" s="2979">
        <v>15.52</v>
      </c>
      <c r="H94" s="2979">
        <v>72.27</v>
      </c>
      <c r="I94" s="2974" t="s">
        <v>3055</v>
      </c>
      <c r="J94" s="2981" t="s">
        <v>3155</v>
      </c>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row>
    <row r="95" spans="1:32">
      <c r="A95" s="2972">
        <v>94</v>
      </c>
      <c r="B95" s="2974" t="s">
        <v>3238</v>
      </c>
      <c r="C95" s="2982" t="s">
        <v>3157</v>
      </c>
      <c r="D95" s="2974" t="s">
        <v>3215</v>
      </c>
      <c r="E95" s="2982">
        <v>501</v>
      </c>
      <c r="F95" s="2983">
        <v>77.27</v>
      </c>
      <c r="G95" s="2979">
        <v>19.77</v>
      </c>
      <c r="H95" s="2979">
        <v>97.039999999999992</v>
      </c>
      <c r="I95" s="2974" t="s">
        <v>3055</v>
      </c>
      <c r="J95" s="2981" t="s">
        <v>3155</v>
      </c>
      <c r="L95" s="2976"/>
      <c r="M95" s="2976"/>
      <c r="N95" s="2976"/>
      <c r="O95" s="2976"/>
      <c r="P95" s="2976"/>
      <c r="Q95" s="2976"/>
      <c r="R95" s="2976"/>
      <c r="S95" s="2976"/>
      <c r="T95" s="2976"/>
      <c r="U95" s="2976"/>
      <c r="V95" s="2976"/>
      <c r="W95" s="2976"/>
      <c r="X95" s="2976"/>
      <c r="Y95" s="2976"/>
      <c r="Z95" s="2976"/>
      <c r="AA95" s="2976"/>
      <c r="AB95" s="2976"/>
      <c r="AC95" s="2976"/>
      <c r="AD95" s="2976"/>
      <c r="AE95" s="2976"/>
      <c r="AF95" s="2976"/>
    </row>
    <row r="96" spans="1:32">
      <c r="A96" s="2972">
        <v>95</v>
      </c>
      <c r="B96" s="2974" t="s">
        <v>3238</v>
      </c>
      <c r="C96" s="2982" t="s">
        <v>3157</v>
      </c>
      <c r="D96" s="2974" t="s">
        <v>3215</v>
      </c>
      <c r="E96" s="2982">
        <v>502</v>
      </c>
      <c r="F96" s="2983">
        <v>68.87</v>
      </c>
      <c r="G96" s="2979">
        <v>17.62</v>
      </c>
      <c r="H96" s="2979">
        <v>86.490000000000009</v>
      </c>
      <c r="I96" s="2974" t="s">
        <v>3055</v>
      </c>
      <c r="J96" s="2981" t="s">
        <v>3162</v>
      </c>
      <c r="L96" s="2976"/>
      <c r="M96" s="2976"/>
      <c r="N96" s="2976"/>
      <c r="O96" s="2976"/>
      <c r="P96" s="2976"/>
      <c r="Q96" s="2976"/>
      <c r="R96" s="2976"/>
      <c r="S96" s="2976"/>
      <c r="T96" s="2976"/>
      <c r="U96" s="2976"/>
      <c r="V96" s="2976"/>
      <c r="W96" s="2976"/>
      <c r="X96" s="2976"/>
      <c r="Y96" s="2976"/>
      <c r="Z96" s="2976"/>
      <c r="AA96" s="2976"/>
      <c r="AB96" s="2976"/>
      <c r="AC96" s="2976"/>
      <c r="AD96" s="2976"/>
      <c r="AE96" s="2976"/>
      <c r="AF96" s="2976"/>
    </row>
    <row r="97" spans="1:32">
      <c r="A97" s="2972">
        <v>96</v>
      </c>
      <c r="B97" s="2974" t="s">
        <v>3238</v>
      </c>
      <c r="C97" s="2982" t="s">
        <v>3157</v>
      </c>
      <c r="D97" s="2974" t="s">
        <v>3215</v>
      </c>
      <c r="E97" s="2982">
        <v>503</v>
      </c>
      <c r="F97" s="2983">
        <v>68.87</v>
      </c>
      <c r="G97" s="2979">
        <v>17.62</v>
      </c>
      <c r="H97" s="2979">
        <v>86.490000000000009</v>
      </c>
      <c r="I97" s="2974" t="s">
        <v>3055</v>
      </c>
      <c r="J97" s="2981" t="s">
        <v>3162</v>
      </c>
      <c r="L97" s="2976"/>
      <c r="M97" s="2976"/>
      <c r="N97" s="2976"/>
      <c r="O97" s="2976"/>
      <c r="P97" s="2976"/>
      <c r="Q97" s="2976"/>
      <c r="R97" s="2976"/>
      <c r="S97" s="2976"/>
      <c r="T97" s="2976"/>
      <c r="U97" s="2976"/>
      <c r="V97" s="2976"/>
      <c r="W97" s="2976"/>
      <c r="X97" s="2976"/>
      <c r="Y97" s="2976"/>
      <c r="Z97" s="2976"/>
      <c r="AA97" s="2976"/>
      <c r="AB97" s="2976"/>
      <c r="AC97" s="2976"/>
      <c r="AD97" s="2976"/>
      <c r="AE97" s="2976"/>
      <c r="AF97" s="2976"/>
    </row>
    <row r="98" spans="1:32">
      <c r="A98" s="2972">
        <v>97</v>
      </c>
      <c r="B98" s="2974" t="s">
        <v>3238</v>
      </c>
      <c r="C98" s="2982" t="s">
        <v>3157</v>
      </c>
      <c r="D98" s="2974" t="s">
        <v>3215</v>
      </c>
      <c r="E98" s="2982">
        <v>505</v>
      </c>
      <c r="F98" s="2983">
        <v>52.98</v>
      </c>
      <c r="G98" s="2979">
        <v>13.56</v>
      </c>
      <c r="H98" s="2979">
        <v>66.539999999999992</v>
      </c>
      <c r="I98" s="2974" t="s">
        <v>3055</v>
      </c>
      <c r="J98" s="2981" t="s">
        <v>3154</v>
      </c>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row>
    <row r="99" spans="1:32">
      <c r="A99" s="2972">
        <v>98</v>
      </c>
      <c r="B99" s="2974" t="s">
        <v>3238</v>
      </c>
      <c r="C99" s="2982" t="s">
        <v>3157</v>
      </c>
      <c r="D99" s="2974" t="s">
        <v>3213</v>
      </c>
      <c r="E99" s="2982">
        <v>506</v>
      </c>
      <c r="F99" s="2983">
        <v>52.98</v>
      </c>
      <c r="G99" s="2979">
        <v>14.49</v>
      </c>
      <c r="H99" s="2979">
        <v>67.47</v>
      </c>
      <c r="I99" s="2974" t="s">
        <v>3055</v>
      </c>
      <c r="J99" s="2981" t="s">
        <v>3154</v>
      </c>
      <c r="L99" s="2976"/>
      <c r="M99" s="2976"/>
      <c r="N99" s="2976"/>
      <c r="O99" s="2976"/>
      <c r="P99" s="2976"/>
      <c r="Q99" s="2976"/>
      <c r="R99" s="2976"/>
      <c r="S99" s="2976"/>
      <c r="T99" s="2976"/>
      <c r="U99" s="2976"/>
      <c r="V99" s="2976"/>
      <c r="W99" s="2976"/>
      <c r="X99" s="2976"/>
      <c r="Y99" s="2976"/>
      <c r="Z99" s="2976"/>
      <c r="AA99" s="2976"/>
      <c r="AB99" s="2976"/>
      <c r="AC99" s="2976"/>
      <c r="AD99" s="2976"/>
      <c r="AE99" s="2976"/>
      <c r="AF99" s="2976"/>
    </row>
    <row r="100" spans="1:32">
      <c r="A100" s="2972">
        <v>99</v>
      </c>
      <c r="B100" s="2974" t="s">
        <v>3238</v>
      </c>
      <c r="C100" s="2982" t="s">
        <v>3157</v>
      </c>
      <c r="D100" s="2974" t="s">
        <v>3213</v>
      </c>
      <c r="E100" s="2982">
        <v>507</v>
      </c>
      <c r="F100" s="2983">
        <v>68.87</v>
      </c>
      <c r="G100" s="2979">
        <v>18.84</v>
      </c>
      <c r="H100" s="2979">
        <v>87.710000000000008</v>
      </c>
      <c r="I100" s="2974" t="s">
        <v>3055</v>
      </c>
      <c r="J100" s="2981" t="s">
        <v>3162</v>
      </c>
      <c r="L100" s="2976"/>
      <c r="M100" s="2976"/>
      <c r="N100" s="2976"/>
      <c r="O100" s="2976"/>
      <c r="P100" s="2976"/>
      <c r="Q100" s="2976"/>
      <c r="R100" s="2976"/>
      <c r="S100" s="2976"/>
      <c r="T100" s="2976"/>
      <c r="U100" s="2976"/>
      <c r="V100" s="2976"/>
      <c r="W100" s="2976"/>
      <c r="X100" s="2976"/>
      <c r="Y100" s="2976"/>
      <c r="Z100" s="2976"/>
      <c r="AA100" s="2976"/>
      <c r="AB100" s="2976"/>
      <c r="AC100" s="2976"/>
      <c r="AD100" s="2976"/>
      <c r="AE100" s="2976"/>
      <c r="AF100" s="2976"/>
    </row>
    <row r="101" spans="1:32">
      <c r="A101" s="2972">
        <v>100</v>
      </c>
      <c r="B101" s="2974" t="s">
        <v>3238</v>
      </c>
      <c r="C101" s="2982" t="s">
        <v>3157</v>
      </c>
      <c r="D101" s="2974" t="s">
        <v>3213</v>
      </c>
      <c r="E101" s="2982">
        <v>508</v>
      </c>
      <c r="F101" s="2983">
        <v>68.87</v>
      </c>
      <c r="G101" s="2979">
        <v>18.84</v>
      </c>
      <c r="H101" s="2979">
        <v>87.710000000000008</v>
      </c>
      <c r="I101" s="2974" t="s">
        <v>3055</v>
      </c>
      <c r="J101" s="2981" t="s">
        <v>3162</v>
      </c>
      <c r="L101" s="2976"/>
      <c r="M101" s="2976"/>
      <c r="N101" s="2976"/>
      <c r="O101" s="2976"/>
      <c r="P101" s="2976"/>
      <c r="Q101" s="2976"/>
      <c r="R101" s="2976"/>
      <c r="S101" s="2976"/>
      <c r="T101" s="2976"/>
      <c r="U101" s="2976"/>
      <c r="V101" s="2976"/>
      <c r="W101" s="2976"/>
      <c r="X101" s="2976"/>
      <c r="Y101" s="2976"/>
      <c r="Z101" s="2976"/>
      <c r="AA101" s="2976"/>
      <c r="AB101" s="2976"/>
      <c r="AC101" s="2976"/>
      <c r="AD101" s="2976"/>
      <c r="AE101" s="2976"/>
      <c r="AF101" s="2976"/>
    </row>
    <row r="102" spans="1:32">
      <c r="A102" s="2972">
        <v>101</v>
      </c>
      <c r="B102" s="2974" t="s">
        <v>3238</v>
      </c>
      <c r="C102" s="2982" t="s">
        <v>3157</v>
      </c>
      <c r="D102" s="2974" t="s">
        <v>3213</v>
      </c>
      <c r="E102" s="2982">
        <v>509</v>
      </c>
      <c r="F102" s="2974">
        <v>56.75</v>
      </c>
      <c r="G102" s="2979">
        <v>15.52</v>
      </c>
      <c r="H102" s="2979">
        <v>72.27</v>
      </c>
      <c r="I102" s="2974" t="s">
        <v>3055</v>
      </c>
      <c r="J102" s="2981" t="s">
        <v>3155</v>
      </c>
      <c r="L102" s="2976"/>
      <c r="M102" s="2976"/>
      <c r="N102" s="2976"/>
      <c r="O102" s="2976"/>
      <c r="P102" s="2976"/>
      <c r="Q102" s="2976"/>
      <c r="R102" s="2976"/>
      <c r="S102" s="2976"/>
      <c r="T102" s="2976"/>
      <c r="U102" s="2976"/>
      <c r="V102" s="2976"/>
      <c r="W102" s="2976"/>
      <c r="X102" s="2976"/>
      <c r="Y102" s="2976"/>
      <c r="Z102" s="2976"/>
      <c r="AA102" s="2976"/>
      <c r="AB102" s="2976"/>
      <c r="AC102" s="2976"/>
      <c r="AD102" s="2976"/>
      <c r="AE102" s="2976"/>
      <c r="AF102" s="2976"/>
    </row>
    <row r="103" spans="1:32">
      <c r="A103" s="2972">
        <v>102</v>
      </c>
      <c r="B103" s="2974" t="s">
        <v>3238</v>
      </c>
      <c r="C103" s="2982" t="s">
        <v>3158</v>
      </c>
      <c r="D103" s="2974" t="s">
        <v>3215</v>
      </c>
      <c r="E103" s="2982">
        <v>601</v>
      </c>
      <c r="F103" s="2983">
        <v>77.27</v>
      </c>
      <c r="G103" s="2979">
        <v>19.77</v>
      </c>
      <c r="H103" s="2979">
        <v>97.039999999999992</v>
      </c>
      <c r="I103" s="2974" t="s">
        <v>3055</v>
      </c>
      <c r="J103" s="2981" t="s">
        <v>3155</v>
      </c>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row>
    <row r="104" spans="1:32">
      <c r="A104" s="2972">
        <v>103</v>
      </c>
      <c r="B104" s="2974" t="s">
        <v>3238</v>
      </c>
      <c r="C104" s="2982" t="s">
        <v>3158</v>
      </c>
      <c r="D104" s="2974" t="s">
        <v>3215</v>
      </c>
      <c r="E104" s="2982">
        <v>602</v>
      </c>
      <c r="F104" s="2983">
        <v>68.87</v>
      </c>
      <c r="G104" s="2979">
        <v>17.62</v>
      </c>
      <c r="H104" s="2979">
        <v>86.490000000000009</v>
      </c>
      <c r="I104" s="2974" t="s">
        <v>3055</v>
      </c>
      <c r="J104" s="2981" t="s">
        <v>3162</v>
      </c>
      <c r="L104" s="2976"/>
      <c r="M104" s="2976"/>
      <c r="N104" s="2976"/>
      <c r="O104" s="2976"/>
      <c r="P104" s="2976"/>
      <c r="Q104" s="2976"/>
      <c r="R104" s="2976"/>
      <c r="S104" s="2976"/>
      <c r="T104" s="2976"/>
      <c r="U104" s="2976"/>
      <c r="V104" s="2976"/>
      <c r="W104" s="2976"/>
      <c r="X104" s="2976"/>
      <c r="Y104" s="2976"/>
      <c r="Z104" s="2976"/>
      <c r="AA104" s="2976"/>
      <c r="AB104" s="2976"/>
      <c r="AC104" s="2976"/>
      <c r="AD104" s="2976"/>
      <c r="AE104" s="2976"/>
      <c r="AF104" s="2976"/>
    </row>
    <row r="105" spans="1:32">
      <c r="A105" s="2972">
        <v>104</v>
      </c>
      <c r="B105" s="2974" t="s">
        <v>3238</v>
      </c>
      <c r="C105" s="2982" t="s">
        <v>3158</v>
      </c>
      <c r="D105" s="2974" t="s">
        <v>3215</v>
      </c>
      <c r="E105" s="2982">
        <v>603</v>
      </c>
      <c r="F105" s="2983">
        <v>68.87</v>
      </c>
      <c r="G105" s="2979">
        <v>17.62</v>
      </c>
      <c r="H105" s="2979">
        <v>86.490000000000009</v>
      </c>
      <c r="I105" s="2974" t="s">
        <v>3055</v>
      </c>
      <c r="J105" s="2981" t="s">
        <v>3162</v>
      </c>
      <c r="L105" s="2976"/>
      <c r="M105" s="2976"/>
      <c r="N105" s="2976"/>
      <c r="O105" s="2976"/>
      <c r="P105" s="2976"/>
      <c r="Q105" s="2976"/>
      <c r="R105" s="2976"/>
      <c r="S105" s="2976"/>
      <c r="T105" s="2976"/>
      <c r="U105" s="2976"/>
      <c r="V105" s="2976"/>
      <c r="W105" s="2976"/>
      <c r="X105" s="2976"/>
      <c r="Y105" s="2976"/>
      <c r="Z105" s="2976"/>
      <c r="AA105" s="2976"/>
      <c r="AB105" s="2976"/>
      <c r="AC105" s="2976"/>
      <c r="AD105" s="2976"/>
      <c r="AE105" s="2976"/>
      <c r="AF105" s="2976"/>
    </row>
    <row r="106" spans="1:32">
      <c r="A106" s="2972">
        <v>105</v>
      </c>
      <c r="B106" s="2974" t="s">
        <v>3238</v>
      </c>
      <c r="C106" s="2982" t="s">
        <v>3158</v>
      </c>
      <c r="D106" s="2974" t="s">
        <v>3215</v>
      </c>
      <c r="E106" s="2982">
        <v>605</v>
      </c>
      <c r="F106" s="2983">
        <v>52.98</v>
      </c>
      <c r="G106" s="2979">
        <v>13.56</v>
      </c>
      <c r="H106" s="2979">
        <v>66.539999999999992</v>
      </c>
      <c r="I106" s="2974" t="s">
        <v>3055</v>
      </c>
      <c r="J106" s="2981" t="s">
        <v>3154</v>
      </c>
      <c r="L106" s="2976"/>
      <c r="M106" s="2976"/>
      <c r="N106" s="2976"/>
      <c r="O106" s="2976"/>
      <c r="P106" s="2976"/>
      <c r="Q106" s="2976"/>
      <c r="R106" s="2976"/>
      <c r="S106" s="2976"/>
      <c r="T106" s="2976"/>
      <c r="U106" s="2976"/>
      <c r="V106" s="2976"/>
      <c r="W106" s="2976"/>
      <c r="X106" s="2976"/>
      <c r="Y106" s="2976"/>
      <c r="Z106" s="2976"/>
      <c r="AA106" s="2976"/>
      <c r="AB106" s="2976"/>
      <c r="AC106" s="2976"/>
      <c r="AD106" s="2976"/>
      <c r="AE106" s="2976"/>
      <c r="AF106" s="2976"/>
    </row>
    <row r="107" spans="1:32">
      <c r="A107" s="2972">
        <v>106</v>
      </c>
      <c r="B107" s="2974" t="s">
        <v>3238</v>
      </c>
      <c r="C107" s="2982" t="s">
        <v>3158</v>
      </c>
      <c r="D107" s="2974" t="s">
        <v>3213</v>
      </c>
      <c r="E107" s="2982">
        <v>606</v>
      </c>
      <c r="F107" s="2983">
        <v>52.98</v>
      </c>
      <c r="G107" s="2979">
        <v>14.49</v>
      </c>
      <c r="H107" s="2979">
        <v>67.47</v>
      </c>
      <c r="I107" s="2974" t="s">
        <v>3055</v>
      </c>
      <c r="J107" s="2981" t="s">
        <v>3154</v>
      </c>
      <c r="L107" s="2976"/>
      <c r="M107" s="2976"/>
      <c r="N107" s="2976"/>
      <c r="O107" s="2976"/>
      <c r="P107" s="2976"/>
      <c r="Q107" s="2976"/>
      <c r="R107" s="2976"/>
      <c r="S107" s="2976"/>
      <c r="T107" s="2976"/>
      <c r="U107" s="2976"/>
      <c r="V107" s="2976"/>
      <c r="W107" s="2976"/>
      <c r="X107" s="2976"/>
      <c r="Y107" s="2976"/>
      <c r="Z107" s="2976"/>
      <c r="AA107" s="2976"/>
      <c r="AB107" s="2976"/>
      <c r="AC107" s="2976"/>
      <c r="AD107" s="2976"/>
      <c r="AE107" s="2976"/>
      <c r="AF107" s="2976"/>
    </row>
    <row r="108" spans="1:32">
      <c r="A108" s="2972">
        <v>107</v>
      </c>
      <c r="B108" s="2974" t="s">
        <v>3238</v>
      </c>
      <c r="C108" s="2982" t="s">
        <v>3158</v>
      </c>
      <c r="D108" s="2974" t="s">
        <v>3213</v>
      </c>
      <c r="E108" s="2982">
        <v>607</v>
      </c>
      <c r="F108" s="2983">
        <v>68.87</v>
      </c>
      <c r="G108" s="2979">
        <v>18.84</v>
      </c>
      <c r="H108" s="2979">
        <v>87.710000000000008</v>
      </c>
      <c r="I108" s="2974" t="s">
        <v>3055</v>
      </c>
      <c r="J108" s="2981" t="s">
        <v>3162</v>
      </c>
      <c r="L108" s="2976"/>
      <c r="M108" s="2976"/>
      <c r="N108" s="2976"/>
      <c r="O108" s="2976"/>
      <c r="P108" s="2976"/>
      <c r="Q108" s="2976"/>
      <c r="R108" s="2976"/>
      <c r="S108" s="2976"/>
      <c r="T108" s="2976"/>
      <c r="U108" s="2976"/>
      <c r="V108" s="2976"/>
      <c r="W108" s="2976"/>
      <c r="X108" s="2976"/>
      <c r="Y108" s="2976"/>
      <c r="Z108" s="2976"/>
      <c r="AA108" s="2976"/>
      <c r="AB108" s="2976"/>
      <c r="AC108" s="2976"/>
      <c r="AD108" s="2976"/>
      <c r="AE108" s="2976"/>
      <c r="AF108" s="2976"/>
    </row>
    <row r="109" spans="1:32">
      <c r="A109" s="2972">
        <v>108</v>
      </c>
      <c r="B109" s="2974" t="s">
        <v>3238</v>
      </c>
      <c r="C109" s="2982" t="s">
        <v>3158</v>
      </c>
      <c r="D109" s="2974" t="s">
        <v>3213</v>
      </c>
      <c r="E109" s="2982">
        <v>608</v>
      </c>
      <c r="F109" s="2983">
        <v>68.87</v>
      </c>
      <c r="G109" s="2979">
        <v>18.84</v>
      </c>
      <c r="H109" s="2979">
        <v>87.710000000000008</v>
      </c>
      <c r="I109" s="2974" t="s">
        <v>3055</v>
      </c>
      <c r="J109" s="2981" t="s">
        <v>3162</v>
      </c>
      <c r="L109" s="2976"/>
      <c r="M109" s="2976"/>
      <c r="N109" s="2976"/>
      <c r="O109" s="2976"/>
      <c r="P109" s="2976"/>
      <c r="Q109" s="2976"/>
      <c r="R109" s="2976"/>
      <c r="S109" s="2976"/>
      <c r="T109" s="2976"/>
      <c r="U109" s="2976"/>
      <c r="V109" s="2976"/>
      <c r="W109" s="2976"/>
      <c r="X109" s="2976"/>
      <c r="Y109" s="2976"/>
      <c r="Z109" s="2976"/>
      <c r="AA109" s="2976"/>
      <c r="AB109" s="2976"/>
      <c r="AC109" s="2976"/>
      <c r="AD109" s="2976"/>
      <c r="AE109" s="2976"/>
      <c r="AF109" s="2976"/>
    </row>
    <row r="110" spans="1:32">
      <c r="A110" s="2972">
        <v>109</v>
      </c>
      <c r="B110" s="2974" t="s">
        <v>3238</v>
      </c>
      <c r="C110" s="2982" t="s">
        <v>3158</v>
      </c>
      <c r="D110" s="2974" t="s">
        <v>3213</v>
      </c>
      <c r="E110" s="2982">
        <v>609</v>
      </c>
      <c r="F110" s="2974">
        <v>56.75</v>
      </c>
      <c r="G110" s="2979">
        <v>15.52</v>
      </c>
      <c r="H110" s="2979">
        <v>72.27</v>
      </c>
      <c r="I110" s="2974" t="s">
        <v>3055</v>
      </c>
      <c r="J110" s="2981" t="s">
        <v>3155</v>
      </c>
      <c r="L110" s="2976"/>
      <c r="M110" s="2976"/>
      <c r="N110" s="2976"/>
      <c r="O110" s="2976"/>
      <c r="P110" s="2976"/>
      <c r="Q110" s="2976"/>
      <c r="R110" s="2976"/>
      <c r="S110" s="2976"/>
      <c r="T110" s="2976"/>
      <c r="U110" s="2976"/>
      <c r="V110" s="2976"/>
      <c r="W110" s="2976"/>
      <c r="X110" s="2976"/>
      <c r="Y110" s="2976"/>
      <c r="Z110" s="2976"/>
      <c r="AA110" s="2976"/>
      <c r="AB110" s="2976"/>
      <c r="AC110" s="2976"/>
      <c r="AD110" s="2976"/>
      <c r="AE110" s="2976"/>
      <c r="AF110" s="2976"/>
    </row>
    <row r="111" spans="1:32">
      <c r="A111" s="2972">
        <v>110</v>
      </c>
      <c r="B111" s="2974" t="s">
        <v>3239</v>
      </c>
      <c r="C111" s="2982" t="s">
        <v>3153</v>
      </c>
      <c r="D111" s="2974" t="s">
        <v>3215</v>
      </c>
      <c r="E111" s="2982">
        <v>301</v>
      </c>
      <c r="F111" s="2983">
        <v>77.27</v>
      </c>
      <c r="G111" s="2979">
        <v>20.25</v>
      </c>
      <c r="H111" s="2979">
        <v>97.52</v>
      </c>
      <c r="I111" s="2974" t="s">
        <v>3055</v>
      </c>
      <c r="J111" s="2981" t="s">
        <v>3155</v>
      </c>
      <c r="L111" s="2976"/>
      <c r="M111" s="2976"/>
      <c r="N111" s="2976"/>
      <c r="O111" s="2976"/>
      <c r="P111" s="2976"/>
      <c r="Q111" s="2976"/>
      <c r="R111" s="2976"/>
      <c r="S111" s="2976"/>
      <c r="T111" s="2976"/>
      <c r="U111" s="2976"/>
      <c r="V111" s="2976"/>
      <c r="W111" s="2976"/>
      <c r="X111" s="2976"/>
      <c r="Y111" s="2976"/>
      <c r="Z111" s="2976"/>
      <c r="AA111" s="2976"/>
      <c r="AB111" s="2976"/>
      <c r="AC111" s="2976"/>
      <c r="AD111" s="2976"/>
      <c r="AE111" s="2976"/>
      <c r="AF111" s="2976"/>
    </row>
    <row r="112" spans="1:32">
      <c r="A112" s="2972">
        <v>111</v>
      </c>
      <c r="B112" s="2974" t="s">
        <v>3239</v>
      </c>
      <c r="C112" s="2982" t="s">
        <v>3153</v>
      </c>
      <c r="D112" s="2974" t="s">
        <v>3215</v>
      </c>
      <c r="E112" s="2982">
        <v>302</v>
      </c>
      <c r="F112" s="2983">
        <v>56.75</v>
      </c>
      <c r="G112" s="2979">
        <v>14.87</v>
      </c>
      <c r="H112" s="2979">
        <v>71.62</v>
      </c>
      <c r="I112" s="2974" t="s">
        <v>3055</v>
      </c>
      <c r="J112" s="2981" t="s">
        <v>3155</v>
      </c>
      <c r="L112" s="2976"/>
      <c r="M112" s="2976"/>
      <c r="N112" s="2976"/>
      <c r="O112" s="2976"/>
      <c r="P112" s="2976"/>
      <c r="Q112" s="2976"/>
      <c r="R112" s="2976"/>
      <c r="S112" s="2976"/>
      <c r="T112" s="2976"/>
      <c r="U112" s="2976"/>
      <c r="V112" s="2976"/>
      <c r="W112" s="2976"/>
      <c r="X112" s="2976"/>
      <c r="Y112" s="2976"/>
      <c r="Z112" s="2976"/>
      <c r="AA112" s="2976"/>
      <c r="AB112" s="2976"/>
      <c r="AC112" s="2976"/>
      <c r="AD112" s="2976"/>
      <c r="AE112" s="2976"/>
      <c r="AF112" s="2976"/>
    </row>
    <row r="113" spans="1:32">
      <c r="A113" s="2972">
        <v>112</v>
      </c>
      <c r="B113" s="2974" t="s">
        <v>3239</v>
      </c>
      <c r="C113" s="2982" t="s">
        <v>3153</v>
      </c>
      <c r="D113" s="2974" t="s">
        <v>3215</v>
      </c>
      <c r="E113" s="2982">
        <v>303</v>
      </c>
      <c r="F113" s="2983">
        <v>56.78</v>
      </c>
      <c r="G113" s="2979">
        <v>14.88</v>
      </c>
      <c r="H113" s="2979">
        <v>71.66</v>
      </c>
      <c r="I113" s="2974" t="s">
        <v>3055</v>
      </c>
      <c r="J113" s="2981" t="s">
        <v>3155</v>
      </c>
      <c r="L113" s="2976"/>
      <c r="M113" s="2976"/>
      <c r="N113" s="2976"/>
      <c r="O113" s="2976"/>
      <c r="P113" s="2976"/>
      <c r="Q113" s="2976"/>
      <c r="R113" s="2976"/>
      <c r="S113" s="2976"/>
      <c r="T113" s="2976"/>
      <c r="U113" s="2976"/>
      <c r="V113" s="2976"/>
      <c r="W113" s="2976"/>
      <c r="X113" s="2976"/>
      <c r="Y113" s="2976"/>
      <c r="Z113" s="2976"/>
      <c r="AA113" s="2976"/>
      <c r="AB113" s="2976"/>
      <c r="AC113" s="2976"/>
      <c r="AD113" s="2976"/>
      <c r="AE113" s="2976"/>
      <c r="AF113" s="2976"/>
    </row>
    <row r="114" spans="1:32">
      <c r="A114" s="2972">
        <v>113</v>
      </c>
      <c r="B114" s="2974" t="s">
        <v>3239</v>
      </c>
      <c r="C114" s="2982" t="s">
        <v>3153</v>
      </c>
      <c r="D114" s="2974" t="s">
        <v>3215</v>
      </c>
      <c r="E114" s="2982">
        <v>305</v>
      </c>
      <c r="F114" s="2983">
        <v>56.78</v>
      </c>
      <c r="G114" s="2979">
        <v>14.88</v>
      </c>
      <c r="H114" s="2979">
        <v>71.66</v>
      </c>
      <c r="I114" s="2974" t="s">
        <v>3055</v>
      </c>
      <c r="J114" s="2981" t="s">
        <v>3155</v>
      </c>
      <c r="L114" s="2976"/>
      <c r="M114" s="2976"/>
      <c r="N114" s="2976"/>
      <c r="O114" s="2976"/>
      <c r="P114" s="2976"/>
      <c r="Q114" s="2976"/>
      <c r="R114" s="2976"/>
      <c r="S114" s="2976"/>
      <c r="T114" s="2976"/>
      <c r="U114" s="2976"/>
      <c r="V114" s="2976"/>
      <c r="W114" s="2976"/>
      <c r="X114" s="2976"/>
      <c r="Y114" s="2976"/>
      <c r="Z114" s="2976"/>
      <c r="AA114" s="2976"/>
      <c r="AB114" s="2976"/>
      <c r="AC114" s="2976"/>
      <c r="AD114" s="2976"/>
      <c r="AE114" s="2976"/>
      <c r="AF114" s="2976"/>
    </row>
    <row r="115" spans="1:32">
      <c r="A115" s="2972">
        <v>114</v>
      </c>
      <c r="B115" s="2974" t="s">
        <v>3239</v>
      </c>
      <c r="C115" s="2982" t="s">
        <v>3153</v>
      </c>
      <c r="D115" s="2974" t="s">
        <v>3215</v>
      </c>
      <c r="E115" s="2982">
        <v>306</v>
      </c>
      <c r="F115" s="2983">
        <v>56.75</v>
      </c>
      <c r="G115" s="2979">
        <v>14.87</v>
      </c>
      <c r="H115" s="2979">
        <v>71.62</v>
      </c>
      <c r="I115" s="2974" t="s">
        <v>3055</v>
      </c>
      <c r="J115" s="2981" t="s">
        <v>3155</v>
      </c>
      <c r="L115" s="2976"/>
      <c r="M115" s="2976"/>
      <c r="N115" s="2976"/>
      <c r="O115" s="2976"/>
      <c r="P115" s="2976"/>
      <c r="Q115" s="2976"/>
      <c r="R115" s="2976"/>
      <c r="S115" s="2976"/>
      <c r="T115" s="2976"/>
      <c r="U115" s="2976"/>
      <c r="V115" s="2976"/>
      <c r="W115" s="2976"/>
      <c r="X115" s="2976"/>
      <c r="Y115" s="2976"/>
      <c r="Z115" s="2976"/>
      <c r="AA115" s="2976"/>
      <c r="AB115" s="2976"/>
      <c r="AC115" s="2976"/>
      <c r="AD115" s="2976"/>
      <c r="AE115" s="2976"/>
      <c r="AF115" s="2976"/>
    </row>
    <row r="116" spans="1:32">
      <c r="A116" s="2972">
        <v>115</v>
      </c>
      <c r="B116" s="2974" t="s">
        <v>3239</v>
      </c>
      <c r="C116" s="2982" t="s">
        <v>3153</v>
      </c>
      <c r="D116" s="2974" t="s">
        <v>3215</v>
      </c>
      <c r="E116" s="2982">
        <v>307</v>
      </c>
      <c r="F116" s="2983">
        <v>53.84</v>
      </c>
      <c r="G116" s="2979">
        <v>14.11</v>
      </c>
      <c r="H116" s="2979">
        <v>67.95</v>
      </c>
      <c r="I116" s="2974" t="s">
        <v>3055</v>
      </c>
      <c r="J116" s="2981" t="s">
        <v>3154</v>
      </c>
      <c r="L116" s="2976"/>
      <c r="M116" s="2976"/>
      <c r="N116" s="2976"/>
      <c r="O116" s="2976"/>
      <c r="P116" s="2976"/>
      <c r="Q116" s="2976"/>
      <c r="R116" s="2976"/>
      <c r="S116" s="2976"/>
      <c r="T116" s="2976"/>
      <c r="U116" s="2976"/>
      <c r="V116" s="2976"/>
      <c r="W116" s="2976"/>
      <c r="X116" s="2976"/>
      <c r="Y116" s="2976"/>
      <c r="Z116" s="2976"/>
      <c r="AA116" s="2976"/>
      <c r="AB116" s="2976"/>
      <c r="AC116" s="2976"/>
      <c r="AD116" s="2976"/>
      <c r="AE116" s="2976"/>
      <c r="AF116" s="2976"/>
    </row>
    <row r="117" spans="1:32">
      <c r="A117" s="2972">
        <v>116</v>
      </c>
      <c r="B117" s="2974" t="s">
        <v>3239</v>
      </c>
      <c r="C117" s="2982" t="s">
        <v>3153</v>
      </c>
      <c r="D117" s="2974" t="s">
        <v>3213</v>
      </c>
      <c r="E117" s="2982">
        <v>308</v>
      </c>
      <c r="F117" s="2983">
        <v>53.84</v>
      </c>
      <c r="G117" s="2979">
        <v>14.95</v>
      </c>
      <c r="H117" s="2979">
        <v>68.790000000000006</v>
      </c>
      <c r="I117" s="2974" t="s">
        <v>3055</v>
      </c>
      <c r="J117" s="2981" t="s">
        <v>3154</v>
      </c>
      <c r="L117" s="2976"/>
      <c r="M117" s="2976"/>
      <c r="N117" s="2976"/>
      <c r="O117" s="2976"/>
      <c r="P117" s="2976"/>
      <c r="Q117" s="2976"/>
      <c r="R117" s="2976"/>
      <c r="S117" s="2976"/>
      <c r="T117" s="2976"/>
      <c r="U117" s="2976"/>
      <c r="V117" s="2976"/>
      <c r="W117" s="2976"/>
      <c r="X117" s="2976"/>
      <c r="Y117" s="2976"/>
      <c r="Z117" s="2976"/>
      <c r="AA117" s="2976"/>
      <c r="AB117" s="2976"/>
      <c r="AC117" s="2976"/>
      <c r="AD117" s="2976"/>
      <c r="AE117" s="2976"/>
      <c r="AF117" s="2976"/>
    </row>
    <row r="118" spans="1:32">
      <c r="A118" s="2972">
        <v>117</v>
      </c>
      <c r="B118" s="2974" t="s">
        <v>3239</v>
      </c>
      <c r="C118" s="2982" t="s">
        <v>3153</v>
      </c>
      <c r="D118" s="2974" t="s">
        <v>3213</v>
      </c>
      <c r="E118" s="2982">
        <v>309</v>
      </c>
      <c r="F118" s="2983">
        <v>56.75</v>
      </c>
      <c r="G118" s="2979">
        <v>15.76</v>
      </c>
      <c r="H118" s="2979">
        <v>72.510000000000005</v>
      </c>
      <c r="I118" s="2974" t="s">
        <v>3055</v>
      </c>
      <c r="J118" s="2981" t="s">
        <v>3155</v>
      </c>
      <c r="L118" s="2976"/>
      <c r="M118" s="2976"/>
      <c r="N118" s="2976"/>
      <c r="O118" s="2976"/>
      <c r="P118" s="2976"/>
      <c r="Q118" s="2976"/>
      <c r="R118" s="2976"/>
      <c r="S118" s="2976"/>
      <c r="T118" s="2976"/>
      <c r="U118" s="2976"/>
      <c r="V118" s="2976"/>
      <c r="W118" s="2976"/>
      <c r="X118" s="2976"/>
      <c r="Y118" s="2976"/>
      <c r="Z118" s="2976"/>
      <c r="AA118" s="2976"/>
      <c r="AB118" s="2976"/>
      <c r="AC118" s="2976"/>
      <c r="AD118" s="2976"/>
      <c r="AE118" s="2976"/>
      <c r="AF118" s="2976"/>
    </row>
    <row r="119" spans="1:32">
      <c r="A119" s="2972">
        <v>118</v>
      </c>
      <c r="B119" s="2974" t="s">
        <v>3239</v>
      </c>
      <c r="C119" s="2982" t="s">
        <v>3153</v>
      </c>
      <c r="D119" s="2974" t="s">
        <v>3213</v>
      </c>
      <c r="E119" s="2982">
        <v>310</v>
      </c>
      <c r="F119" s="2983">
        <v>56.78</v>
      </c>
      <c r="G119" s="2979">
        <v>15.77</v>
      </c>
      <c r="H119" s="2979">
        <v>72.55</v>
      </c>
      <c r="I119" s="2974" t="s">
        <v>3055</v>
      </c>
      <c r="J119" s="2981" t="s">
        <v>3155</v>
      </c>
      <c r="L119" s="2976"/>
      <c r="M119" s="2976"/>
      <c r="N119" s="2976"/>
      <c r="O119" s="2976"/>
      <c r="P119" s="2976"/>
      <c r="Q119" s="2976"/>
      <c r="R119" s="2976"/>
      <c r="S119" s="2976"/>
      <c r="T119" s="2976"/>
      <c r="U119" s="2976"/>
      <c r="V119" s="2976"/>
      <c r="W119" s="2976"/>
      <c r="X119" s="2976"/>
      <c r="Y119" s="2976"/>
      <c r="Z119" s="2976"/>
      <c r="AA119" s="2976"/>
      <c r="AB119" s="2976"/>
      <c r="AC119" s="2976"/>
      <c r="AD119" s="2976"/>
      <c r="AE119" s="2976"/>
      <c r="AF119" s="2976"/>
    </row>
    <row r="120" spans="1:32">
      <c r="A120" s="2972">
        <v>119</v>
      </c>
      <c r="B120" s="2974" t="s">
        <v>3239</v>
      </c>
      <c r="C120" s="2982" t="s">
        <v>3153</v>
      </c>
      <c r="D120" s="2974" t="s">
        <v>3213</v>
      </c>
      <c r="E120" s="2982">
        <v>311</v>
      </c>
      <c r="F120" s="2983">
        <v>56.78</v>
      </c>
      <c r="G120" s="2979">
        <v>15.77</v>
      </c>
      <c r="H120" s="2979">
        <v>72.55</v>
      </c>
      <c r="I120" s="2974" t="s">
        <v>3055</v>
      </c>
      <c r="J120" s="2981" t="s">
        <v>3155</v>
      </c>
      <c r="L120" s="2976"/>
      <c r="M120" s="2976"/>
      <c r="N120" s="2976"/>
      <c r="O120" s="2976"/>
      <c r="P120" s="2976"/>
      <c r="Q120" s="2976"/>
      <c r="R120" s="2976"/>
      <c r="S120" s="2976"/>
      <c r="T120" s="2976"/>
      <c r="U120" s="2976"/>
      <c r="V120" s="2976"/>
      <c r="W120" s="2976"/>
      <c r="X120" s="2976"/>
      <c r="Y120" s="2976"/>
      <c r="Z120" s="2976"/>
      <c r="AA120" s="2976"/>
      <c r="AB120" s="2976"/>
      <c r="AC120" s="2976"/>
      <c r="AD120" s="2976"/>
      <c r="AE120" s="2976"/>
      <c r="AF120" s="2976"/>
    </row>
    <row r="121" spans="1:32">
      <c r="A121" s="2972">
        <v>120</v>
      </c>
      <c r="B121" s="2974" t="s">
        <v>3239</v>
      </c>
      <c r="C121" s="2982" t="s">
        <v>3153</v>
      </c>
      <c r="D121" s="2974" t="s">
        <v>3213</v>
      </c>
      <c r="E121" s="2982">
        <v>312</v>
      </c>
      <c r="F121" s="2983">
        <v>56.75</v>
      </c>
      <c r="G121" s="2979">
        <v>15.76</v>
      </c>
      <c r="H121" s="2979">
        <v>72.510000000000005</v>
      </c>
      <c r="I121" s="2974" t="s">
        <v>3055</v>
      </c>
      <c r="J121" s="2981" t="s">
        <v>3155</v>
      </c>
      <c r="L121" s="2976"/>
      <c r="M121" s="2976"/>
      <c r="N121" s="2976"/>
      <c r="O121" s="2976"/>
      <c r="P121" s="2976"/>
      <c r="Q121" s="2976"/>
      <c r="R121" s="2976"/>
      <c r="S121" s="2976"/>
      <c r="T121" s="2976"/>
      <c r="U121" s="2976"/>
      <c r="V121" s="2976"/>
      <c r="W121" s="2976"/>
      <c r="X121" s="2976"/>
      <c r="Y121" s="2976"/>
      <c r="Z121" s="2976"/>
      <c r="AA121" s="2976"/>
      <c r="AB121" s="2976"/>
      <c r="AC121" s="2976"/>
      <c r="AD121" s="2976"/>
      <c r="AE121" s="2976"/>
      <c r="AF121" s="2976"/>
    </row>
    <row r="122" spans="1:32">
      <c r="A122" s="2972">
        <v>121</v>
      </c>
      <c r="B122" s="2974" t="s">
        <v>3239</v>
      </c>
      <c r="C122" s="2982" t="s">
        <v>3153</v>
      </c>
      <c r="D122" s="2974" t="s">
        <v>3213</v>
      </c>
      <c r="E122" s="2982">
        <v>313</v>
      </c>
      <c r="F122" s="2983">
        <v>54.01</v>
      </c>
      <c r="G122" s="2979">
        <v>15</v>
      </c>
      <c r="H122" s="2979">
        <v>69.009999999999991</v>
      </c>
      <c r="I122" s="2974" t="s">
        <v>3055</v>
      </c>
      <c r="J122" s="2981" t="s">
        <v>3154</v>
      </c>
      <c r="L122" s="2976"/>
      <c r="M122" s="2976"/>
      <c r="N122" s="2976"/>
      <c r="O122" s="2976"/>
      <c r="P122" s="2976"/>
      <c r="Q122" s="2976"/>
      <c r="R122" s="2976"/>
      <c r="S122" s="2976"/>
      <c r="T122" s="2976"/>
      <c r="U122" s="2976"/>
      <c r="V122" s="2976"/>
      <c r="W122" s="2976"/>
      <c r="X122" s="2976"/>
      <c r="Y122" s="2976"/>
      <c r="Z122" s="2976"/>
      <c r="AA122" s="2976"/>
      <c r="AB122" s="2976"/>
      <c r="AC122" s="2976"/>
      <c r="AD122" s="2976"/>
      <c r="AE122" s="2976"/>
      <c r="AF122" s="2976"/>
    </row>
    <row r="123" spans="1:32">
      <c r="A123" s="2972">
        <v>122</v>
      </c>
      <c r="B123" s="2974" t="s">
        <v>3239</v>
      </c>
      <c r="C123" s="2982" t="s">
        <v>3156</v>
      </c>
      <c r="D123" s="2974" t="s">
        <v>3215</v>
      </c>
      <c r="E123" s="2982" t="s">
        <v>3145</v>
      </c>
      <c r="F123" s="2983">
        <v>77.27</v>
      </c>
      <c r="G123" s="2979">
        <v>20.25</v>
      </c>
      <c r="H123" s="2979">
        <v>97.52</v>
      </c>
      <c r="I123" s="2974" t="s">
        <v>3055</v>
      </c>
      <c r="J123" s="2981" t="s">
        <v>3155</v>
      </c>
      <c r="L123" s="2976"/>
      <c r="M123" s="2976"/>
      <c r="N123" s="2976"/>
      <c r="O123" s="2976"/>
      <c r="P123" s="2976"/>
      <c r="Q123" s="2976"/>
      <c r="R123" s="2976"/>
      <c r="S123" s="2976"/>
      <c r="T123" s="2976"/>
      <c r="U123" s="2976"/>
      <c r="V123" s="2976"/>
      <c r="W123" s="2976"/>
      <c r="X123" s="2976"/>
      <c r="Y123" s="2976"/>
      <c r="Z123" s="2976"/>
      <c r="AA123" s="2976"/>
      <c r="AB123" s="2976"/>
      <c r="AC123" s="2976"/>
      <c r="AD123" s="2976"/>
      <c r="AE123" s="2976"/>
      <c r="AF123" s="2976"/>
    </row>
    <row r="124" spans="1:32">
      <c r="A124" s="2972">
        <v>123</v>
      </c>
      <c r="B124" s="2974" t="s">
        <v>3239</v>
      </c>
      <c r="C124" s="2982" t="s">
        <v>3156</v>
      </c>
      <c r="D124" s="2974" t="s">
        <v>3215</v>
      </c>
      <c r="E124" s="2982" t="s">
        <v>3146</v>
      </c>
      <c r="F124" s="2983">
        <v>56.75</v>
      </c>
      <c r="G124" s="2979">
        <v>14.87</v>
      </c>
      <c r="H124" s="2979">
        <v>71.62</v>
      </c>
      <c r="I124" s="2974" t="s">
        <v>3055</v>
      </c>
      <c r="J124" s="2981" t="s">
        <v>3155</v>
      </c>
      <c r="L124" s="2976"/>
      <c r="M124" s="2976"/>
      <c r="N124" s="2976"/>
      <c r="O124" s="2976"/>
      <c r="P124" s="2976"/>
      <c r="Q124" s="2976"/>
      <c r="R124" s="2976"/>
      <c r="S124" s="2976"/>
      <c r="T124" s="2976"/>
      <c r="U124" s="2976"/>
      <c r="V124" s="2976"/>
      <c r="W124" s="2976"/>
      <c r="X124" s="2976"/>
      <c r="Y124" s="2976"/>
      <c r="Z124" s="2976"/>
      <c r="AA124" s="2976"/>
      <c r="AB124" s="2976"/>
      <c r="AC124" s="2976"/>
      <c r="AD124" s="2976"/>
      <c r="AE124" s="2976"/>
      <c r="AF124" s="2976"/>
    </row>
    <row r="125" spans="1:32">
      <c r="A125" s="2972">
        <v>124</v>
      </c>
      <c r="B125" s="2974" t="s">
        <v>3239</v>
      </c>
      <c r="C125" s="2982" t="s">
        <v>3156</v>
      </c>
      <c r="D125" s="2974" t="s">
        <v>3215</v>
      </c>
      <c r="E125" s="2982" t="s">
        <v>3147</v>
      </c>
      <c r="F125" s="2983">
        <v>56.78</v>
      </c>
      <c r="G125" s="2979">
        <v>14.88</v>
      </c>
      <c r="H125" s="2979">
        <v>71.66</v>
      </c>
      <c r="I125" s="2974" t="s">
        <v>3055</v>
      </c>
      <c r="J125" s="2981" t="s">
        <v>3155</v>
      </c>
      <c r="L125" s="2976"/>
      <c r="M125" s="2976"/>
      <c r="N125" s="2976"/>
      <c r="O125" s="2976"/>
      <c r="P125" s="2976"/>
      <c r="Q125" s="2976"/>
      <c r="R125" s="2976"/>
      <c r="S125" s="2976"/>
      <c r="T125" s="2976"/>
      <c r="U125" s="2976"/>
      <c r="V125" s="2976"/>
      <c r="W125" s="2976"/>
      <c r="X125" s="2976"/>
      <c r="Y125" s="2976"/>
      <c r="Z125" s="2976"/>
      <c r="AA125" s="2976"/>
      <c r="AB125" s="2976"/>
      <c r="AC125" s="2976"/>
      <c r="AD125" s="2976"/>
      <c r="AE125" s="2976"/>
      <c r="AF125" s="2976"/>
    </row>
    <row r="126" spans="1:32">
      <c r="A126" s="2972">
        <v>125</v>
      </c>
      <c r="B126" s="2974" t="s">
        <v>3239</v>
      </c>
      <c r="C126" s="2982" t="s">
        <v>3156</v>
      </c>
      <c r="D126" s="2974" t="s">
        <v>3215</v>
      </c>
      <c r="E126" s="2982" t="s">
        <v>3148</v>
      </c>
      <c r="F126" s="2983">
        <v>56.78</v>
      </c>
      <c r="G126" s="2979">
        <v>14.88</v>
      </c>
      <c r="H126" s="2979">
        <v>71.66</v>
      </c>
      <c r="I126" s="2974" t="s">
        <v>3055</v>
      </c>
      <c r="J126" s="2981" t="s">
        <v>3155</v>
      </c>
      <c r="L126" s="2976"/>
      <c r="M126" s="2976"/>
      <c r="N126" s="2976"/>
      <c r="O126" s="2976"/>
      <c r="P126" s="2976"/>
      <c r="Q126" s="2976"/>
      <c r="R126" s="2976"/>
      <c r="S126" s="2976"/>
      <c r="T126" s="2976"/>
      <c r="U126" s="2976"/>
      <c r="V126" s="2976"/>
      <c r="W126" s="2976"/>
      <c r="X126" s="2976"/>
      <c r="Y126" s="2976"/>
      <c r="Z126" s="2976"/>
      <c r="AA126" s="2976"/>
      <c r="AB126" s="2976"/>
      <c r="AC126" s="2976"/>
      <c r="AD126" s="2976"/>
      <c r="AE126" s="2976"/>
      <c r="AF126" s="2976"/>
    </row>
    <row r="127" spans="1:32">
      <c r="A127" s="2972">
        <v>126</v>
      </c>
      <c r="B127" s="2974" t="s">
        <v>3239</v>
      </c>
      <c r="C127" s="2982" t="s">
        <v>3156</v>
      </c>
      <c r="D127" s="2974" t="s">
        <v>3215</v>
      </c>
      <c r="E127" s="2982" t="s">
        <v>3149</v>
      </c>
      <c r="F127" s="2983">
        <v>56.75</v>
      </c>
      <c r="G127" s="2979">
        <v>14.87</v>
      </c>
      <c r="H127" s="2979">
        <v>71.62</v>
      </c>
      <c r="I127" s="2974" t="s">
        <v>3055</v>
      </c>
      <c r="J127" s="2981" t="s">
        <v>3155</v>
      </c>
      <c r="L127" s="2976"/>
      <c r="M127" s="2976"/>
      <c r="N127" s="2976"/>
      <c r="O127" s="2976"/>
      <c r="P127" s="2976"/>
      <c r="Q127" s="2976"/>
      <c r="R127" s="2976"/>
      <c r="S127" s="2976"/>
      <c r="T127" s="2976"/>
      <c r="U127" s="2976"/>
      <c r="V127" s="2976"/>
      <c r="W127" s="2976"/>
      <c r="X127" s="2976"/>
      <c r="Y127" s="2976"/>
      <c r="Z127" s="2976"/>
      <c r="AA127" s="2976"/>
      <c r="AB127" s="2976"/>
      <c r="AC127" s="2976"/>
      <c r="AD127" s="2976"/>
      <c r="AE127" s="2976"/>
      <c r="AF127" s="2976"/>
    </row>
    <row r="128" spans="1:32">
      <c r="A128" s="2972">
        <v>127</v>
      </c>
      <c r="B128" s="2974" t="s">
        <v>3239</v>
      </c>
      <c r="C128" s="2982" t="s">
        <v>3156</v>
      </c>
      <c r="D128" s="2974" t="s">
        <v>3215</v>
      </c>
      <c r="E128" s="2982" t="s">
        <v>3150</v>
      </c>
      <c r="F128" s="2983">
        <v>53.84</v>
      </c>
      <c r="G128" s="2979">
        <v>14.11</v>
      </c>
      <c r="H128" s="2979">
        <v>67.95</v>
      </c>
      <c r="I128" s="2974" t="s">
        <v>3055</v>
      </c>
      <c r="J128" s="2981" t="s">
        <v>3154</v>
      </c>
      <c r="L128" s="2976"/>
      <c r="M128" s="2976"/>
      <c r="N128" s="2976"/>
      <c r="O128" s="2976"/>
      <c r="P128" s="2976"/>
      <c r="Q128" s="2976"/>
      <c r="R128" s="2976"/>
      <c r="S128" s="2976"/>
      <c r="T128" s="2976"/>
      <c r="U128" s="2976"/>
      <c r="V128" s="2976"/>
      <c r="W128" s="2976"/>
      <c r="X128" s="2976"/>
      <c r="Y128" s="2976"/>
      <c r="Z128" s="2976"/>
      <c r="AA128" s="2976"/>
      <c r="AB128" s="2976"/>
      <c r="AC128" s="2976"/>
      <c r="AD128" s="2976"/>
      <c r="AE128" s="2976"/>
      <c r="AF128" s="2976"/>
    </row>
    <row r="129" spans="1:32">
      <c r="A129" s="2972">
        <v>128</v>
      </c>
      <c r="B129" s="2974" t="s">
        <v>3239</v>
      </c>
      <c r="C129" s="2982" t="s">
        <v>3156</v>
      </c>
      <c r="D129" s="2974" t="s">
        <v>3213</v>
      </c>
      <c r="E129" s="2982" t="s">
        <v>3151</v>
      </c>
      <c r="F129" s="2983">
        <v>53.84</v>
      </c>
      <c r="G129" s="2979">
        <v>14.95</v>
      </c>
      <c r="H129" s="2979">
        <v>68.790000000000006</v>
      </c>
      <c r="I129" s="2974" t="s">
        <v>3055</v>
      </c>
      <c r="J129" s="2981" t="s">
        <v>3154</v>
      </c>
      <c r="L129" s="2976"/>
      <c r="M129" s="2976"/>
      <c r="N129" s="2976"/>
      <c r="O129" s="2976"/>
      <c r="P129" s="2976"/>
      <c r="Q129" s="2976"/>
      <c r="R129" s="2976"/>
      <c r="S129" s="2976"/>
      <c r="T129" s="2976"/>
      <c r="U129" s="2976"/>
      <c r="V129" s="2976"/>
      <c r="W129" s="2976"/>
      <c r="X129" s="2976"/>
      <c r="Y129" s="2976"/>
      <c r="Z129" s="2976"/>
      <c r="AA129" s="2976"/>
      <c r="AB129" s="2976"/>
      <c r="AC129" s="2976"/>
      <c r="AD129" s="2976"/>
      <c r="AE129" s="2976"/>
      <c r="AF129" s="2976"/>
    </row>
    <row r="130" spans="1:32">
      <c r="A130" s="2972">
        <v>129</v>
      </c>
      <c r="B130" s="2974" t="s">
        <v>3239</v>
      </c>
      <c r="C130" s="2982" t="s">
        <v>3156</v>
      </c>
      <c r="D130" s="2974" t="s">
        <v>3213</v>
      </c>
      <c r="E130" s="2982" t="s">
        <v>3163</v>
      </c>
      <c r="F130" s="2983">
        <v>56.75</v>
      </c>
      <c r="G130" s="2979">
        <v>15.76</v>
      </c>
      <c r="H130" s="2979">
        <v>72.510000000000005</v>
      </c>
      <c r="I130" s="2974" t="s">
        <v>3055</v>
      </c>
      <c r="J130" s="2981" t="s">
        <v>3155</v>
      </c>
      <c r="L130" s="2976"/>
      <c r="M130" s="2976"/>
      <c r="N130" s="2976"/>
      <c r="O130" s="2976"/>
      <c r="P130" s="2976"/>
      <c r="Q130" s="2976"/>
      <c r="R130" s="2976"/>
      <c r="S130" s="2976"/>
      <c r="T130" s="2976"/>
      <c r="U130" s="2976"/>
      <c r="V130" s="2976"/>
      <c r="W130" s="2976"/>
      <c r="X130" s="2976"/>
      <c r="Y130" s="2976"/>
      <c r="Z130" s="2976"/>
      <c r="AA130" s="2976"/>
      <c r="AB130" s="2976"/>
      <c r="AC130" s="2976"/>
      <c r="AD130" s="2976"/>
      <c r="AE130" s="2976"/>
      <c r="AF130" s="2976"/>
    </row>
    <row r="131" spans="1:32">
      <c r="A131" s="2972">
        <v>130</v>
      </c>
      <c r="B131" s="2974" t="s">
        <v>3239</v>
      </c>
      <c r="C131" s="2982" t="s">
        <v>3156</v>
      </c>
      <c r="D131" s="2974" t="s">
        <v>3213</v>
      </c>
      <c r="E131" s="2982" t="s">
        <v>3166</v>
      </c>
      <c r="F131" s="2983">
        <v>56.78</v>
      </c>
      <c r="G131" s="2979">
        <v>15.77</v>
      </c>
      <c r="H131" s="2979">
        <v>72.55</v>
      </c>
      <c r="I131" s="2974" t="s">
        <v>3055</v>
      </c>
      <c r="J131" s="2981" t="s">
        <v>3155</v>
      </c>
      <c r="L131" s="2976"/>
      <c r="M131" s="2976"/>
      <c r="N131" s="2976"/>
      <c r="O131" s="2976"/>
      <c r="P131" s="2976"/>
      <c r="Q131" s="2976"/>
      <c r="R131" s="2976"/>
      <c r="S131" s="2976"/>
      <c r="T131" s="2976"/>
      <c r="U131" s="2976"/>
      <c r="V131" s="2976"/>
      <c r="W131" s="2976"/>
      <c r="X131" s="2976"/>
      <c r="Y131" s="2976"/>
      <c r="Z131" s="2976"/>
      <c r="AA131" s="2976"/>
      <c r="AB131" s="2976"/>
      <c r="AC131" s="2976"/>
      <c r="AD131" s="2976"/>
      <c r="AE131" s="2976"/>
      <c r="AF131" s="2976"/>
    </row>
    <row r="132" spans="1:32">
      <c r="A132" s="2972">
        <v>131</v>
      </c>
      <c r="B132" s="2974" t="s">
        <v>3239</v>
      </c>
      <c r="C132" s="2982" t="s">
        <v>3156</v>
      </c>
      <c r="D132" s="2974" t="s">
        <v>3213</v>
      </c>
      <c r="E132" s="2982" t="s">
        <v>3167</v>
      </c>
      <c r="F132" s="2983">
        <v>56.78</v>
      </c>
      <c r="G132" s="2979">
        <v>15.77</v>
      </c>
      <c r="H132" s="2979">
        <v>72.55</v>
      </c>
      <c r="I132" s="2974" t="s">
        <v>3055</v>
      </c>
      <c r="J132" s="2981" t="s">
        <v>3155</v>
      </c>
      <c r="L132" s="2976"/>
      <c r="M132" s="2976"/>
      <c r="N132" s="2976"/>
      <c r="O132" s="2976"/>
      <c r="P132" s="2976"/>
      <c r="Q132" s="2976"/>
      <c r="R132" s="2976"/>
      <c r="S132" s="2976"/>
      <c r="T132" s="2976"/>
      <c r="U132" s="2976"/>
      <c r="V132" s="2976"/>
      <c r="W132" s="2976"/>
      <c r="X132" s="2976"/>
      <c r="Y132" s="2976"/>
      <c r="Z132" s="2976"/>
      <c r="AA132" s="2976"/>
      <c r="AB132" s="2976"/>
      <c r="AC132" s="2976"/>
      <c r="AD132" s="2976"/>
      <c r="AE132" s="2976"/>
      <c r="AF132" s="2976"/>
    </row>
    <row r="133" spans="1:32">
      <c r="A133" s="2972">
        <v>132</v>
      </c>
      <c r="B133" s="2974" t="s">
        <v>3239</v>
      </c>
      <c r="C133" s="2982" t="s">
        <v>3156</v>
      </c>
      <c r="D133" s="2974" t="s">
        <v>3213</v>
      </c>
      <c r="E133" s="2982" t="s">
        <v>3168</v>
      </c>
      <c r="F133" s="2983">
        <v>56.75</v>
      </c>
      <c r="G133" s="2979">
        <v>15.76</v>
      </c>
      <c r="H133" s="2979">
        <v>72.510000000000005</v>
      </c>
      <c r="I133" s="2974" t="s">
        <v>3055</v>
      </c>
      <c r="J133" s="2981" t="s">
        <v>3155</v>
      </c>
      <c r="L133" s="2976"/>
      <c r="M133" s="2976"/>
      <c r="N133" s="2976"/>
      <c r="O133" s="2976"/>
      <c r="P133" s="2976"/>
      <c r="Q133" s="2976"/>
      <c r="R133" s="2976"/>
      <c r="S133" s="2976"/>
      <c r="T133" s="2976"/>
      <c r="U133" s="2976"/>
      <c r="V133" s="2976"/>
      <c r="W133" s="2976"/>
      <c r="X133" s="2976"/>
      <c r="Y133" s="2976"/>
      <c r="Z133" s="2976"/>
      <c r="AA133" s="2976"/>
      <c r="AB133" s="2976"/>
      <c r="AC133" s="2976"/>
      <c r="AD133" s="2976"/>
      <c r="AE133" s="2976"/>
      <c r="AF133" s="2976"/>
    </row>
    <row r="134" spans="1:32">
      <c r="A134" s="2972">
        <v>133</v>
      </c>
      <c r="B134" s="2974" t="s">
        <v>3239</v>
      </c>
      <c r="C134" s="2982" t="s">
        <v>3156</v>
      </c>
      <c r="D134" s="2974" t="s">
        <v>3213</v>
      </c>
      <c r="E134" s="2982" t="s">
        <v>3169</v>
      </c>
      <c r="F134" s="2983">
        <v>54.01</v>
      </c>
      <c r="G134" s="2979">
        <v>15</v>
      </c>
      <c r="H134" s="2979">
        <v>69.009999999999991</v>
      </c>
      <c r="I134" s="2974" t="s">
        <v>3055</v>
      </c>
      <c r="J134" s="2981" t="s">
        <v>3154</v>
      </c>
      <c r="L134" s="2976"/>
      <c r="M134" s="2976"/>
      <c r="N134" s="2976"/>
      <c r="O134" s="2976"/>
      <c r="P134" s="2976"/>
      <c r="Q134" s="2976"/>
      <c r="R134" s="2976"/>
      <c r="S134" s="2976"/>
      <c r="T134" s="2976"/>
      <c r="U134" s="2976"/>
      <c r="V134" s="2976"/>
      <c r="W134" s="2976"/>
      <c r="X134" s="2976"/>
      <c r="Y134" s="2976"/>
      <c r="Z134" s="2976"/>
      <c r="AA134" s="2976"/>
      <c r="AB134" s="2976"/>
      <c r="AC134" s="2976"/>
      <c r="AD134" s="2976"/>
      <c r="AE134" s="2976"/>
      <c r="AF134" s="2976"/>
    </row>
    <row r="135" spans="1:32">
      <c r="A135" s="2972">
        <v>134</v>
      </c>
      <c r="B135" s="2974" t="s">
        <v>3239</v>
      </c>
      <c r="C135" s="2982" t="s">
        <v>3157</v>
      </c>
      <c r="D135" s="2974" t="s">
        <v>3215</v>
      </c>
      <c r="E135" s="2982">
        <v>501</v>
      </c>
      <c r="F135" s="2983">
        <v>77.27</v>
      </c>
      <c r="G135" s="2979">
        <v>20.25</v>
      </c>
      <c r="H135" s="2979">
        <v>97.52</v>
      </c>
      <c r="I135" s="2974" t="s">
        <v>3055</v>
      </c>
      <c r="J135" s="2981" t="s">
        <v>3155</v>
      </c>
      <c r="L135" s="2976"/>
      <c r="M135" s="2976"/>
      <c r="N135" s="2976"/>
      <c r="O135" s="2976"/>
      <c r="P135" s="2976"/>
      <c r="Q135" s="2976"/>
      <c r="R135" s="2976"/>
      <c r="S135" s="2976"/>
      <c r="T135" s="2976"/>
      <c r="U135" s="2976"/>
      <c r="V135" s="2976"/>
      <c r="W135" s="2976"/>
      <c r="X135" s="2976"/>
      <c r="Y135" s="2976"/>
      <c r="Z135" s="2976"/>
      <c r="AA135" s="2976"/>
      <c r="AB135" s="2976"/>
      <c r="AC135" s="2976"/>
      <c r="AD135" s="2976"/>
      <c r="AE135" s="2976"/>
      <c r="AF135" s="2976"/>
    </row>
    <row r="136" spans="1:32">
      <c r="A136" s="2972">
        <v>135</v>
      </c>
      <c r="B136" s="2974" t="s">
        <v>3239</v>
      </c>
      <c r="C136" s="2982" t="s">
        <v>3157</v>
      </c>
      <c r="D136" s="2974" t="s">
        <v>3215</v>
      </c>
      <c r="E136" s="2982">
        <v>502</v>
      </c>
      <c r="F136" s="2983">
        <v>56.75</v>
      </c>
      <c r="G136" s="2979">
        <v>14.87</v>
      </c>
      <c r="H136" s="2979">
        <v>71.62</v>
      </c>
      <c r="I136" s="2974" t="s">
        <v>3055</v>
      </c>
      <c r="J136" s="2981" t="s">
        <v>3155</v>
      </c>
      <c r="L136" s="2976"/>
      <c r="M136" s="2976"/>
      <c r="N136" s="2976"/>
      <c r="O136" s="2976"/>
      <c r="P136" s="2976"/>
      <c r="Q136" s="2976"/>
      <c r="R136" s="2976"/>
      <c r="S136" s="2976"/>
      <c r="T136" s="2976"/>
      <c r="U136" s="2976"/>
      <c r="V136" s="2976"/>
      <c r="W136" s="2976"/>
      <c r="X136" s="2976"/>
      <c r="Y136" s="2976"/>
      <c r="Z136" s="2976"/>
      <c r="AA136" s="2976"/>
      <c r="AB136" s="2976"/>
      <c r="AC136" s="2976"/>
      <c r="AD136" s="2976"/>
      <c r="AE136" s="2976"/>
      <c r="AF136" s="2976"/>
    </row>
    <row r="137" spans="1:32">
      <c r="A137" s="2972">
        <v>136</v>
      </c>
      <c r="B137" s="2974" t="s">
        <v>3239</v>
      </c>
      <c r="C137" s="2982" t="s">
        <v>3157</v>
      </c>
      <c r="D137" s="2974" t="s">
        <v>3215</v>
      </c>
      <c r="E137" s="2982">
        <v>503</v>
      </c>
      <c r="F137" s="2983">
        <v>56.78</v>
      </c>
      <c r="G137" s="2979">
        <v>14.88</v>
      </c>
      <c r="H137" s="2979">
        <v>71.66</v>
      </c>
      <c r="I137" s="2974" t="s">
        <v>3055</v>
      </c>
      <c r="J137" s="2981" t="s">
        <v>3155</v>
      </c>
      <c r="L137" s="2976"/>
      <c r="M137" s="2976"/>
      <c r="N137" s="2976"/>
      <c r="O137" s="2976"/>
      <c r="P137" s="2976"/>
      <c r="Q137" s="2976"/>
      <c r="R137" s="2976"/>
      <c r="S137" s="2976"/>
      <c r="T137" s="2976"/>
      <c r="U137" s="2976"/>
      <c r="V137" s="2976"/>
      <c r="W137" s="2976"/>
      <c r="X137" s="2976"/>
      <c r="Y137" s="2976"/>
      <c r="Z137" s="2976"/>
      <c r="AA137" s="2976"/>
      <c r="AB137" s="2976"/>
      <c r="AC137" s="2976"/>
      <c r="AD137" s="2976"/>
      <c r="AE137" s="2976"/>
      <c r="AF137" s="2976"/>
    </row>
    <row r="138" spans="1:32">
      <c r="A138" s="2972">
        <v>137</v>
      </c>
      <c r="B138" s="2974" t="s">
        <v>3239</v>
      </c>
      <c r="C138" s="2982" t="s">
        <v>3157</v>
      </c>
      <c r="D138" s="2974" t="s">
        <v>3215</v>
      </c>
      <c r="E138" s="2982">
        <v>505</v>
      </c>
      <c r="F138" s="2983">
        <v>56.78</v>
      </c>
      <c r="G138" s="2979">
        <v>14.88</v>
      </c>
      <c r="H138" s="2979">
        <v>71.66</v>
      </c>
      <c r="I138" s="2974" t="s">
        <v>3055</v>
      </c>
      <c r="J138" s="2981" t="s">
        <v>3155</v>
      </c>
      <c r="L138" s="2976"/>
      <c r="M138" s="2976"/>
      <c r="N138" s="2976"/>
      <c r="O138" s="2976"/>
      <c r="P138" s="2976"/>
      <c r="Q138" s="2976"/>
      <c r="R138" s="2976"/>
      <c r="S138" s="2976"/>
      <c r="T138" s="2976"/>
      <c r="U138" s="2976"/>
      <c r="V138" s="2976"/>
      <c r="W138" s="2976"/>
      <c r="X138" s="2976"/>
      <c r="Y138" s="2976"/>
      <c r="Z138" s="2976"/>
      <c r="AA138" s="2976"/>
      <c r="AB138" s="2976"/>
      <c r="AC138" s="2976"/>
      <c r="AD138" s="2976"/>
      <c r="AE138" s="2976"/>
      <c r="AF138" s="2976"/>
    </row>
    <row r="139" spans="1:32">
      <c r="A139" s="2972">
        <v>138</v>
      </c>
      <c r="B139" s="2974" t="s">
        <v>3239</v>
      </c>
      <c r="C139" s="2982" t="s">
        <v>3157</v>
      </c>
      <c r="D139" s="2974" t="s">
        <v>3215</v>
      </c>
      <c r="E139" s="2982">
        <v>506</v>
      </c>
      <c r="F139" s="2983">
        <v>56.75</v>
      </c>
      <c r="G139" s="2979">
        <v>14.87</v>
      </c>
      <c r="H139" s="2979">
        <v>71.62</v>
      </c>
      <c r="I139" s="2974" t="s">
        <v>3055</v>
      </c>
      <c r="J139" s="2981" t="s">
        <v>3155</v>
      </c>
      <c r="L139" s="2976"/>
      <c r="M139" s="2976"/>
      <c r="N139" s="2976"/>
      <c r="O139" s="2976"/>
      <c r="P139" s="2976"/>
      <c r="Q139" s="2976"/>
      <c r="R139" s="2976"/>
      <c r="S139" s="2976"/>
      <c r="T139" s="2976"/>
      <c r="U139" s="2976"/>
      <c r="V139" s="2976"/>
      <c r="W139" s="2976"/>
      <c r="X139" s="2976"/>
      <c r="Y139" s="2976"/>
      <c r="Z139" s="2976"/>
      <c r="AA139" s="2976"/>
      <c r="AB139" s="2976"/>
      <c r="AC139" s="2976"/>
      <c r="AD139" s="2976"/>
      <c r="AE139" s="2976"/>
      <c r="AF139" s="2976"/>
    </row>
    <row r="140" spans="1:32">
      <c r="A140" s="2972">
        <v>139</v>
      </c>
      <c r="B140" s="2974" t="s">
        <v>3239</v>
      </c>
      <c r="C140" s="2982" t="s">
        <v>3157</v>
      </c>
      <c r="D140" s="2974" t="s">
        <v>3215</v>
      </c>
      <c r="E140" s="2982">
        <v>507</v>
      </c>
      <c r="F140" s="2983">
        <v>53.84</v>
      </c>
      <c r="G140" s="2979">
        <v>14.11</v>
      </c>
      <c r="H140" s="2979">
        <v>67.95</v>
      </c>
      <c r="I140" s="2974" t="s">
        <v>3055</v>
      </c>
      <c r="J140" s="2981" t="s">
        <v>3154</v>
      </c>
      <c r="L140" s="2976"/>
      <c r="M140" s="2976"/>
      <c r="N140" s="2976"/>
      <c r="O140" s="2976"/>
      <c r="P140" s="2976"/>
      <c r="Q140" s="2976"/>
      <c r="R140" s="2976"/>
      <c r="S140" s="2976"/>
      <c r="T140" s="2976"/>
      <c r="U140" s="2976"/>
      <c r="V140" s="2976"/>
      <c r="W140" s="2976"/>
      <c r="X140" s="2976"/>
      <c r="Y140" s="2976"/>
      <c r="Z140" s="2976"/>
      <c r="AA140" s="2976"/>
      <c r="AB140" s="2976"/>
      <c r="AC140" s="2976"/>
      <c r="AD140" s="2976"/>
      <c r="AE140" s="2976"/>
      <c r="AF140" s="2976"/>
    </row>
    <row r="141" spans="1:32">
      <c r="A141" s="2972">
        <v>140</v>
      </c>
      <c r="B141" s="2974" t="s">
        <v>3239</v>
      </c>
      <c r="C141" s="2982" t="s">
        <v>3157</v>
      </c>
      <c r="D141" s="2974" t="s">
        <v>3213</v>
      </c>
      <c r="E141" s="2982">
        <v>508</v>
      </c>
      <c r="F141" s="2983">
        <v>53.84</v>
      </c>
      <c r="G141" s="2979">
        <v>14.95</v>
      </c>
      <c r="H141" s="2979">
        <v>68.790000000000006</v>
      </c>
      <c r="I141" s="2974" t="s">
        <v>3055</v>
      </c>
      <c r="J141" s="2981" t="s">
        <v>3154</v>
      </c>
      <c r="L141" s="2976"/>
      <c r="M141" s="2976"/>
      <c r="N141" s="2976"/>
      <c r="O141" s="2976"/>
      <c r="P141" s="2976"/>
      <c r="Q141" s="2976"/>
      <c r="R141" s="2976"/>
      <c r="S141" s="2976"/>
      <c r="T141" s="2976"/>
      <c r="U141" s="2976"/>
      <c r="V141" s="2976"/>
      <c r="W141" s="2976"/>
      <c r="X141" s="2976"/>
      <c r="Y141" s="2976"/>
      <c r="Z141" s="2976"/>
      <c r="AA141" s="2976"/>
      <c r="AB141" s="2976"/>
      <c r="AC141" s="2976"/>
      <c r="AD141" s="2976"/>
      <c r="AE141" s="2976"/>
      <c r="AF141" s="2976"/>
    </row>
    <row r="142" spans="1:32">
      <c r="A142" s="2972">
        <v>141</v>
      </c>
      <c r="B142" s="2974" t="s">
        <v>3239</v>
      </c>
      <c r="C142" s="2982" t="s">
        <v>3157</v>
      </c>
      <c r="D142" s="2974" t="s">
        <v>3213</v>
      </c>
      <c r="E142" s="2982">
        <v>509</v>
      </c>
      <c r="F142" s="2983">
        <v>56.75</v>
      </c>
      <c r="G142" s="2979">
        <v>15.76</v>
      </c>
      <c r="H142" s="2979">
        <v>72.510000000000005</v>
      </c>
      <c r="I142" s="2974" t="s">
        <v>3055</v>
      </c>
      <c r="J142" s="2981" t="s">
        <v>3155</v>
      </c>
      <c r="L142" s="2976"/>
      <c r="M142" s="2976"/>
      <c r="N142" s="2976"/>
      <c r="O142" s="2976"/>
      <c r="P142" s="2976"/>
      <c r="Q142" s="2976"/>
      <c r="R142" s="2976"/>
      <c r="S142" s="2976"/>
      <c r="T142" s="2976"/>
      <c r="U142" s="2976"/>
      <c r="V142" s="2976"/>
      <c r="W142" s="2976"/>
      <c r="X142" s="2976"/>
      <c r="Y142" s="2976"/>
      <c r="Z142" s="2976"/>
      <c r="AA142" s="2976"/>
      <c r="AB142" s="2976"/>
      <c r="AC142" s="2976"/>
      <c r="AD142" s="2976"/>
      <c r="AE142" s="2976"/>
      <c r="AF142" s="2976"/>
    </row>
    <row r="143" spans="1:32">
      <c r="A143" s="2972">
        <v>142</v>
      </c>
      <c r="B143" s="2974" t="s">
        <v>3239</v>
      </c>
      <c r="C143" s="2982" t="s">
        <v>3157</v>
      </c>
      <c r="D143" s="2974" t="s">
        <v>3213</v>
      </c>
      <c r="E143" s="2982">
        <v>510</v>
      </c>
      <c r="F143" s="2983">
        <v>56.78</v>
      </c>
      <c r="G143" s="2979">
        <v>15.77</v>
      </c>
      <c r="H143" s="2979">
        <v>72.55</v>
      </c>
      <c r="I143" s="2974" t="s">
        <v>3055</v>
      </c>
      <c r="J143" s="2981" t="s">
        <v>3155</v>
      </c>
      <c r="L143" s="2976"/>
      <c r="M143" s="2976"/>
      <c r="N143" s="2976"/>
      <c r="O143" s="2976"/>
      <c r="P143" s="2976"/>
      <c r="Q143" s="2976"/>
      <c r="R143" s="2976"/>
      <c r="S143" s="2976"/>
      <c r="T143" s="2976"/>
      <c r="U143" s="2976"/>
      <c r="V143" s="2976"/>
      <c r="W143" s="2976"/>
      <c r="X143" s="2976"/>
      <c r="Y143" s="2976"/>
      <c r="Z143" s="2976"/>
      <c r="AA143" s="2976"/>
      <c r="AB143" s="2976"/>
      <c r="AC143" s="2976"/>
      <c r="AD143" s="2976"/>
      <c r="AE143" s="2976"/>
      <c r="AF143" s="2976"/>
    </row>
    <row r="144" spans="1:32">
      <c r="A144" s="2972">
        <v>143</v>
      </c>
      <c r="B144" s="2974" t="s">
        <v>3239</v>
      </c>
      <c r="C144" s="2982" t="s">
        <v>3157</v>
      </c>
      <c r="D144" s="2974" t="s">
        <v>3213</v>
      </c>
      <c r="E144" s="2982">
        <v>511</v>
      </c>
      <c r="F144" s="2983">
        <v>56.78</v>
      </c>
      <c r="G144" s="2979">
        <v>15.77</v>
      </c>
      <c r="H144" s="2979">
        <v>72.55</v>
      </c>
      <c r="I144" s="2974" t="s">
        <v>3055</v>
      </c>
      <c r="J144" s="2981" t="s">
        <v>3155</v>
      </c>
      <c r="L144" s="2976"/>
      <c r="M144" s="2976"/>
      <c r="N144" s="2976"/>
      <c r="O144" s="2976"/>
      <c r="P144" s="2976"/>
      <c r="Q144" s="2976"/>
      <c r="R144" s="2976"/>
      <c r="S144" s="2976"/>
      <c r="T144" s="2976"/>
      <c r="U144" s="2976"/>
      <c r="V144" s="2976"/>
      <c r="W144" s="2976"/>
      <c r="X144" s="2976"/>
      <c r="Y144" s="2976"/>
      <c r="Z144" s="2976"/>
      <c r="AA144" s="2976"/>
      <c r="AB144" s="2976"/>
      <c r="AC144" s="2976"/>
      <c r="AD144" s="2976"/>
      <c r="AE144" s="2976"/>
      <c r="AF144" s="2976"/>
    </row>
    <row r="145" spans="1:32">
      <c r="A145" s="2972">
        <v>144</v>
      </c>
      <c r="B145" s="2974" t="s">
        <v>3239</v>
      </c>
      <c r="C145" s="2982" t="s">
        <v>3157</v>
      </c>
      <c r="D145" s="2974" t="s">
        <v>3213</v>
      </c>
      <c r="E145" s="2982">
        <v>512</v>
      </c>
      <c r="F145" s="2983">
        <v>56.75</v>
      </c>
      <c r="G145" s="2979">
        <v>15.76</v>
      </c>
      <c r="H145" s="2979">
        <v>72.510000000000005</v>
      </c>
      <c r="I145" s="2974" t="s">
        <v>3055</v>
      </c>
      <c r="J145" s="2981" t="s">
        <v>3155</v>
      </c>
      <c r="L145" s="2976"/>
      <c r="M145" s="2976"/>
      <c r="N145" s="2976"/>
      <c r="O145" s="2976"/>
      <c r="P145" s="2976"/>
      <c r="Q145" s="2976"/>
      <c r="R145" s="2976"/>
      <c r="S145" s="2976"/>
      <c r="T145" s="2976"/>
      <c r="U145" s="2976"/>
      <c r="V145" s="2976"/>
      <c r="W145" s="2976"/>
      <c r="X145" s="2976"/>
      <c r="Y145" s="2976"/>
      <c r="Z145" s="2976"/>
      <c r="AA145" s="2976"/>
      <c r="AB145" s="2976"/>
      <c r="AC145" s="2976"/>
      <c r="AD145" s="2976"/>
      <c r="AE145" s="2976"/>
      <c r="AF145" s="2976"/>
    </row>
    <row r="146" spans="1:32">
      <c r="A146" s="2972">
        <v>145</v>
      </c>
      <c r="B146" s="2974" t="s">
        <v>3239</v>
      </c>
      <c r="C146" s="2982" t="s">
        <v>3157</v>
      </c>
      <c r="D146" s="2974" t="s">
        <v>3213</v>
      </c>
      <c r="E146" s="2982">
        <v>513</v>
      </c>
      <c r="F146" s="2983">
        <v>54.01</v>
      </c>
      <c r="G146" s="2979">
        <v>15</v>
      </c>
      <c r="H146" s="2979">
        <v>69.009999999999991</v>
      </c>
      <c r="I146" s="2974" t="s">
        <v>3055</v>
      </c>
      <c r="J146" s="2981" t="s">
        <v>3154</v>
      </c>
      <c r="L146" s="2976"/>
      <c r="M146" s="2976"/>
      <c r="N146" s="2976"/>
      <c r="O146" s="2976"/>
      <c r="P146" s="2976"/>
      <c r="Q146" s="2976"/>
      <c r="R146" s="2976"/>
      <c r="S146" s="2976"/>
      <c r="T146" s="2976"/>
      <c r="U146" s="2976"/>
      <c r="V146" s="2976"/>
      <c r="W146" s="2976"/>
      <c r="X146" s="2976"/>
      <c r="Y146" s="2976"/>
      <c r="Z146" s="2976"/>
      <c r="AA146" s="2976"/>
      <c r="AB146" s="2976"/>
      <c r="AC146" s="2976"/>
      <c r="AD146" s="2976"/>
      <c r="AE146" s="2976"/>
      <c r="AF146" s="2976"/>
    </row>
    <row r="147" spans="1:32">
      <c r="A147" s="2972">
        <v>146</v>
      </c>
      <c r="B147" s="2974" t="s">
        <v>3239</v>
      </c>
      <c r="C147" s="2982" t="s">
        <v>3158</v>
      </c>
      <c r="D147" s="2974" t="s">
        <v>3215</v>
      </c>
      <c r="E147" s="2982">
        <v>601</v>
      </c>
      <c r="F147" s="2983">
        <v>77.27</v>
      </c>
      <c r="G147" s="2979">
        <v>20.25</v>
      </c>
      <c r="H147" s="2979">
        <v>97.52</v>
      </c>
      <c r="I147" s="2974" t="s">
        <v>3055</v>
      </c>
      <c r="J147" s="2981" t="s">
        <v>3155</v>
      </c>
      <c r="L147" s="2976"/>
      <c r="M147" s="2976"/>
      <c r="N147" s="2976"/>
      <c r="O147" s="2976"/>
      <c r="P147" s="2976"/>
      <c r="Q147" s="2976"/>
      <c r="R147" s="2976"/>
      <c r="S147" s="2976"/>
      <c r="T147" s="2976"/>
      <c r="U147" s="2976"/>
      <c r="V147" s="2976"/>
      <c r="W147" s="2976"/>
      <c r="X147" s="2976"/>
      <c r="Y147" s="2976"/>
      <c r="Z147" s="2976"/>
      <c r="AA147" s="2976"/>
      <c r="AB147" s="2976"/>
      <c r="AC147" s="2976"/>
      <c r="AD147" s="2976"/>
      <c r="AE147" s="2976"/>
      <c r="AF147" s="2976"/>
    </row>
    <row r="148" spans="1:32">
      <c r="A148" s="2972">
        <v>147</v>
      </c>
      <c r="B148" s="2974" t="s">
        <v>3239</v>
      </c>
      <c r="C148" s="2982" t="s">
        <v>3158</v>
      </c>
      <c r="D148" s="2974" t="s">
        <v>3215</v>
      </c>
      <c r="E148" s="2982">
        <v>602</v>
      </c>
      <c r="F148" s="2983">
        <v>56.75</v>
      </c>
      <c r="G148" s="2979">
        <v>14.87</v>
      </c>
      <c r="H148" s="2979">
        <v>71.62</v>
      </c>
      <c r="I148" s="2974" t="s">
        <v>3055</v>
      </c>
      <c r="J148" s="2981" t="s">
        <v>3155</v>
      </c>
      <c r="L148" s="2976"/>
      <c r="M148" s="2976"/>
      <c r="N148" s="2976"/>
      <c r="O148" s="2976"/>
      <c r="P148" s="2976"/>
      <c r="Q148" s="2976"/>
      <c r="R148" s="2976"/>
      <c r="S148" s="2976"/>
      <c r="T148" s="2976"/>
      <c r="U148" s="2976"/>
      <c r="V148" s="2976"/>
      <c r="W148" s="2976"/>
      <c r="X148" s="2976"/>
      <c r="Y148" s="2976"/>
      <c r="Z148" s="2976"/>
      <c r="AA148" s="2976"/>
      <c r="AB148" s="2976"/>
      <c r="AC148" s="2976"/>
      <c r="AD148" s="2976"/>
      <c r="AE148" s="2976"/>
      <c r="AF148" s="2976"/>
    </row>
    <row r="149" spans="1:32">
      <c r="A149" s="2972">
        <v>148</v>
      </c>
      <c r="B149" s="2974" t="s">
        <v>3239</v>
      </c>
      <c r="C149" s="2982" t="s">
        <v>3158</v>
      </c>
      <c r="D149" s="2974" t="s">
        <v>3215</v>
      </c>
      <c r="E149" s="2982">
        <v>603</v>
      </c>
      <c r="F149" s="2983">
        <v>56.78</v>
      </c>
      <c r="G149" s="2979">
        <v>14.88</v>
      </c>
      <c r="H149" s="2979">
        <v>71.66</v>
      </c>
      <c r="I149" s="2974" t="s">
        <v>3055</v>
      </c>
      <c r="J149" s="2981" t="s">
        <v>3155</v>
      </c>
      <c r="L149" s="2976"/>
      <c r="M149" s="2976"/>
      <c r="N149" s="2976"/>
      <c r="O149" s="2976"/>
      <c r="P149" s="2976"/>
      <c r="Q149" s="2976"/>
      <c r="R149" s="2976"/>
      <c r="S149" s="2976"/>
      <c r="T149" s="2976"/>
      <c r="U149" s="2976"/>
      <c r="V149" s="2976"/>
      <c r="W149" s="2976"/>
      <c r="X149" s="2976"/>
      <c r="Y149" s="2976"/>
      <c r="Z149" s="2976"/>
      <c r="AA149" s="2976"/>
      <c r="AB149" s="2976"/>
      <c r="AC149" s="2976"/>
      <c r="AD149" s="2976"/>
      <c r="AE149" s="2976"/>
      <c r="AF149" s="2976"/>
    </row>
    <row r="150" spans="1:32">
      <c r="A150" s="2972">
        <v>149</v>
      </c>
      <c r="B150" s="2974" t="s">
        <v>3239</v>
      </c>
      <c r="C150" s="2982" t="s">
        <v>3158</v>
      </c>
      <c r="D150" s="2974" t="s">
        <v>3215</v>
      </c>
      <c r="E150" s="2982">
        <v>605</v>
      </c>
      <c r="F150" s="2983">
        <v>56.78</v>
      </c>
      <c r="G150" s="2979">
        <v>14.88</v>
      </c>
      <c r="H150" s="2979">
        <v>71.66</v>
      </c>
      <c r="I150" s="2974" t="s">
        <v>3055</v>
      </c>
      <c r="J150" s="2981" t="s">
        <v>3155</v>
      </c>
      <c r="L150" s="2976"/>
      <c r="M150" s="2976"/>
      <c r="N150" s="2976"/>
      <c r="O150" s="2976"/>
      <c r="P150" s="2976"/>
      <c r="Q150" s="2976"/>
      <c r="R150" s="2976"/>
      <c r="S150" s="2976"/>
      <c r="T150" s="2976"/>
      <c r="U150" s="2976"/>
      <c r="V150" s="2976"/>
      <c r="W150" s="2976"/>
      <c r="X150" s="2976"/>
      <c r="Y150" s="2976"/>
      <c r="Z150" s="2976"/>
      <c r="AA150" s="2976"/>
      <c r="AB150" s="2976"/>
      <c r="AC150" s="2976"/>
      <c r="AD150" s="2976"/>
      <c r="AE150" s="2976"/>
      <c r="AF150" s="2976"/>
    </row>
    <row r="151" spans="1:32">
      <c r="A151" s="2972">
        <v>150</v>
      </c>
      <c r="B151" s="2974" t="s">
        <v>3239</v>
      </c>
      <c r="C151" s="2982" t="s">
        <v>3158</v>
      </c>
      <c r="D151" s="2974" t="s">
        <v>3215</v>
      </c>
      <c r="E151" s="2982">
        <v>606</v>
      </c>
      <c r="F151" s="2983">
        <v>56.75</v>
      </c>
      <c r="G151" s="2979">
        <v>14.87</v>
      </c>
      <c r="H151" s="2979">
        <v>71.62</v>
      </c>
      <c r="I151" s="2974" t="s">
        <v>3055</v>
      </c>
      <c r="J151" s="2981" t="s">
        <v>3155</v>
      </c>
      <c r="L151" s="2976"/>
      <c r="M151" s="2976"/>
      <c r="N151" s="2976"/>
      <c r="O151" s="2976"/>
      <c r="P151" s="2976"/>
      <c r="Q151" s="2976"/>
      <c r="R151" s="2976"/>
      <c r="S151" s="2976"/>
      <c r="T151" s="2976"/>
      <c r="U151" s="2976"/>
      <c r="V151" s="2976"/>
      <c r="W151" s="2976"/>
      <c r="X151" s="2976"/>
      <c r="Y151" s="2976"/>
      <c r="Z151" s="2976"/>
      <c r="AA151" s="2976"/>
      <c r="AB151" s="2976"/>
      <c r="AC151" s="2976"/>
      <c r="AD151" s="2976"/>
      <c r="AE151" s="2976"/>
      <c r="AF151" s="2976"/>
    </row>
    <row r="152" spans="1:32">
      <c r="A152" s="2972">
        <v>151</v>
      </c>
      <c r="B152" s="2974" t="s">
        <v>3239</v>
      </c>
      <c r="C152" s="2982" t="s">
        <v>3158</v>
      </c>
      <c r="D152" s="2974" t="s">
        <v>3215</v>
      </c>
      <c r="E152" s="2982">
        <v>607</v>
      </c>
      <c r="F152" s="2983">
        <v>53.84</v>
      </c>
      <c r="G152" s="2979">
        <v>14.11</v>
      </c>
      <c r="H152" s="2979">
        <v>67.95</v>
      </c>
      <c r="I152" s="2974" t="s">
        <v>3055</v>
      </c>
      <c r="J152" s="2981" t="s">
        <v>3154</v>
      </c>
      <c r="L152" s="2976"/>
      <c r="M152" s="2976"/>
      <c r="N152" s="2976"/>
      <c r="O152" s="2976"/>
      <c r="P152" s="2976"/>
      <c r="Q152" s="2976"/>
      <c r="R152" s="2976"/>
      <c r="S152" s="2976"/>
      <c r="T152" s="2976"/>
      <c r="U152" s="2976"/>
      <c r="V152" s="2976"/>
      <c r="W152" s="2976"/>
      <c r="X152" s="2976"/>
      <c r="Y152" s="2976"/>
      <c r="Z152" s="2976"/>
      <c r="AA152" s="2976"/>
      <c r="AB152" s="2976"/>
      <c r="AC152" s="2976"/>
      <c r="AD152" s="2976"/>
      <c r="AE152" s="2976"/>
      <c r="AF152" s="2976"/>
    </row>
    <row r="153" spans="1:32">
      <c r="A153" s="2972">
        <v>152</v>
      </c>
      <c r="B153" s="2974" t="s">
        <v>3239</v>
      </c>
      <c r="C153" s="2982" t="s">
        <v>3158</v>
      </c>
      <c r="D153" s="2974" t="s">
        <v>3213</v>
      </c>
      <c r="E153" s="2982">
        <v>608</v>
      </c>
      <c r="F153" s="2983">
        <v>53.84</v>
      </c>
      <c r="G153" s="2979">
        <v>14.95</v>
      </c>
      <c r="H153" s="2979">
        <v>68.790000000000006</v>
      </c>
      <c r="I153" s="2974" t="s">
        <v>3055</v>
      </c>
      <c r="J153" s="2981" t="s">
        <v>3154</v>
      </c>
      <c r="L153" s="2976"/>
      <c r="M153" s="2976"/>
      <c r="N153" s="2976"/>
      <c r="O153" s="2976"/>
      <c r="P153" s="2976"/>
      <c r="Q153" s="2976"/>
      <c r="R153" s="2976"/>
      <c r="S153" s="2976"/>
      <c r="T153" s="2976"/>
      <c r="U153" s="2976"/>
      <c r="V153" s="2976"/>
      <c r="W153" s="2976"/>
      <c r="X153" s="2976"/>
      <c r="Y153" s="2976"/>
      <c r="Z153" s="2976"/>
      <c r="AA153" s="2976"/>
      <c r="AB153" s="2976"/>
      <c r="AC153" s="2976"/>
      <c r="AD153" s="2976"/>
      <c r="AE153" s="2976"/>
      <c r="AF153" s="2976"/>
    </row>
    <row r="154" spans="1:32">
      <c r="A154" s="2972">
        <v>153</v>
      </c>
      <c r="B154" s="2974" t="s">
        <v>3239</v>
      </c>
      <c r="C154" s="2982" t="s">
        <v>3158</v>
      </c>
      <c r="D154" s="2974" t="s">
        <v>3213</v>
      </c>
      <c r="E154" s="2982">
        <v>609</v>
      </c>
      <c r="F154" s="2983">
        <v>56.75</v>
      </c>
      <c r="G154" s="2979">
        <v>15.76</v>
      </c>
      <c r="H154" s="2979">
        <v>72.510000000000005</v>
      </c>
      <c r="I154" s="2974" t="s">
        <v>3055</v>
      </c>
      <c r="J154" s="2981" t="s">
        <v>3155</v>
      </c>
      <c r="L154" s="2976"/>
      <c r="M154" s="2976"/>
      <c r="N154" s="2976"/>
      <c r="O154" s="2976"/>
      <c r="P154" s="2976"/>
      <c r="Q154" s="2976"/>
      <c r="R154" s="2976"/>
      <c r="S154" s="2976"/>
      <c r="T154" s="2976"/>
      <c r="U154" s="2976"/>
      <c r="V154" s="2976"/>
      <c r="W154" s="2976"/>
      <c r="X154" s="2976"/>
      <c r="Y154" s="2976"/>
      <c r="Z154" s="2976"/>
      <c r="AA154" s="2976"/>
      <c r="AB154" s="2976"/>
      <c r="AC154" s="2976"/>
      <c r="AD154" s="2976"/>
      <c r="AE154" s="2976"/>
      <c r="AF154" s="2976"/>
    </row>
    <row r="155" spans="1:32">
      <c r="A155" s="2972">
        <v>154</v>
      </c>
      <c r="B155" s="2974" t="s">
        <v>3239</v>
      </c>
      <c r="C155" s="2982" t="s">
        <v>3158</v>
      </c>
      <c r="D155" s="2974" t="s">
        <v>3213</v>
      </c>
      <c r="E155" s="2982">
        <v>610</v>
      </c>
      <c r="F155" s="2983">
        <v>56.78</v>
      </c>
      <c r="G155" s="2979">
        <v>15.77</v>
      </c>
      <c r="H155" s="2979">
        <v>72.55</v>
      </c>
      <c r="I155" s="2974" t="s">
        <v>3055</v>
      </c>
      <c r="J155" s="2981" t="s">
        <v>3155</v>
      </c>
      <c r="L155" s="2976"/>
      <c r="M155" s="2976"/>
      <c r="N155" s="2976"/>
      <c r="O155" s="2976"/>
      <c r="P155" s="2976"/>
      <c r="Q155" s="2976"/>
      <c r="R155" s="2976"/>
      <c r="S155" s="2976"/>
      <c r="T155" s="2976"/>
      <c r="U155" s="2976"/>
      <c r="V155" s="2976"/>
      <c r="W155" s="2976"/>
      <c r="X155" s="2976"/>
      <c r="Y155" s="2976"/>
      <c r="Z155" s="2976"/>
      <c r="AA155" s="2976"/>
      <c r="AB155" s="2976"/>
      <c r="AC155" s="2976"/>
      <c r="AD155" s="2976"/>
      <c r="AE155" s="2976"/>
      <c r="AF155" s="2976"/>
    </row>
    <row r="156" spans="1:32">
      <c r="A156" s="2972">
        <v>155</v>
      </c>
      <c r="B156" s="2974" t="s">
        <v>3239</v>
      </c>
      <c r="C156" s="2982" t="s">
        <v>3158</v>
      </c>
      <c r="D156" s="2974" t="s">
        <v>3213</v>
      </c>
      <c r="E156" s="2982">
        <v>611</v>
      </c>
      <c r="F156" s="2983">
        <v>56.78</v>
      </c>
      <c r="G156" s="2979">
        <v>15.77</v>
      </c>
      <c r="H156" s="2979">
        <v>72.55</v>
      </c>
      <c r="I156" s="2974" t="s">
        <v>3055</v>
      </c>
      <c r="J156" s="2981" t="s">
        <v>3155</v>
      </c>
      <c r="L156" s="2976"/>
      <c r="M156" s="2976"/>
      <c r="N156" s="2976"/>
      <c r="O156" s="2976"/>
      <c r="P156" s="2976"/>
      <c r="Q156" s="2976"/>
      <c r="R156" s="2976"/>
      <c r="S156" s="2976"/>
      <c r="T156" s="2976"/>
      <c r="U156" s="2976"/>
      <c r="V156" s="2976"/>
      <c r="W156" s="2976"/>
      <c r="X156" s="2976"/>
      <c r="Y156" s="2976"/>
      <c r="Z156" s="2976"/>
      <c r="AA156" s="2976"/>
      <c r="AB156" s="2976"/>
      <c r="AC156" s="2976"/>
      <c r="AD156" s="2976"/>
      <c r="AE156" s="2976"/>
      <c r="AF156" s="2976"/>
    </row>
    <row r="157" spans="1:32">
      <c r="A157" s="2972">
        <v>156</v>
      </c>
      <c r="B157" s="2974" t="s">
        <v>3239</v>
      </c>
      <c r="C157" s="2982" t="s">
        <v>3158</v>
      </c>
      <c r="D157" s="2974" t="s">
        <v>3213</v>
      </c>
      <c r="E157" s="2982">
        <v>612</v>
      </c>
      <c r="F157" s="2983">
        <v>56.75</v>
      </c>
      <c r="G157" s="2979">
        <v>15.76</v>
      </c>
      <c r="H157" s="2979">
        <v>72.510000000000005</v>
      </c>
      <c r="I157" s="2974" t="s">
        <v>3055</v>
      </c>
      <c r="J157" s="2981" t="s">
        <v>3155</v>
      </c>
      <c r="L157" s="2976"/>
      <c r="M157" s="2976"/>
      <c r="N157" s="2976"/>
      <c r="O157" s="2976"/>
      <c r="P157" s="2976"/>
      <c r="Q157" s="2976"/>
      <c r="R157" s="2976"/>
      <c r="S157" s="2976"/>
      <c r="T157" s="2976"/>
      <c r="U157" s="2976"/>
      <c r="V157" s="2976"/>
      <c r="W157" s="2976"/>
      <c r="X157" s="2976"/>
      <c r="Y157" s="2976"/>
      <c r="Z157" s="2976"/>
      <c r="AA157" s="2976"/>
      <c r="AB157" s="2976"/>
      <c r="AC157" s="2976"/>
      <c r="AD157" s="2976"/>
      <c r="AE157" s="2976"/>
      <c r="AF157" s="2976"/>
    </row>
    <row r="158" spans="1:32">
      <c r="A158" s="2972">
        <v>157</v>
      </c>
      <c r="B158" s="2974" t="s">
        <v>3239</v>
      </c>
      <c r="C158" s="2982" t="s">
        <v>3158</v>
      </c>
      <c r="D158" s="2974" t="s">
        <v>3213</v>
      </c>
      <c r="E158" s="2982">
        <v>613</v>
      </c>
      <c r="F158" s="2983">
        <v>54.01</v>
      </c>
      <c r="G158" s="2979">
        <v>15</v>
      </c>
      <c r="H158" s="2979">
        <v>69.009999999999991</v>
      </c>
      <c r="I158" s="2974" t="s">
        <v>3055</v>
      </c>
      <c r="J158" s="2981" t="s">
        <v>3154</v>
      </c>
      <c r="L158" s="2976"/>
      <c r="M158" s="2976"/>
      <c r="N158" s="2976"/>
      <c r="O158" s="2976"/>
      <c r="P158" s="2976"/>
      <c r="Q158" s="2976"/>
      <c r="R158" s="2976"/>
      <c r="S158" s="2976"/>
      <c r="T158" s="2976"/>
      <c r="U158" s="2976"/>
      <c r="V158" s="2976"/>
      <c r="W158" s="2976"/>
      <c r="X158" s="2976"/>
      <c r="Y158" s="2976"/>
      <c r="Z158" s="2976"/>
      <c r="AA158" s="2976"/>
      <c r="AB158" s="2976"/>
      <c r="AC158" s="2976"/>
      <c r="AD158" s="2976"/>
      <c r="AE158" s="2976"/>
      <c r="AF158" s="2976"/>
    </row>
    <row r="159" spans="1:32">
      <c r="A159" s="2972">
        <v>158</v>
      </c>
      <c r="B159" s="2974" t="s">
        <v>3240</v>
      </c>
      <c r="C159" s="2982" t="s">
        <v>3153</v>
      </c>
      <c r="D159" s="2974" t="s">
        <v>3215</v>
      </c>
      <c r="E159" s="2982">
        <v>301</v>
      </c>
      <c r="F159" s="2983">
        <v>77.27</v>
      </c>
      <c r="G159" s="2979">
        <v>24.51</v>
      </c>
      <c r="H159" s="2979">
        <v>101.78</v>
      </c>
      <c r="I159" s="2974" t="s">
        <v>3055</v>
      </c>
      <c r="J159" s="2981" t="s">
        <v>3155</v>
      </c>
      <c r="L159" s="2976"/>
      <c r="M159" s="2976"/>
      <c r="N159" s="2976"/>
      <c r="O159" s="2976"/>
      <c r="P159" s="2976"/>
      <c r="Q159" s="2976"/>
      <c r="R159" s="2976"/>
      <c r="S159" s="2976"/>
      <c r="T159" s="2976"/>
      <c r="U159" s="2976"/>
      <c r="V159" s="2976"/>
      <c r="W159" s="2976"/>
      <c r="X159" s="2976"/>
      <c r="Y159" s="2976"/>
      <c r="Z159" s="2976"/>
      <c r="AA159" s="2976"/>
      <c r="AB159" s="2976"/>
      <c r="AC159" s="2976"/>
      <c r="AD159" s="2976"/>
      <c r="AE159" s="2976"/>
      <c r="AF159" s="2976"/>
    </row>
    <row r="160" spans="1:32">
      <c r="A160" s="2972">
        <v>159</v>
      </c>
      <c r="B160" s="2974" t="s">
        <v>3240</v>
      </c>
      <c r="C160" s="2982" t="s">
        <v>3153</v>
      </c>
      <c r="D160" s="2974" t="s">
        <v>3215</v>
      </c>
      <c r="E160" s="2982">
        <v>302</v>
      </c>
      <c r="F160" s="2983">
        <v>68.87</v>
      </c>
      <c r="G160" s="2979">
        <v>21.84</v>
      </c>
      <c r="H160" s="2979">
        <v>90.710000000000008</v>
      </c>
      <c r="I160" s="2974" t="s">
        <v>3055</v>
      </c>
      <c r="J160" s="2981" t="s">
        <v>3162</v>
      </c>
      <c r="L160" s="2976"/>
      <c r="M160" s="2976"/>
      <c r="N160" s="2976"/>
      <c r="O160" s="2976"/>
      <c r="P160" s="2976"/>
      <c r="Q160" s="2976"/>
      <c r="R160" s="2976"/>
      <c r="S160" s="2976"/>
      <c r="T160" s="2976"/>
      <c r="U160" s="2976"/>
      <c r="V160" s="2976"/>
      <c r="W160" s="2976"/>
      <c r="X160" s="2976"/>
      <c r="Y160" s="2976"/>
      <c r="Z160" s="2976"/>
      <c r="AA160" s="2976"/>
      <c r="AB160" s="2976"/>
      <c r="AC160" s="2976"/>
      <c r="AD160" s="2976"/>
      <c r="AE160" s="2976"/>
      <c r="AF160" s="2976"/>
    </row>
    <row r="161" spans="1:32">
      <c r="A161" s="2972">
        <v>160</v>
      </c>
      <c r="B161" s="2974" t="s">
        <v>3240</v>
      </c>
      <c r="C161" s="2982" t="s">
        <v>3153</v>
      </c>
      <c r="D161" s="2974" t="s">
        <v>3215</v>
      </c>
      <c r="E161" s="2982">
        <v>303</v>
      </c>
      <c r="F161" s="2983">
        <v>68.87</v>
      </c>
      <c r="G161" s="2979">
        <v>21.84</v>
      </c>
      <c r="H161" s="2979">
        <v>90.710000000000008</v>
      </c>
      <c r="I161" s="2974" t="s">
        <v>3055</v>
      </c>
      <c r="J161" s="2981" t="s">
        <v>3162</v>
      </c>
      <c r="L161" s="2976"/>
      <c r="M161" s="2976"/>
      <c r="N161" s="2976"/>
      <c r="O161" s="2976"/>
      <c r="P161" s="2976"/>
      <c r="Q161" s="2976"/>
      <c r="R161" s="2976"/>
      <c r="S161" s="2976"/>
      <c r="T161" s="2976"/>
      <c r="U161" s="2976"/>
      <c r="V161" s="2976"/>
      <c r="W161" s="2976"/>
      <c r="X161" s="2976"/>
      <c r="Y161" s="2976"/>
      <c r="Z161" s="2976"/>
      <c r="AA161" s="2976"/>
      <c r="AB161" s="2976"/>
      <c r="AC161" s="2976"/>
      <c r="AD161" s="2976"/>
      <c r="AE161" s="2976"/>
      <c r="AF161" s="2976"/>
    </row>
    <row r="162" spans="1:32">
      <c r="A162" s="2972">
        <v>161</v>
      </c>
      <c r="B162" s="2974" t="s">
        <v>3240</v>
      </c>
      <c r="C162" s="2982" t="s">
        <v>3153</v>
      </c>
      <c r="D162" s="2974" t="s">
        <v>3215</v>
      </c>
      <c r="E162" s="2982">
        <v>305</v>
      </c>
      <c r="F162" s="2983">
        <v>52.98</v>
      </c>
      <c r="G162" s="2979">
        <v>16.8</v>
      </c>
      <c r="H162" s="2979">
        <v>69.78</v>
      </c>
      <c r="I162" s="2974" t="s">
        <v>3055</v>
      </c>
      <c r="J162" s="2981" t="s">
        <v>3154</v>
      </c>
      <c r="L162" s="2976"/>
      <c r="M162" s="2976"/>
      <c r="N162" s="2976"/>
      <c r="O162" s="2976"/>
      <c r="P162" s="2976"/>
      <c r="Q162" s="2976"/>
      <c r="R162" s="2976"/>
      <c r="S162" s="2976"/>
      <c r="T162" s="2976"/>
      <c r="U162" s="2976"/>
      <c r="V162" s="2976"/>
      <c r="W162" s="2976"/>
      <c r="X162" s="2976"/>
      <c r="Y162" s="2976"/>
      <c r="Z162" s="2976"/>
      <c r="AA162" s="2976"/>
      <c r="AB162" s="2976"/>
      <c r="AC162" s="2976"/>
      <c r="AD162" s="2976"/>
      <c r="AE162" s="2976"/>
      <c r="AF162" s="2976"/>
    </row>
    <row r="163" spans="1:32">
      <c r="A163" s="2972">
        <v>162</v>
      </c>
      <c r="B163" s="2974" t="s">
        <v>3240</v>
      </c>
      <c r="C163" s="2982" t="s">
        <v>3153</v>
      </c>
      <c r="D163" s="2974" t="s">
        <v>3213</v>
      </c>
      <c r="E163" s="2982">
        <v>306</v>
      </c>
      <c r="F163" s="2983">
        <v>52.98</v>
      </c>
      <c r="G163" s="2979">
        <v>16.8</v>
      </c>
      <c r="H163" s="2979">
        <v>69.78</v>
      </c>
      <c r="I163" s="2974" t="s">
        <v>3055</v>
      </c>
      <c r="J163" s="2981" t="s">
        <v>3154</v>
      </c>
      <c r="L163" s="2976"/>
      <c r="M163" s="2976"/>
      <c r="N163" s="2976"/>
      <c r="O163" s="2976"/>
      <c r="P163" s="2976"/>
      <c r="Q163" s="2976"/>
      <c r="R163" s="2976"/>
      <c r="S163" s="2976"/>
      <c r="T163" s="2976"/>
      <c r="U163" s="2976"/>
      <c r="V163" s="2976"/>
      <c r="W163" s="2976"/>
      <c r="X163" s="2976"/>
      <c r="Y163" s="2976"/>
      <c r="Z163" s="2976"/>
      <c r="AA163" s="2976"/>
      <c r="AB163" s="2976"/>
      <c r="AC163" s="2976"/>
      <c r="AD163" s="2976"/>
      <c r="AE163" s="2976"/>
      <c r="AF163" s="2976"/>
    </row>
    <row r="164" spans="1:32">
      <c r="A164" s="2972">
        <v>163</v>
      </c>
      <c r="B164" s="2974" t="s">
        <v>3240</v>
      </c>
      <c r="C164" s="2982" t="s">
        <v>3153</v>
      </c>
      <c r="D164" s="2974" t="s">
        <v>3213</v>
      </c>
      <c r="E164" s="2982">
        <v>307</v>
      </c>
      <c r="F164" s="2983">
        <v>68.87</v>
      </c>
      <c r="G164" s="2979">
        <v>21.84</v>
      </c>
      <c r="H164" s="2979">
        <v>90.710000000000008</v>
      </c>
      <c r="I164" s="2974" t="s">
        <v>3055</v>
      </c>
      <c r="J164" s="2981" t="s">
        <v>3162</v>
      </c>
      <c r="L164" s="2976"/>
      <c r="M164" s="2976"/>
      <c r="N164" s="2976"/>
      <c r="O164" s="2976"/>
      <c r="P164" s="2976"/>
      <c r="Q164" s="2976"/>
      <c r="R164" s="2976"/>
      <c r="S164" s="2976"/>
      <c r="T164" s="2976"/>
      <c r="U164" s="2976"/>
      <c r="V164" s="2976"/>
      <c r="W164" s="2976"/>
      <c r="X164" s="2976"/>
      <c r="Y164" s="2976"/>
      <c r="Z164" s="2976"/>
      <c r="AA164" s="2976"/>
      <c r="AB164" s="2976"/>
      <c r="AC164" s="2976"/>
      <c r="AD164" s="2976"/>
      <c r="AE164" s="2976"/>
      <c r="AF164" s="2976"/>
    </row>
    <row r="165" spans="1:32">
      <c r="A165" s="2972">
        <v>164</v>
      </c>
      <c r="B165" s="2974" t="s">
        <v>3240</v>
      </c>
      <c r="C165" s="2982" t="s">
        <v>3153</v>
      </c>
      <c r="D165" s="2974" t="s">
        <v>3213</v>
      </c>
      <c r="E165" s="2982">
        <v>308</v>
      </c>
      <c r="F165" s="2983">
        <v>68.87</v>
      </c>
      <c r="G165" s="2979">
        <v>21.84</v>
      </c>
      <c r="H165" s="2979">
        <v>90.710000000000008</v>
      </c>
      <c r="I165" s="2974" t="s">
        <v>3055</v>
      </c>
      <c r="J165" s="2981" t="s">
        <v>3162</v>
      </c>
      <c r="L165" s="2976"/>
      <c r="M165" s="2976"/>
      <c r="N165" s="2976"/>
      <c r="O165" s="2976"/>
      <c r="P165" s="2976"/>
      <c r="Q165" s="2976"/>
      <c r="R165" s="2976"/>
      <c r="S165" s="2976"/>
      <c r="T165" s="2976"/>
      <c r="U165" s="2976"/>
      <c r="V165" s="2976"/>
      <c r="W165" s="2976"/>
      <c r="X165" s="2976"/>
      <c r="Y165" s="2976"/>
      <c r="Z165" s="2976"/>
      <c r="AA165" s="2976"/>
      <c r="AB165" s="2976"/>
      <c r="AC165" s="2976"/>
      <c r="AD165" s="2976"/>
      <c r="AE165" s="2976"/>
      <c r="AF165" s="2976"/>
    </row>
    <row r="166" spans="1:32">
      <c r="A166" s="2972">
        <v>165</v>
      </c>
      <c r="B166" s="2974" t="s">
        <v>3240</v>
      </c>
      <c r="C166" s="2982" t="s">
        <v>3153</v>
      </c>
      <c r="D166" s="2974" t="s">
        <v>3213</v>
      </c>
      <c r="E166" s="2982">
        <v>309</v>
      </c>
      <c r="F166" s="2983">
        <v>77.27</v>
      </c>
      <c r="G166" s="2979">
        <v>24.51</v>
      </c>
      <c r="H166" s="2979">
        <v>101.78</v>
      </c>
      <c r="I166" s="2974" t="s">
        <v>3055</v>
      </c>
      <c r="J166" s="2981" t="s">
        <v>3155</v>
      </c>
      <c r="L166" s="2976"/>
      <c r="M166" s="2976"/>
      <c r="N166" s="2976"/>
      <c r="O166" s="2976"/>
      <c r="P166" s="2976"/>
      <c r="Q166" s="2976"/>
      <c r="R166" s="2976"/>
      <c r="S166" s="2976"/>
      <c r="T166" s="2976"/>
      <c r="U166" s="2976"/>
      <c r="V166" s="2976"/>
      <c r="W166" s="2976"/>
      <c r="X166" s="2976"/>
      <c r="Y166" s="2976"/>
      <c r="Z166" s="2976"/>
      <c r="AA166" s="2976"/>
      <c r="AB166" s="2976"/>
      <c r="AC166" s="2976"/>
      <c r="AD166" s="2976"/>
      <c r="AE166" s="2976"/>
      <c r="AF166" s="2976"/>
    </row>
    <row r="167" spans="1:32">
      <c r="A167" s="2972">
        <v>166</v>
      </c>
      <c r="B167" s="2974" t="s">
        <v>3240</v>
      </c>
      <c r="C167" s="2982" t="s">
        <v>3156</v>
      </c>
      <c r="D167" s="2974" t="s">
        <v>3215</v>
      </c>
      <c r="E167" s="2982" t="s">
        <v>3145</v>
      </c>
      <c r="F167" s="2983">
        <v>77.27</v>
      </c>
      <c r="G167" s="2979">
        <v>24.51</v>
      </c>
      <c r="H167" s="2979">
        <v>101.78</v>
      </c>
      <c r="I167" s="2974" t="s">
        <v>3055</v>
      </c>
      <c r="J167" s="2981" t="s">
        <v>3155</v>
      </c>
      <c r="L167" s="2976"/>
      <c r="M167" s="2976"/>
      <c r="N167" s="2976"/>
      <c r="O167" s="2976"/>
      <c r="P167" s="2976"/>
      <c r="Q167" s="2976"/>
      <c r="R167" s="2976"/>
      <c r="S167" s="2976"/>
      <c r="T167" s="2976"/>
      <c r="U167" s="2976"/>
      <c r="V167" s="2976"/>
      <c r="W167" s="2976"/>
      <c r="X167" s="2976"/>
      <c r="Y167" s="2976"/>
      <c r="Z167" s="2976"/>
      <c r="AA167" s="2976"/>
      <c r="AB167" s="2976"/>
      <c r="AC167" s="2976"/>
      <c r="AD167" s="2976"/>
      <c r="AE167" s="2976"/>
      <c r="AF167" s="2976"/>
    </row>
    <row r="168" spans="1:32">
      <c r="A168" s="2972">
        <v>167</v>
      </c>
      <c r="B168" s="2974" t="s">
        <v>3240</v>
      </c>
      <c r="C168" s="2982" t="s">
        <v>3156</v>
      </c>
      <c r="D168" s="2974" t="s">
        <v>3215</v>
      </c>
      <c r="E168" s="2982" t="s">
        <v>3146</v>
      </c>
      <c r="F168" s="2983">
        <v>68.87</v>
      </c>
      <c r="G168" s="2979">
        <v>21.84</v>
      </c>
      <c r="H168" s="2979">
        <v>90.710000000000008</v>
      </c>
      <c r="I168" s="2974" t="s">
        <v>3055</v>
      </c>
      <c r="J168" s="2981" t="s">
        <v>3162</v>
      </c>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row>
    <row r="169" spans="1:32">
      <c r="A169" s="2972">
        <v>168</v>
      </c>
      <c r="B169" s="2974" t="s">
        <v>3240</v>
      </c>
      <c r="C169" s="2982" t="s">
        <v>3156</v>
      </c>
      <c r="D169" s="2974" t="s">
        <v>3215</v>
      </c>
      <c r="E169" s="2982" t="s">
        <v>3147</v>
      </c>
      <c r="F169" s="2983">
        <v>68.87</v>
      </c>
      <c r="G169" s="2979">
        <v>21.84</v>
      </c>
      <c r="H169" s="2979">
        <v>90.710000000000008</v>
      </c>
      <c r="I169" s="2974" t="s">
        <v>3055</v>
      </c>
      <c r="J169" s="2981" t="s">
        <v>3162</v>
      </c>
      <c r="L169" s="2976"/>
      <c r="M169" s="2976"/>
      <c r="N169" s="2976"/>
      <c r="O169" s="2976"/>
      <c r="P169" s="2976"/>
      <c r="Q169" s="2976"/>
      <c r="R169" s="2976"/>
      <c r="S169" s="2976"/>
      <c r="T169" s="2976"/>
      <c r="U169" s="2976"/>
      <c r="V169" s="2976"/>
      <c r="W169" s="2976"/>
      <c r="X169" s="2976"/>
      <c r="Y169" s="2976"/>
      <c r="Z169" s="2976"/>
      <c r="AA169" s="2976"/>
      <c r="AB169" s="2976"/>
      <c r="AC169" s="2976"/>
      <c r="AD169" s="2976"/>
      <c r="AE169" s="2976"/>
      <c r="AF169" s="2976"/>
    </row>
    <row r="170" spans="1:32">
      <c r="A170" s="2972">
        <v>169</v>
      </c>
      <c r="B170" s="2974" t="s">
        <v>3240</v>
      </c>
      <c r="C170" s="2982" t="s">
        <v>3156</v>
      </c>
      <c r="D170" s="2974" t="s">
        <v>3215</v>
      </c>
      <c r="E170" s="2982" t="s">
        <v>3148</v>
      </c>
      <c r="F170" s="2983">
        <v>52.98</v>
      </c>
      <c r="G170" s="2979">
        <v>16.8</v>
      </c>
      <c r="H170" s="2979">
        <v>69.78</v>
      </c>
      <c r="I170" s="2974" t="s">
        <v>3055</v>
      </c>
      <c r="J170" s="2981" t="s">
        <v>3154</v>
      </c>
      <c r="L170" s="2976"/>
      <c r="M170" s="2976"/>
      <c r="N170" s="2976"/>
      <c r="O170" s="2976"/>
      <c r="P170" s="2976"/>
      <c r="Q170" s="2976"/>
      <c r="R170" s="2976"/>
      <c r="S170" s="2976"/>
      <c r="T170" s="2976"/>
      <c r="U170" s="2976"/>
      <c r="V170" s="2976"/>
      <c r="W170" s="2976"/>
      <c r="X170" s="2976"/>
      <c r="Y170" s="2976"/>
      <c r="Z170" s="2976"/>
      <c r="AA170" s="2976"/>
      <c r="AB170" s="2976"/>
      <c r="AC170" s="2976"/>
      <c r="AD170" s="2976"/>
      <c r="AE170" s="2976"/>
      <c r="AF170" s="2976"/>
    </row>
    <row r="171" spans="1:32">
      <c r="A171" s="2972">
        <v>170</v>
      </c>
      <c r="B171" s="2974" t="s">
        <v>3240</v>
      </c>
      <c r="C171" s="2982" t="s">
        <v>3156</v>
      </c>
      <c r="D171" s="2974" t="s">
        <v>3213</v>
      </c>
      <c r="E171" s="2982" t="s">
        <v>3149</v>
      </c>
      <c r="F171" s="2983">
        <v>52.98</v>
      </c>
      <c r="G171" s="2979">
        <v>16.8</v>
      </c>
      <c r="H171" s="2979">
        <v>69.78</v>
      </c>
      <c r="I171" s="2974" t="s">
        <v>3055</v>
      </c>
      <c r="J171" s="2981" t="s">
        <v>3154</v>
      </c>
      <c r="L171" s="2976"/>
      <c r="M171" s="2976"/>
      <c r="N171" s="2976"/>
      <c r="O171" s="2976"/>
      <c r="P171" s="2976"/>
      <c r="Q171" s="2976"/>
      <c r="R171" s="2976"/>
      <c r="S171" s="2976"/>
      <c r="T171" s="2976"/>
      <c r="U171" s="2976"/>
      <c r="V171" s="2976"/>
      <c r="W171" s="2976"/>
      <c r="X171" s="2976"/>
      <c r="Y171" s="2976"/>
      <c r="Z171" s="2976"/>
      <c r="AA171" s="2976"/>
      <c r="AB171" s="2976"/>
      <c r="AC171" s="2976"/>
      <c r="AD171" s="2976"/>
      <c r="AE171" s="2976"/>
      <c r="AF171" s="2976"/>
    </row>
    <row r="172" spans="1:32">
      <c r="A172" s="2972">
        <v>171</v>
      </c>
      <c r="B172" s="2974" t="s">
        <v>3240</v>
      </c>
      <c r="C172" s="2982" t="s">
        <v>3156</v>
      </c>
      <c r="D172" s="2974" t="s">
        <v>3213</v>
      </c>
      <c r="E172" s="2982" t="s">
        <v>3150</v>
      </c>
      <c r="F172" s="2983">
        <v>68.87</v>
      </c>
      <c r="G172" s="2979">
        <v>21.84</v>
      </c>
      <c r="H172" s="2979">
        <v>90.710000000000008</v>
      </c>
      <c r="I172" s="2974" t="s">
        <v>3055</v>
      </c>
      <c r="J172" s="2981" t="s">
        <v>3162</v>
      </c>
      <c r="L172" s="2976"/>
      <c r="M172" s="2976"/>
      <c r="N172" s="2976"/>
      <c r="O172" s="2976"/>
      <c r="P172" s="2976"/>
      <c r="Q172" s="2976"/>
      <c r="R172" s="2976"/>
      <c r="S172" s="2976"/>
      <c r="T172" s="2976"/>
      <c r="U172" s="2976"/>
      <c r="V172" s="2976"/>
      <c r="W172" s="2976"/>
      <c r="X172" s="2976"/>
      <c r="Y172" s="2976"/>
      <c r="Z172" s="2976"/>
      <c r="AA172" s="2976"/>
      <c r="AB172" s="2976"/>
      <c r="AC172" s="2976"/>
      <c r="AD172" s="2976"/>
      <c r="AE172" s="2976"/>
      <c r="AF172" s="2976"/>
    </row>
    <row r="173" spans="1:32">
      <c r="A173" s="2972">
        <v>172</v>
      </c>
      <c r="B173" s="2974" t="s">
        <v>3240</v>
      </c>
      <c r="C173" s="2982" t="s">
        <v>3156</v>
      </c>
      <c r="D173" s="2974" t="s">
        <v>3213</v>
      </c>
      <c r="E173" s="2982" t="s">
        <v>3151</v>
      </c>
      <c r="F173" s="2983">
        <v>68.87</v>
      </c>
      <c r="G173" s="2979">
        <v>21.84</v>
      </c>
      <c r="H173" s="2979">
        <v>90.710000000000008</v>
      </c>
      <c r="I173" s="2974" t="s">
        <v>3055</v>
      </c>
      <c r="J173" s="2981" t="s">
        <v>3162</v>
      </c>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row>
    <row r="174" spans="1:32">
      <c r="A174" s="2972">
        <v>173</v>
      </c>
      <c r="B174" s="2974" t="s">
        <v>3240</v>
      </c>
      <c r="C174" s="2982" t="s">
        <v>3156</v>
      </c>
      <c r="D174" s="2974" t="s">
        <v>3213</v>
      </c>
      <c r="E174" s="2982" t="s">
        <v>3163</v>
      </c>
      <c r="F174" s="2983">
        <v>77.27</v>
      </c>
      <c r="G174" s="2979">
        <v>24.51</v>
      </c>
      <c r="H174" s="2979">
        <v>101.78</v>
      </c>
      <c r="I174" s="2974" t="s">
        <v>3055</v>
      </c>
      <c r="J174" s="2981" t="s">
        <v>3155</v>
      </c>
      <c r="L174" s="2976"/>
      <c r="M174" s="2976"/>
      <c r="N174" s="2976"/>
      <c r="O174" s="2976"/>
      <c r="P174" s="2976"/>
      <c r="Q174" s="2976"/>
      <c r="R174" s="2976"/>
      <c r="S174" s="2976"/>
      <c r="T174" s="2976"/>
      <c r="U174" s="2976"/>
      <c r="V174" s="2976"/>
      <c r="W174" s="2976"/>
      <c r="X174" s="2976"/>
      <c r="Y174" s="2976"/>
      <c r="Z174" s="2976"/>
      <c r="AA174" s="2976"/>
      <c r="AB174" s="2976"/>
      <c r="AC174" s="2976"/>
      <c r="AD174" s="2976"/>
      <c r="AE174" s="2976"/>
      <c r="AF174" s="2976"/>
    </row>
    <row r="175" spans="1:32">
      <c r="A175" s="2972">
        <v>174</v>
      </c>
      <c r="B175" s="2974" t="s">
        <v>3240</v>
      </c>
      <c r="C175" s="2982" t="s">
        <v>3157</v>
      </c>
      <c r="D175" s="2974" t="s">
        <v>3215</v>
      </c>
      <c r="E175" s="2982">
        <v>501</v>
      </c>
      <c r="F175" s="2983">
        <v>77.27</v>
      </c>
      <c r="G175" s="2979">
        <v>24.51</v>
      </c>
      <c r="H175" s="2979">
        <v>101.78</v>
      </c>
      <c r="I175" s="2974" t="s">
        <v>3055</v>
      </c>
      <c r="J175" s="2981" t="s">
        <v>3155</v>
      </c>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row>
    <row r="176" spans="1:32">
      <c r="A176" s="2972">
        <v>175</v>
      </c>
      <c r="B176" s="2974" t="s">
        <v>3240</v>
      </c>
      <c r="C176" s="2982" t="s">
        <v>3157</v>
      </c>
      <c r="D176" s="2974" t="s">
        <v>3215</v>
      </c>
      <c r="E176" s="2982">
        <v>502</v>
      </c>
      <c r="F176" s="2983">
        <v>68.87</v>
      </c>
      <c r="G176" s="2979">
        <v>21.84</v>
      </c>
      <c r="H176" s="2979">
        <v>90.710000000000008</v>
      </c>
      <c r="I176" s="2974" t="s">
        <v>3055</v>
      </c>
      <c r="J176" s="2981" t="s">
        <v>3162</v>
      </c>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row>
    <row r="177" spans="1:32">
      <c r="A177" s="2972">
        <v>176</v>
      </c>
      <c r="B177" s="2974" t="s">
        <v>3240</v>
      </c>
      <c r="C177" s="2982" t="s">
        <v>3157</v>
      </c>
      <c r="D177" s="2974" t="s">
        <v>3215</v>
      </c>
      <c r="E177" s="2982">
        <v>503</v>
      </c>
      <c r="F177" s="2983">
        <v>68.87</v>
      </c>
      <c r="G177" s="2979">
        <v>21.84</v>
      </c>
      <c r="H177" s="2979">
        <v>90.710000000000008</v>
      </c>
      <c r="I177" s="2974" t="s">
        <v>3055</v>
      </c>
      <c r="J177" s="2981" t="s">
        <v>3162</v>
      </c>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row>
    <row r="178" spans="1:32">
      <c r="A178" s="2972">
        <v>177</v>
      </c>
      <c r="B178" s="2974" t="s">
        <v>3240</v>
      </c>
      <c r="C178" s="2982" t="s">
        <v>3157</v>
      </c>
      <c r="D178" s="2974" t="s">
        <v>3215</v>
      </c>
      <c r="E178" s="2982">
        <v>505</v>
      </c>
      <c r="F178" s="2983">
        <v>52.98</v>
      </c>
      <c r="G178" s="2979">
        <v>16.8</v>
      </c>
      <c r="H178" s="2979">
        <v>69.78</v>
      </c>
      <c r="I178" s="2974" t="s">
        <v>3055</v>
      </c>
      <c r="J178" s="2981" t="s">
        <v>3154</v>
      </c>
      <c r="L178" s="2976"/>
      <c r="M178" s="2976"/>
      <c r="N178" s="2976"/>
      <c r="O178" s="2976"/>
      <c r="P178" s="2976"/>
      <c r="Q178" s="2976"/>
      <c r="R178" s="2976"/>
      <c r="S178" s="2976"/>
      <c r="T178" s="2976"/>
      <c r="U178" s="2976"/>
      <c r="V178" s="2976"/>
      <c r="W178" s="2976"/>
      <c r="X178" s="2976"/>
      <c r="Y178" s="2976"/>
      <c r="Z178" s="2976"/>
      <c r="AA178" s="2976"/>
      <c r="AB178" s="2976"/>
      <c r="AC178" s="2976"/>
      <c r="AD178" s="2976"/>
      <c r="AE178" s="2976"/>
      <c r="AF178" s="2976"/>
    </row>
    <row r="179" spans="1:32">
      <c r="A179" s="2972">
        <v>178</v>
      </c>
      <c r="B179" s="2974" t="s">
        <v>3240</v>
      </c>
      <c r="C179" s="2982" t="s">
        <v>3157</v>
      </c>
      <c r="D179" s="2974" t="s">
        <v>3213</v>
      </c>
      <c r="E179" s="2982">
        <v>506</v>
      </c>
      <c r="F179" s="2983">
        <v>52.98</v>
      </c>
      <c r="G179" s="2979">
        <v>16.8</v>
      </c>
      <c r="H179" s="2979">
        <v>69.78</v>
      </c>
      <c r="I179" s="2974" t="s">
        <v>3055</v>
      </c>
      <c r="J179" s="2981" t="s">
        <v>3154</v>
      </c>
      <c r="L179" s="2976"/>
      <c r="M179" s="2976"/>
      <c r="N179" s="2976"/>
      <c r="O179" s="2976"/>
      <c r="P179" s="2976"/>
      <c r="Q179" s="2976"/>
      <c r="R179" s="2976"/>
      <c r="S179" s="2976"/>
      <c r="T179" s="2976"/>
      <c r="U179" s="2976"/>
      <c r="V179" s="2976"/>
      <c r="W179" s="2976"/>
      <c r="X179" s="2976"/>
      <c r="Y179" s="2976"/>
      <c r="Z179" s="2976"/>
      <c r="AA179" s="2976"/>
      <c r="AB179" s="2976"/>
      <c r="AC179" s="2976"/>
      <c r="AD179" s="2976"/>
      <c r="AE179" s="2976"/>
      <c r="AF179" s="2976"/>
    </row>
    <row r="180" spans="1:32">
      <c r="A180" s="2972">
        <v>179</v>
      </c>
      <c r="B180" s="2974" t="s">
        <v>3240</v>
      </c>
      <c r="C180" s="2982" t="s">
        <v>3157</v>
      </c>
      <c r="D180" s="2974" t="s">
        <v>3213</v>
      </c>
      <c r="E180" s="2982">
        <v>507</v>
      </c>
      <c r="F180" s="2983">
        <v>68.87</v>
      </c>
      <c r="G180" s="2979">
        <v>21.84</v>
      </c>
      <c r="H180" s="2979">
        <v>90.710000000000008</v>
      </c>
      <c r="I180" s="2974" t="s">
        <v>3055</v>
      </c>
      <c r="J180" s="2981" t="s">
        <v>3162</v>
      </c>
      <c r="L180" s="2976"/>
      <c r="M180" s="2976"/>
      <c r="N180" s="2976"/>
      <c r="O180" s="2976"/>
      <c r="P180" s="2976"/>
      <c r="Q180" s="2976"/>
      <c r="R180" s="2976"/>
      <c r="S180" s="2976"/>
      <c r="T180" s="2976"/>
      <c r="U180" s="2976"/>
      <c r="V180" s="2976"/>
      <c r="W180" s="2976"/>
      <c r="X180" s="2976"/>
      <c r="Y180" s="2976"/>
      <c r="Z180" s="2976"/>
      <c r="AA180" s="2976"/>
      <c r="AB180" s="2976"/>
      <c r="AC180" s="2976"/>
      <c r="AD180" s="2976"/>
      <c r="AE180" s="2976"/>
      <c r="AF180" s="2976"/>
    </row>
    <row r="181" spans="1:32">
      <c r="A181" s="2972">
        <v>180</v>
      </c>
      <c r="B181" s="2974" t="s">
        <v>3240</v>
      </c>
      <c r="C181" s="2982" t="s">
        <v>3157</v>
      </c>
      <c r="D181" s="2974" t="s">
        <v>3213</v>
      </c>
      <c r="E181" s="2982">
        <v>508</v>
      </c>
      <c r="F181" s="2983">
        <v>68.87</v>
      </c>
      <c r="G181" s="2979">
        <v>21.84</v>
      </c>
      <c r="H181" s="2979">
        <v>90.710000000000008</v>
      </c>
      <c r="I181" s="2974" t="s">
        <v>3055</v>
      </c>
      <c r="J181" s="2981" t="s">
        <v>3162</v>
      </c>
      <c r="L181" s="2976"/>
      <c r="M181" s="2976"/>
      <c r="N181" s="2976"/>
      <c r="O181" s="2976"/>
      <c r="P181" s="2976"/>
      <c r="Q181" s="2976"/>
      <c r="R181" s="2976"/>
      <c r="S181" s="2976"/>
      <c r="T181" s="2976"/>
      <c r="U181" s="2976"/>
      <c r="V181" s="2976"/>
      <c r="W181" s="2976"/>
      <c r="X181" s="2976"/>
      <c r="Y181" s="2976"/>
      <c r="Z181" s="2976"/>
      <c r="AA181" s="2976"/>
      <c r="AB181" s="2976"/>
      <c r="AC181" s="2976"/>
      <c r="AD181" s="2976"/>
      <c r="AE181" s="2976"/>
      <c r="AF181" s="2976"/>
    </row>
    <row r="182" spans="1:32">
      <c r="A182" s="2972">
        <v>181</v>
      </c>
      <c r="B182" s="2974" t="s">
        <v>3240</v>
      </c>
      <c r="C182" s="2982" t="s">
        <v>3157</v>
      </c>
      <c r="D182" s="2974" t="s">
        <v>3213</v>
      </c>
      <c r="E182" s="2982">
        <v>509</v>
      </c>
      <c r="F182" s="2983">
        <v>77.27</v>
      </c>
      <c r="G182" s="2979">
        <v>24.51</v>
      </c>
      <c r="H182" s="2979">
        <v>101.78</v>
      </c>
      <c r="I182" s="2974" t="s">
        <v>3055</v>
      </c>
      <c r="J182" s="2981" t="s">
        <v>3155</v>
      </c>
      <c r="L182" s="2976"/>
      <c r="M182" s="2976"/>
      <c r="N182" s="2976"/>
      <c r="O182" s="2976"/>
      <c r="P182" s="2976"/>
      <c r="Q182" s="2976"/>
      <c r="R182" s="2976"/>
      <c r="S182" s="2976"/>
      <c r="T182" s="2976"/>
      <c r="U182" s="2976"/>
      <c r="V182" s="2976"/>
      <c r="W182" s="2976"/>
      <c r="X182" s="2976"/>
      <c r="Y182" s="2976"/>
      <c r="Z182" s="2976"/>
      <c r="AA182" s="2976"/>
      <c r="AB182" s="2976"/>
      <c r="AC182" s="2976"/>
      <c r="AD182" s="2976"/>
      <c r="AE182" s="2976"/>
      <c r="AF182" s="2976"/>
    </row>
    <row r="183" spans="1:32">
      <c r="A183" s="2972">
        <v>182</v>
      </c>
      <c r="B183" s="2974" t="s">
        <v>3240</v>
      </c>
      <c r="C183" s="2982" t="s">
        <v>3158</v>
      </c>
      <c r="D183" s="2974" t="s">
        <v>3215</v>
      </c>
      <c r="E183" s="2982">
        <v>601</v>
      </c>
      <c r="F183" s="2983">
        <v>77.27</v>
      </c>
      <c r="G183" s="2979">
        <v>24.51</v>
      </c>
      <c r="H183" s="2979">
        <v>101.78</v>
      </c>
      <c r="I183" s="2974" t="s">
        <v>3055</v>
      </c>
      <c r="J183" s="2981" t="s">
        <v>3155</v>
      </c>
      <c r="L183" s="2976"/>
      <c r="M183" s="2976"/>
      <c r="N183" s="2976"/>
      <c r="O183" s="2976"/>
      <c r="P183" s="2976"/>
      <c r="Q183" s="2976"/>
      <c r="R183" s="2976"/>
      <c r="S183" s="2976"/>
      <c r="T183" s="2976"/>
      <c r="U183" s="2976"/>
      <c r="V183" s="2976"/>
      <c r="W183" s="2976"/>
      <c r="X183" s="2976"/>
      <c r="Y183" s="2976"/>
      <c r="Z183" s="2976"/>
      <c r="AA183" s="2976"/>
      <c r="AB183" s="2976"/>
      <c r="AC183" s="2976"/>
      <c r="AD183" s="2976"/>
      <c r="AE183" s="2976"/>
      <c r="AF183" s="2976"/>
    </row>
    <row r="184" spans="1:32">
      <c r="A184" s="2972">
        <v>183</v>
      </c>
      <c r="B184" s="2974" t="s">
        <v>3240</v>
      </c>
      <c r="C184" s="2982" t="s">
        <v>3158</v>
      </c>
      <c r="D184" s="2974" t="s">
        <v>3215</v>
      </c>
      <c r="E184" s="2982">
        <v>602</v>
      </c>
      <c r="F184" s="2983">
        <v>68.87</v>
      </c>
      <c r="G184" s="2979">
        <v>21.84</v>
      </c>
      <c r="H184" s="2979">
        <v>90.710000000000008</v>
      </c>
      <c r="I184" s="2974" t="s">
        <v>3055</v>
      </c>
      <c r="J184" s="2981" t="s">
        <v>3162</v>
      </c>
      <c r="L184" s="2976"/>
      <c r="M184" s="2976"/>
      <c r="N184" s="2976"/>
      <c r="O184" s="2976"/>
      <c r="P184" s="2976"/>
      <c r="Q184" s="2976"/>
      <c r="R184" s="2976"/>
      <c r="S184" s="2976"/>
      <c r="T184" s="2976"/>
      <c r="U184" s="2976"/>
      <c r="V184" s="2976"/>
      <c r="W184" s="2976"/>
      <c r="X184" s="2976"/>
      <c r="Y184" s="2976"/>
      <c r="Z184" s="2976"/>
      <c r="AA184" s="2976"/>
      <c r="AB184" s="2976"/>
      <c r="AC184" s="2976"/>
      <c r="AD184" s="2976"/>
      <c r="AE184" s="2976"/>
      <c r="AF184" s="2976"/>
    </row>
    <row r="185" spans="1:32">
      <c r="A185" s="2972">
        <v>184</v>
      </c>
      <c r="B185" s="2974" t="s">
        <v>3240</v>
      </c>
      <c r="C185" s="2982" t="s">
        <v>3158</v>
      </c>
      <c r="D185" s="2974" t="s">
        <v>3215</v>
      </c>
      <c r="E185" s="2982">
        <v>603</v>
      </c>
      <c r="F185" s="2983">
        <v>68.87</v>
      </c>
      <c r="G185" s="2979">
        <v>21.84</v>
      </c>
      <c r="H185" s="2979">
        <v>90.710000000000008</v>
      </c>
      <c r="I185" s="2974" t="s">
        <v>3055</v>
      </c>
      <c r="J185" s="2981" t="s">
        <v>3162</v>
      </c>
      <c r="L185" s="2976"/>
      <c r="M185" s="2976"/>
      <c r="N185" s="2976"/>
      <c r="O185" s="2976"/>
      <c r="P185" s="2976"/>
      <c r="Q185" s="2976"/>
      <c r="R185" s="2976"/>
      <c r="S185" s="2976"/>
      <c r="T185" s="2976"/>
      <c r="U185" s="2976"/>
      <c r="V185" s="2976"/>
      <c r="W185" s="2976"/>
      <c r="X185" s="2976"/>
      <c r="Y185" s="2976"/>
      <c r="Z185" s="2976"/>
      <c r="AA185" s="2976"/>
      <c r="AB185" s="2976"/>
      <c r="AC185" s="2976"/>
      <c r="AD185" s="2976"/>
      <c r="AE185" s="2976"/>
      <c r="AF185" s="2976"/>
    </row>
    <row r="186" spans="1:32">
      <c r="A186" s="2972">
        <v>185</v>
      </c>
      <c r="B186" s="2974" t="s">
        <v>3240</v>
      </c>
      <c r="C186" s="2982" t="s">
        <v>3158</v>
      </c>
      <c r="D186" s="2974" t="s">
        <v>3215</v>
      </c>
      <c r="E186" s="2982">
        <v>605</v>
      </c>
      <c r="F186" s="2983">
        <v>52.98</v>
      </c>
      <c r="G186" s="2979">
        <v>16.8</v>
      </c>
      <c r="H186" s="2979">
        <v>69.78</v>
      </c>
      <c r="I186" s="2974" t="s">
        <v>3055</v>
      </c>
      <c r="J186" s="2981" t="s">
        <v>3154</v>
      </c>
      <c r="L186" s="2976"/>
      <c r="M186" s="2976"/>
      <c r="N186" s="2976"/>
      <c r="O186" s="2976"/>
      <c r="P186" s="2976"/>
      <c r="Q186" s="2976"/>
      <c r="R186" s="2976"/>
      <c r="S186" s="2976"/>
      <c r="T186" s="2976"/>
      <c r="U186" s="2976"/>
      <c r="V186" s="2976"/>
      <c r="W186" s="2976"/>
      <c r="X186" s="2976"/>
      <c r="Y186" s="2976"/>
      <c r="Z186" s="2976"/>
      <c r="AA186" s="2976"/>
      <c r="AB186" s="2976"/>
      <c r="AC186" s="2976"/>
      <c r="AD186" s="2976"/>
      <c r="AE186" s="2976"/>
      <c r="AF186" s="2976"/>
    </row>
    <row r="187" spans="1:32">
      <c r="A187" s="2972">
        <v>186</v>
      </c>
      <c r="B187" s="2974" t="s">
        <v>3240</v>
      </c>
      <c r="C187" s="2982" t="s">
        <v>3158</v>
      </c>
      <c r="D187" s="2974" t="s">
        <v>3213</v>
      </c>
      <c r="E187" s="2982">
        <v>606</v>
      </c>
      <c r="F187" s="2983">
        <v>52.98</v>
      </c>
      <c r="G187" s="2979">
        <v>16.8</v>
      </c>
      <c r="H187" s="2979">
        <v>69.78</v>
      </c>
      <c r="I187" s="2974" t="s">
        <v>3055</v>
      </c>
      <c r="J187" s="2981" t="s">
        <v>3154</v>
      </c>
      <c r="L187" s="2976"/>
      <c r="M187" s="2976"/>
      <c r="N187" s="2976"/>
      <c r="O187" s="2976"/>
      <c r="P187" s="2976"/>
      <c r="Q187" s="2976"/>
      <c r="R187" s="2976"/>
      <c r="S187" s="2976"/>
      <c r="T187" s="2976"/>
      <c r="U187" s="2976"/>
      <c r="V187" s="2976"/>
      <c r="W187" s="2976"/>
      <c r="X187" s="2976"/>
      <c r="Y187" s="2976"/>
      <c r="Z187" s="2976"/>
      <c r="AA187" s="2976"/>
      <c r="AB187" s="2976"/>
      <c r="AC187" s="2976"/>
      <c r="AD187" s="2976"/>
      <c r="AE187" s="2976"/>
      <c r="AF187" s="2976"/>
    </row>
    <row r="188" spans="1:32">
      <c r="A188" s="2972">
        <v>187</v>
      </c>
      <c r="B188" s="2974" t="s">
        <v>3240</v>
      </c>
      <c r="C188" s="2982" t="s">
        <v>3158</v>
      </c>
      <c r="D188" s="2974" t="s">
        <v>3213</v>
      </c>
      <c r="E188" s="2982">
        <v>607</v>
      </c>
      <c r="F188" s="2983">
        <v>68.87</v>
      </c>
      <c r="G188" s="2979">
        <v>21.84</v>
      </c>
      <c r="H188" s="2979">
        <v>90.710000000000008</v>
      </c>
      <c r="I188" s="2974" t="s">
        <v>3055</v>
      </c>
      <c r="J188" s="2981" t="s">
        <v>3162</v>
      </c>
      <c r="L188" s="2976"/>
      <c r="M188" s="2976"/>
      <c r="N188" s="2976"/>
      <c r="O188" s="2976"/>
      <c r="P188" s="2976"/>
      <c r="Q188" s="2976"/>
      <c r="R188" s="2976"/>
      <c r="S188" s="2976"/>
      <c r="T188" s="2976"/>
      <c r="U188" s="2976"/>
      <c r="V188" s="2976"/>
      <c r="W188" s="2976"/>
      <c r="X188" s="2976"/>
      <c r="Y188" s="2976"/>
      <c r="Z188" s="2976"/>
      <c r="AA188" s="2976"/>
      <c r="AB188" s="2976"/>
      <c r="AC188" s="2976"/>
      <c r="AD188" s="2976"/>
      <c r="AE188" s="2976"/>
      <c r="AF188" s="2976"/>
    </row>
    <row r="189" spans="1:32">
      <c r="A189" s="2972">
        <v>188</v>
      </c>
      <c r="B189" s="2974" t="s">
        <v>3240</v>
      </c>
      <c r="C189" s="2982" t="s">
        <v>3158</v>
      </c>
      <c r="D189" s="2974" t="s">
        <v>3213</v>
      </c>
      <c r="E189" s="2982">
        <v>608</v>
      </c>
      <c r="F189" s="2983">
        <v>68.87</v>
      </c>
      <c r="G189" s="2979">
        <v>21.84</v>
      </c>
      <c r="H189" s="2979">
        <v>90.710000000000008</v>
      </c>
      <c r="I189" s="2974" t="s">
        <v>3055</v>
      </c>
      <c r="J189" s="2981" t="s">
        <v>3162</v>
      </c>
      <c r="L189" s="2976"/>
      <c r="M189" s="2976"/>
      <c r="N189" s="2976"/>
      <c r="O189" s="2976"/>
      <c r="P189" s="2976"/>
      <c r="Q189" s="2976"/>
      <c r="R189" s="2976"/>
      <c r="S189" s="2976"/>
      <c r="T189" s="2976"/>
      <c r="U189" s="2976"/>
      <c r="V189" s="2976"/>
      <c r="W189" s="2976"/>
      <c r="X189" s="2976"/>
      <c r="Y189" s="2976"/>
      <c r="Z189" s="2976"/>
      <c r="AA189" s="2976"/>
      <c r="AB189" s="2976"/>
      <c r="AC189" s="2976"/>
      <c r="AD189" s="2976"/>
      <c r="AE189" s="2976"/>
      <c r="AF189" s="2976"/>
    </row>
    <row r="190" spans="1:32">
      <c r="A190" s="2972">
        <v>189</v>
      </c>
      <c r="B190" s="2974" t="s">
        <v>3240</v>
      </c>
      <c r="C190" s="2982" t="s">
        <v>3158</v>
      </c>
      <c r="D190" s="2974" t="s">
        <v>3213</v>
      </c>
      <c r="E190" s="2982">
        <v>609</v>
      </c>
      <c r="F190" s="2983">
        <v>77.27</v>
      </c>
      <c r="G190" s="2979">
        <v>24.51</v>
      </c>
      <c r="H190" s="2979">
        <v>101.78</v>
      </c>
      <c r="I190" s="2974" t="s">
        <v>3055</v>
      </c>
      <c r="J190" s="2981" t="s">
        <v>3155</v>
      </c>
      <c r="L190" s="2976"/>
      <c r="M190" s="2976"/>
      <c r="N190" s="2976"/>
      <c r="O190" s="2976"/>
      <c r="P190" s="2976"/>
      <c r="Q190" s="2976"/>
      <c r="R190" s="2976"/>
      <c r="S190" s="2976"/>
      <c r="T190" s="2976"/>
      <c r="U190" s="2976"/>
      <c r="V190" s="2976"/>
      <c r="W190" s="2976"/>
      <c r="X190" s="2976"/>
      <c r="Y190" s="2976"/>
      <c r="Z190" s="2976"/>
      <c r="AA190" s="2976"/>
      <c r="AB190" s="2976"/>
      <c r="AC190" s="2976"/>
      <c r="AD190" s="2976"/>
      <c r="AE190" s="2976"/>
      <c r="AF190" s="2976"/>
    </row>
    <row r="191" spans="1:32">
      <c r="A191" s="2972">
        <v>190</v>
      </c>
      <c r="B191" s="2974" t="s">
        <v>3241</v>
      </c>
      <c r="C191" s="2982" t="s">
        <v>3152</v>
      </c>
      <c r="D191" s="2972" t="s">
        <v>3183</v>
      </c>
      <c r="E191" s="2982">
        <v>101</v>
      </c>
      <c r="F191" s="2983">
        <v>77.27</v>
      </c>
      <c r="G191" s="2979">
        <v>17.27</v>
      </c>
      <c r="H191" s="2979">
        <v>94.539999999999992</v>
      </c>
      <c r="I191" s="2974" t="s">
        <v>3055</v>
      </c>
      <c r="J191" s="2981" t="s">
        <v>3155</v>
      </c>
      <c r="L191" s="2976"/>
      <c r="M191" s="2976"/>
      <c r="N191" s="2976"/>
      <c r="O191" s="2976"/>
      <c r="P191" s="2976"/>
      <c r="Q191" s="2976"/>
      <c r="R191" s="2976"/>
      <c r="S191" s="2976"/>
      <c r="T191" s="2976"/>
      <c r="U191" s="2976"/>
      <c r="V191" s="2976"/>
      <c r="W191" s="2976"/>
      <c r="X191" s="2976"/>
      <c r="Y191" s="2976"/>
      <c r="Z191" s="2976"/>
      <c r="AA191" s="2976"/>
      <c r="AB191" s="2976"/>
      <c r="AC191" s="2976"/>
      <c r="AD191" s="2976"/>
      <c r="AE191" s="2976"/>
      <c r="AF191" s="2976"/>
    </row>
    <row r="192" spans="1:32">
      <c r="A192" s="2972">
        <v>191</v>
      </c>
      <c r="B192" s="2974" t="s">
        <v>3241</v>
      </c>
      <c r="C192" s="2982" t="s">
        <v>3152</v>
      </c>
      <c r="D192" s="2972" t="s">
        <v>3183</v>
      </c>
      <c r="E192" s="2982">
        <v>102</v>
      </c>
      <c r="F192" s="2983">
        <v>56.83</v>
      </c>
      <c r="G192" s="2979">
        <v>12.7</v>
      </c>
      <c r="H192" s="2979">
        <v>69.53</v>
      </c>
      <c r="I192" s="2974" t="s">
        <v>3055</v>
      </c>
      <c r="J192" s="2981" t="s">
        <v>3155</v>
      </c>
      <c r="L192" s="2976"/>
      <c r="M192" s="2976"/>
      <c r="N192" s="2976"/>
      <c r="O192" s="2976"/>
      <c r="P192" s="2976"/>
      <c r="Q192" s="2976"/>
      <c r="R192" s="2976"/>
      <c r="S192" s="2976"/>
      <c r="T192" s="2976"/>
      <c r="U192" s="2976"/>
      <c r="V192" s="2976"/>
      <c r="W192" s="2976"/>
      <c r="X192" s="2976"/>
      <c r="Y192" s="2976"/>
      <c r="Z192" s="2976"/>
      <c r="AA192" s="2976"/>
      <c r="AB192" s="2976"/>
      <c r="AC192" s="2976"/>
      <c r="AD192" s="2976"/>
      <c r="AE192" s="2976"/>
      <c r="AF192" s="2976"/>
    </row>
    <row r="193" spans="1:32">
      <c r="A193" s="2972">
        <v>192</v>
      </c>
      <c r="B193" s="2974" t="s">
        <v>3241</v>
      </c>
      <c r="C193" s="2982" t="s">
        <v>3152</v>
      </c>
      <c r="D193" s="2972" t="s">
        <v>3183</v>
      </c>
      <c r="E193" s="2982">
        <v>103</v>
      </c>
      <c r="F193" s="2983">
        <v>56.78</v>
      </c>
      <c r="G193" s="2979">
        <v>12.69</v>
      </c>
      <c r="H193" s="2979">
        <v>69.47</v>
      </c>
      <c r="I193" s="2974" t="s">
        <v>3055</v>
      </c>
      <c r="J193" s="2981" t="s">
        <v>3155</v>
      </c>
      <c r="L193" s="2976"/>
      <c r="M193" s="2976"/>
      <c r="N193" s="2976"/>
      <c r="O193" s="2976"/>
      <c r="P193" s="2976"/>
      <c r="Q193" s="2976"/>
      <c r="R193" s="2976"/>
      <c r="S193" s="2976"/>
      <c r="T193" s="2976"/>
      <c r="U193" s="2976"/>
      <c r="V193" s="2976"/>
      <c r="W193" s="2976"/>
      <c r="X193" s="2976"/>
      <c r="Y193" s="2976"/>
      <c r="Z193" s="2976"/>
      <c r="AA193" s="2976"/>
      <c r="AB193" s="2976"/>
      <c r="AC193" s="2976"/>
      <c r="AD193" s="2976"/>
      <c r="AE193" s="2976"/>
      <c r="AF193" s="2976"/>
    </row>
    <row r="194" spans="1:32">
      <c r="A194" s="2972">
        <v>193</v>
      </c>
      <c r="B194" s="2974" t="s">
        <v>3241</v>
      </c>
      <c r="C194" s="2982" t="s">
        <v>3152</v>
      </c>
      <c r="D194" s="2972" t="s">
        <v>3183</v>
      </c>
      <c r="E194" s="2982">
        <v>106</v>
      </c>
      <c r="F194" s="2983">
        <v>56.83</v>
      </c>
      <c r="G194" s="2979">
        <v>12.7</v>
      </c>
      <c r="H194" s="2979">
        <v>69.53</v>
      </c>
      <c r="I194" s="2974" t="s">
        <v>3055</v>
      </c>
      <c r="J194" s="2981" t="s">
        <v>3155</v>
      </c>
      <c r="L194" s="2976"/>
      <c r="M194" s="2976"/>
      <c r="N194" s="2976"/>
      <c r="O194" s="2976"/>
      <c r="P194" s="2976"/>
      <c r="Q194" s="2976"/>
      <c r="R194" s="2976"/>
      <c r="S194" s="2976"/>
      <c r="T194" s="2976"/>
      <c r="U194" s="2976"/>
      <c r="V194" s="2976"/>
      <c r="W194" s="2976"/>
      <c r="X194" s="2976"/>
      <c r="Y194" s="2976"/>
      <c r="Z194" s="2976"/>
      <c r="AA194" s="2976"/>
      <c r="AB194" s="2976"/>
      <c r="AC194" s="2976"/>
      <c r="AD194" s="2976"/>
      <c r="AE194" s="2976"/>
      <c r="AF194" s="2976"/>
    </row>
    <row r="195" spans="1:32">
      <c r="A195" s="2972">
        <v>194</v>
      </c>
      <c r="B195" s="2974" t="s">
        <v>3241</v>
      </c>
      <c r="C195" s="2982" t="s">
        <v>3152</v>
      </c>
      <c r="D195" s="2972" t="s">
        <v>3183</v>
      </c>
      <c r="E195" s="2982">
        <v>107</v>
      </c>
      <c r="F195" s="2983">
        <v>54.01</v>
      </c>
      <c r="G195" s="2979">
        <v>12.07</v>
      </c>
      <c r="H195" s="2979">
        <v>66.08</v>
      </c>
      <c r="I195" s="2974" t="s">
        <v>3055</v>
      </c>
      <c r="J195" s="2981" t="s">
        <v>3154</v>
      </c>
      <c r="L195" s="2976"/>
      <c r="M195" s="2976"/>
      <c r="N195" s="2976"/>
      <c r="O195" s="2976"/>
      <c r="P195" s="2976"/>
      <c r="Q195" s="2976"/>
      <c r="R195" s="2976"/>
      <c r="S195" s="2976"/>
      <c r="T195" s="2976"/>
      <c r="U195" s="2976"/>
      <c r="V195" s="2976"/>
      <c r="W195" s="2976"/>
      <c r="X195" s="2976"/>
      <c r="Y195" s="2976"/>
      <c r="Z195" s="2976"/>
      <c r="AA195" s="2976"/>
      <c r="AB195" s="2976"/>
      <c r="AC195" s="2976"/>
      <c r="AD195" s="2976"/>
      <c r="AE195" s="2976"/>
      <c r="AF195" s="2976"/>
    </row>
    <row r="196" spans="1:32">
      <c r="A196" s="2972">
        <v>195</v>
      </c>
      <c r="B196" s="2974" t="s">
        <v>3241</v>
      </c>
      <c r="C196" s="2982" t="s">
        <v>3159</v>
      </c>
      <c r="D196" s="2972" t="s">
        <v>3183</v>
      </c>
      <c r="E196" s="2982">
        <v>201</v>
      </c>
      <c r="F196" s="2983">
        <v>77.27</v>
      </c>
      <c r="G196" s="2979">
        <v>17.27</v>
      </c>
      <c r="H196" s="2979">
        <v>94.539999999999992</v>
      </c>
      <c r="I196" s="2974" t="s">
        <v>3055</v>
      </c>
      <c r="J196" s="2981" t="s">
        <v>3155</v>
      </c>
      <c r="L196" s="2976"/>
      <c r="M196" s="2976"/>
      <c r="N196" s="2976"/>
      <c r="O196" s="2976"/>
      <c r="P196" s="2976"/>
      <c r="Q196" s="2976"/>
      <c r="R196" s="2976"/>
      <c r="S196" s="2976"/>
      <c r="T196" s="2976"/>
      <c r="U196" s="2976"/>
      <c r="V196" s="2976"/>
      <c r="W196" s="2976"/>
      <c r="X196" s="2976"/>
      <c r="Y196" s="2976"/>
      <c r="Z196" s="2976"/>
      <c r="AA196" s="2976"/>
      <c r="AB196" s="2976"/>
      <c r="AC196" s="2976"/>
      <c r="AD196" s="2976"/>
      <c r="AE196" s="2976"/>
      <c r="AF196" s="2976"/>
    </row>
    <row r="197" spans="1:32">
      <c r="A197" s="2972">
        <v>196</v>
      </c>
      <c r="B197" s="2974" t="s">
        <v>3241</v>
      </c>
      <c r="C197" s="2982" t="s">
        <v>3159</v>
      </c>
      <c r="D197" s="2972" t="s">
        <v>3183</v>
      </c>
      <c r="E197" s="2982">
        <v>202</v>
      </c>
      <c r="F197" s="2983">
        <v>56.83</v>
      </c>
      <c r="G197" s="2979">
        <v>12.7</v>
      </c>
      <c r="H197" s="2979">
        <v>69.53</v>
      </c>
      <c r="I197" s="2974" t="s">
        <v>3055</v>
      </c>
      <c r="J197" s="2981" t="s">
        <v>3155</v>
      </c>
      <c r="L197" s="2976"/>
      <c r="M197" s="2976"/>
      <c r="N197" s="2976"/>
      <c r="O197" s="2976"/>
      <c r="P197" s="2976"/>
      <c r="Q197" s="2976"/>
      <c r="R197" s="2976"/>
      <c r="S197" s="2976"/>
      <c r="T197" s="2976"/>
      <c r="U197" s="2976"/>
      <c r="V197" s="2976"/>
      <c r="W197" s="2976"/>
      <c r="X197" s="2976"/>
      <c r="Y197" s="2976"/>
      <c r="Z197" s="2976"/>
      <c r="AA197" s="2976"/>
      <c r="AB197" s="2976"/>
      <c r="AC197" s="2976"/>
      <c r="AD197" s="2976"/>
      <c r="AE197" s="2976"/>
      <c r="AF197" s="2976"/>
    </row>
    <row r="198" spans="1:32">
      <c r="A198" s="2972">
        <v>197</v>
      </c>
      <c r="B198" s="2974" t="s">
        <v>3241</v>
      </c>
      <c r="C198" s="2982" t="s">
        <v>3159</v>
      </c>
      <c r="D198" s="2972" t="s">
        <v>3183</v>
      </c>
      <c r="E198" s="2982">
        <v>203</v>
      </c>
      <c r="F198" s="2983">
        <v>56.78</v>
      </c>
      <c r="G198" s="2979">
        <v>12.69</v>
      </c>
      <c r="H198" s="2979">
        <v>69.47</v>
      </c>
      <c r="I198" s="2974" t="s">
        <v>3055</v>
      </c>
      <c r="J198" s="2981" t="s">
        <v>3155</v>
      </c>
      <c r="L198" s="2976"/>
      <c r="M198" s="2976"/>
      <c r="N198" s="2976"/>
      <c r="O198" s="2976"/>
      <c r="P198" s="2976"/>
      <c r="Q198" s="2976"/>
      <c r="R198" s="2976"/>
      <c r="S198" s="2976"/>
      <c r="T198" s="2976"/>
      <c r="U198" s="2976"/>
      <c r="V198" s="2976"/>
      <c r="W198" s="2976"/>
      <c r="X198" s="2976"/>
      <c r="Y198" s="2976"/>
      <c r="Z198" s="2976"/>
      <c r="AA198" s="2976"/>
      <c r="AB198" s="2976"/>
      <c r="AC198" s="2976"/>
      <c r="AD198" s="2976"/>
      <c r="AE198" s="2976"/>
      <c r="AF198" s="2976"/>
    </row>
    <row r="199" spans="1:32">
      <c r="A199" s="2972">
        <v>198</v>
      </c>
      <c r="B199" s="2974" t="s">
        <v>3241</v>
      </c>
      <c r="C199" s="2982" t="s">
        <v>3159</v>
      </c>
      <c r="D199" s="2972" t="s">
        <v>3183</v>
      </c>
      <c r="E199" s="2982">
        <v>205</v>
      </c>
      <c r="F199" s="2983">
        <v>56.78</v>
      </c>
      <c r="G199" s="2979">
        <v>12.69</v>
      </c>
      <c r="H199" s="2979">
        <v>69.47</v>
      </c>
      <c r="I199" s="2974" t="s">
        <v>3055</v>
      </c>
      <c r="J199" s="2981" t="s">
        <v>3155</v>
      </c>
      <c r="L199" s="2976"/>
      <c r="M199" s="2976"/>
      <c r="N199" s="2976"/>
      <c r="O199" s="2976"/>
      <c r="P199" s="2976"/>
      <c r="Q199" s="2976"/>
      <c r="R199" s="2976"/>
      <c r="S199" s="2976"/>
      <c r="T199" s="2976"/>
      <c r="U199" s="2976"/>
      <c r="V199" s="2976"/>
      <c r="W199" s="2976"/>
      <c r="X199" s="2976"/>
      <c r="Y199" s="2976"/>
      <c r="Z199" s="2976"/>
      <c r="AA199" s="2976"/>
      <c r="AB199" s="2976"/>
      <c r="AC199" s="2976"/>
      <c r="AD199" s="2976"/>
      <c r="AE199" s="2976"/>
      <c r="AF199" s="2976"/>
    </row>
    <row r="200" spans="1:32">
      <c r="A200" s="2972">
        <v>199</v>
      </c>
      <c r="B200" s="2974" t="s">
        <v>3241</v>
      </c>
      <c r="C200" s="2982" t="s">
        <v>3159</v>
      </c>
      <c r="D200" s="2972" t="s">
        <v>3183</v>
      </c>
      <c r="E200" s="2982">
        <v>206</v>
      </c>
      <c r="F200" s="2983">
        <v>56.83</v>
      </c>
      <c r="G200" s="2979">
        <v>12.7</v>
      </c>
      <c r="H200" s="2979">
        <v>69.53</v>
      </c>
      <c r="I200" s="2974" t="s">
        <v>3055</v>
      </c>
      <c r="J200" s="2981" t="s">
        <v>3155</v>
      </c>
      <c r="L200" s="2976"/>
      <c r="M200" s="2976"/>
      <c r="N200" s="2976"/>
      <c r="O200" s="2976"/>
      <c r="P200" s="2976"/>
      <c r="Q200" s="2976"/>
      <c r="R200" s="2976"/>
      <c r="S200" s="2976"/>
      <c r="T200" s="2976"/>
      <c r="U200" s="2976"/>
      <c r="V200" s="2976"/>
      <c r="W200" s="2976"/>
      <c r="X200" s="2976"/>
      <c r="Y200" s="2976"/>
      <c r="Z200" s="2976"/>
      <c r="AA200" s="2976"/>
      <c r="AB200" s="2976"/>
      <c r="AC200" s="2976"/>
      <c r="AD200" s="2976"/>
      <c r="AE200" s="2976"/>
      <c r="AF200" s="2976"/>
    </row>
    <row r="201" spans="1:32">
      <c r="A201" s="2972">
        <v>200</v>
      </c>
      <c r="B201" s="2974" t="s">
        <v>3241</v>
      </c>
      <c r="C201" s="2982" t="s">
        <v>3159</v>
      </c>
      <c r="D201" s="2972" t="s">
        <v>3183</v>
      </c>
      <c r="E201" s="2982">
        <v>207</v>
      </c>
      <c r="F201" s="2983">
        <v>54.01</v>
      </c>
      <c r="G201" s="2979">
        <v>12.07</v>
      </c>
      <c r="H201" s="2979">
        <v>66.08</v>
      </c>
      <c r="I201" s="2974" t="s">
        <v>3055</v>
      </c>
      <c r="J201" s="2981" t="s">
        <v>3154</v>
      </c>
      <c r="L201" s="2976"/>
      <c r="M201" s="2976"/>
      <c r="N201" s="2976"/>
      <c r="O201" s="2976"/>
      <c r="P201" s="2976"/>
      <c r="Q201" s="2976"/>
      <c r="R201" s="2976"/>
      <c r="S201" s="2976"/>
      <c r="T201" s="2976"/>
      <c r="U201" s="2976"/>
      <c r="V201" s="2976"/>
      <c r="W201" s="2976"/>
      <c r="X201" s="2976"/>
      <c r="Y201" s="2976"/>
      <c r="Z201" s="2976"/>
      <c r="AA201" s="2976"/>
      <c r="AB201" s="2976"/>
      <c r="AC201" s="2976"/>
      <c r="AD201" s="2976"/>
      <c r="AE201" s="2976"/>
      <c r="AF201" s="2976"/>
    </row>
    <row r="202" spans="1:32">
      <c r="A202" s="2972">
        <v>201</v>
      </c>
      <c r="B202" s="2974" t="s">
        <v>3241</v>
      </c>
      <c r="C202" s="2982" t="s">
        <v>3153</v>
      </c>
      <c r="D202" s="2972" t="s">
        <v>3183</v>
      </c>
      <c r="E202" s="2982">
        <v>301</v>
      </c>
      <c r="F202" s="2983">
        <v>77.27</v>
      </c>
      <c r="G202" s="2979">
        <v>17.27</v>
      </c>
      <c r="H202" s="2979">
        <v>94.539999999999992</v>
      </c>
      <c r="I202" s="2974" t="s">
        <v>3055</v>
      </c>
      <c r="J202" s="2981" t="s">
        <v>3155</v>
      </c>
      <c r="L202" s="2976"/>
      <c r="M202" s="2976"/>
      <c r="N202" s="2976"/>
      <c r="O202" s="2976"/>
      <c r="P202" s="2976"/>
      <c r="Q202" s="2976"/>
      <c r="R202" s="2976"/>
      <c r="S202" s="2976"/>
      <c r="T202" s="2976"/>
      <c r="U202" s="2976"/>
      <c r="V202" s="2976"/>
      <c r="W202" s="2976"/>
      <c r="X202" s="2976"/>
      <c r="Y202" s="2976"/>
      <c r="Z202" s="2976"/>
      <c r="AA202" s="2976"/>
      <c r="AB202" s="2976"/>
      <c r="AC202" s="2976"/>
      <c r="AD202" s="2976"/>
      <c r="AE202" s="2976"/>
      <c r="AF202" s="2976"/>
    </row>
    <row r="203" spans="1:32">
      <c r="A203" s="2972">
        <v>202</v>
      </c>
      <c r="B203" s="2974" t="s">
        <v>3241</v>
      </c>
      <c r="C203" s="2982" t="s">
        <v>3153</v>
      </c>
      <c r="D203" s="2972" t="s">
        <v>3183</v>
      </c>
      <c r="E203" s="2982">
        <v>302</v>
      </c>
      <c r="F203" s="2983">
        <v>56.83</v>
      </c>
      <c r="G203" s="2979">
        <v>12.7</v>
      </c>
      <c r="H203" s="2979">
        <v>69.53</v>
      </c>
      <c r="I203" s="2974" t="s">
        <v>3055</v>
      </c>
      <c r="J203" s="2981" t="s">
        <v>3155</v>
      </c>
      <c r="L203" s="2976"/>
      <c r="M203" s="2976"/>
      <c r="N203" s="2976"/>
      <c r="O203" s="2976"/>
      <c r="P203" s="2976"/>
      <c r="Q203" s="2976"/>
      <c r="R203" s="2976"/>
      <c r="S203" s="2976"/>
      <c r="T203" s="2976"/>
      <c r="U203" s="2976"/>
      <c r="V203" s="2976"/>
      <c r="W203" s="2976"/>
      <c r="X203" s="2976"/>
      <c r="Y203" s="2976"/>
      <c r="Z203" s="2976"/>
      <c r="AA203" s="2976"/>
      <c r="AB203" s="2976"/>
      <c r="AC203" s="2976"/>
      <c r="AD203" s="2976"/>
      <c r="AE203" s="2976"/>
      <c r="AF203" s="2976"/>
    </row>
    <row r="204" spans="1:32">
      <c r="A204" s="2972">
        <v>203</v>
      </c>
      <c r="B204" s="2974" t="s">
        <v>3241</v>
      </c>
      <c r="C204" s="2982" t="s">
        <v>3153</v>
      </c>
      <c r="D204" s="2972" t="s">
        <v>3183</v>
      </c>
      <c r="E204" s="2982">
        <v>303</v>
      </c>
      <c r="F204" s="2983">
        <v>56.78</v>
      </c>
      <c r="G204" s="2979">
        <v>12.69</v>
      </c>
      <c r="H204" s="2979">
        <v>69.47</v>
      </c>
      <c r="I204" s="2974" t="s">
        <v>3055</v>
      </c>
      <c r="J204" s="2981" t="s">
        <v>3155</v>
      </c>
      <c r="L204" s="2976"/>
      <c r="M204" s="2976"/>
      <c r="N204" s="2976"/>
      <c r="O204" s="2976"/>
      <c r="P204" s="2976"/>
      <c r="Q204" s="2976"/>
      <c r="R204" s="2976"/>
      <c r="S204" s="2976"/>
      <c r="T204" s="2976"/>
      <c r="U204" s="2976"/>
      <c r="V204" s="2976"/>
      <c r="W204" s="2976"/>
      <c r="X204" s="2976"/>
      <c r="Y204" s="2976"/>
      <c r="Z204" s="2976"/>
      <c r="AA204" s="2976"/>
      <c r="AB204" s="2976"/>
      <c r="AC204" s="2976"/>
      <c r="AD204" s="2976"/>
      <c r="AE204" s="2976"/>
      <c r="AF204" s="2976"/>
    </row>
    <row r="205" spans="1:32">
      <c r="A205" s="2972">
        <v>204</v>
      </c>
      <c r="B205" s="2974" t="s">
        <v>3241</v>
      </c>
      <c r="C205" s="2982" t="s">
        <v>3153</v>
      </c>
      <c r="D205" s="2972" t="s">
        <v>3183</v>
      </c>
      <c r="E205" s="2982">
        <v>305</v>
      </c>
      <c r="F205" s="2983">
        <v>56.78</v>
      </c>
      <c r="G205" s="2979">
        <v>12.69</v>
      </c>
      <c r="H205" s="2979">
        <v>69.47</v>
      </c>
      <c r="I205" s="2974" t="s">
        <v>3055</v>
      </c>
      <c r="J205" s="2981" t="s">
        <v>3155</v>
      </c>
      <c r="L205" s="2976"/>
      <c r="M205" s="2976"/>
      <c r="N205" s="2976"/>
      <c r="O205" s="2976"/>
      <c r="P205" s="2976"/>
      <c r="Q205" s="2976"/>
      <c r="R205" s="2976"/>
      <c r="S205" s="2976"/>
      <c r="T205" s="2976"/>
      <c r="U205" s="2976"/>
      <c r="V205" s="2976"/>
      <c r="W205" s="2976"/>
      <c r="X205" s="2976"/>
      <c r="Y205" s="2976"/>
      <c r="Z205" s="2976"/>
      <c r="AA205" s="2976"/>
      <c r="AB205" s="2976"/>
      <c r="AC205" s="2976"/>
      <c r="AD205" s="2976"/>
      <c r="AE205" s="2976"/>
      <c r="AF205" s="2976"/>
    </row>
    <row r="206" spans="1:32">
      <c r="A206" s="2972">
        <v>205</v>
      </c>
      <c r="B206" s="2974" t="s">
        <v>3241</v>
      </c>
      <c r="C206" s="2982" t="s">
        <v>3153</v>
      </c>
      <c r="D206" s="2972" t="s">
        <v>3183</v>
      </c>
      <c r="E206" s="2982">
        <v>306</v>
      </c>
      <c r="F206" s="2983">
        <v>56.83</v>
      </c>
      <c r="G206" s="2979">
        <v>12.7</v>
      </c>
      <c r="H206" s="2979">
        <v>69.53</v>
      </c>
      <c r="I206" s="2974" t="s">
        <v>3055</v>
      </c>
      <c r="J206" s="2981" t="s">
        <v>3155</v>
      </c>
      <c r="L206" s="2976"/>
      <c r="M206" s="2976"/>
      <c r="N206" s="2976"/>
      <c r="O206" s="2976"/>
      <c r="P206" s="2976"/>
      <c r="Q206" s="2976"/>
      <c r="R206" s="2976"/>
      <c r="S206" s="2976"/>
      <c r="T206" s="2976"/>
      <c r="U206" s="2976"/>
      <c r="V206" s="2976"/>
      <c r="W206" s="2976"/>
      <c r="X206" s="2976"/>
      <c r="Y206" s="2976"/>
      <c r="Z206" s="2976"/>
      <c r="AA206" s="2976"/>
      <c r="AB206" s="2976"/>
      <c r="AC206" s="2976"/>
      <c r="AD206" s="2976"/>
      <c r="AE206" s="2976"/>
      <c r="AF206" s="2976"/>
    </row>
    <row r="207" spans="1:32">
      <c r="A207" s="2972">
        <v>206</v>
      </c>
      <c r="B207" s="2974" t="s">
        <v>3241</v>
      </c>
      <c r="C207" s="2982" t="s">
        <v>3153</v>
      </c>
      <c r="D207" s="2972" t="s">
        <v>3183</v>
      </c>
      <c r="E207" s="2982">
        <v>307</v>
      </c>
      <c r="F207" s="2983">
        <v>54.01</v>
      </c>
      <c r="G207" s="2979">
        <v>12.07</v>
      </c>
      <c r="H207" s="2979">
        <v>66.08</v>
      </c>
      <c r="I207" s="2974" t="s">
        <v>3055</v>
      </c>
      <c r="J207" s="2981" t="s">
        <v>3154</v>
      </c>
      <c r="L207" s="2976"/>
      <c r="M207" s="2976"/>
      <c r="N207" s="2976"/>
      <c r="O207" s="2976"/>
      <c r="P207" s="2976"/>
      <c r="Q207" s="2976"/>
      <c r="R207" s="2976"/>
      <c r="S207" s="2976"/>
      <c r="T207" s="2976"/>
      <c r="U207" s="2976"/>
      <c r="V207" s="2976"/>
      <c r="W207" s="2976"/>
      <c r="X207" s="2976"/>
      <c r="Y207" s="2976"/>
      <c r="Z207" s="2976"/>
      <c r="AA207" s="2976"/>
      <c r="AB207" s="2976"/>
      <c r="AC207" s="2976"/>
      <c r="AD207" s="2976"/>
      <c r="AE207" s="2976"/>
      <c r="AF207" s="2976"/>
    </row>
    <row r="208" spans="1:32">
      <c r="A208" s="2972">
        <v>207</v>
      </c>
      <c r="B208" s="2974" t="s">
        <v>3241</v>
      </c>
      <c r="C208" s="2982" t="s">
        <v>3156</v>
      </c>
      <c r="D208" s="2972" t="s">
        <v>3183</v>
      </c>
      <c r="E208" s="2982" t="s">
        <v>3145</v>
      </c>
      <c r="F208" s="2983">
        <v>77.27</v>
      </c>
      <c r="G208" s="2979">
        <v>17.27</v>
      </c>
      <c r="H208" s="2979">
        <v>94.539999999999992</v>
      </c>
      <c r="I208" s="2974" t="s">
        <v>3055</v>
      </c>
      <c r="J208" s="2981" t="s">
        <v>3155</v>
      </c>
      <c r="L208" s="2976"/>
      <c r="M208" s="2976"/>
      <c r="N208" s="2976"/>
      <c r="O208" s="2976"/>
      <c r="P208" s="2976"/>
      <c r="Q208" s="2976"/>
      <c r="R208" s="2976"/>
      <c r="S208" s="2976"/>
      <c r="T208" s="2976"/>
      <c r="U208" s="2976"/>
      <c r="V208" s="2976"/>
      <c r="W208" s="2976"/>
      <c r="X208" s="2976"/>
      <c r="Y208" s="2976"/>
      <c r="Z208" s="2976"/>
      <c r="AA208" s="2976"/>
      <c r="AB208" s="2976"/>
      <c r="AC208" s="2976"/>
      <c r="AD208" s="2976"/>
      <c r="AE208" s="2976"/>
      <c r="AF208" s="2976"/>
    </row>
    <row r="209" spans="1:32">
      <c r="A209" s="2972">
        <v>208</v>
      </c>
      <c r="B209" s="2974" t="s">
        <v>3241</v>
      </c>
      <c r="C209" s="2982" t="s">
        <v>3156</v>
      </c>
      <c r="D209" s="2972" t="s">
        <v>3183</v>
      </c>
      <c r="E209" s="2982" t="s">
        <v>3146</v>
      </c>
      <c r="F209" s="2983">
        <v>56.83</v>
      </c>
      <c r="G209" s="2979">
        <v>12.7</v>
      </c>
      <c r="H209" s="2979">
        <v>69.53</v>
      </c>
      <c r="I209" s="2974" t="s">
        <v>3055</v>
      </c>
      <c r="J209" s="2981" t="s">
        <v>3155</v>
      </c>
      <c r="L209" s="2976"/>
      <c r="M209" s="2976"/>
      <c r="N209" s="2976"/>
      <c r="O209" s="2976"/>
      <c r="P209" s="2976"/>
      <c r="Q209" s="2976"/>
      <c r="R209" s="2976"/>
      <c r="S209" s="2976"/>
      <c r="T209" s="2976"/>
      <c r="U209" s="2976"/>
      <c r="V209" s="2976"/>
      <c r="W209" s="2976"/>
      <c r="X209" s="2976"/>
      <c r="Y209" s="2976"/>
      <c r="Z209" s="2976"/>
      <c r="AA209" s="2976"/>
      <c r="AB209" s="2976"/>
      <c r="AC209" s="2976"/>
      <c r="AD209" s="2976"/>
      <c r="AE209" s="2976"/>
      <c r="AF209" s="2976"/>
    </row>
    <row r="210" spans="1:32">
      <c r="A210" s="2972">
        <v>209</v>
      </c>
      <c r="B210" s="2974" t="s">
        <v>3241</v>
      </c>
      <c r="C210" s="2982" t="s">
        <v>3156</v>
      </c>
      <c r="D210" s="2972" t="s">
        <v>3183</v>
      </c>
      <c r="E210" s="2982" t="s">
        <v>3147</v>
      </c>
      <c r="F210" s="2983">
        <v>56.78</v>
      </c>
      <c r="G210" s="2979">
        <v>12.69</v>
      </c>
      <c r="H210" s="2979">
        <v>69.47</v>
      </c>
      <c r="I210" s="2974" t="s">
        <v>3055</v>
      </c>
      <c r="J210" s="2981" t="s">
        <v>3155</v>
      </c>
      <c r="L210" s="2976"/>
      <c r="M210" s="2976"/>
      <c r="N210" s="2976"/>
      <c r="O210" s="2976"/>
      <c r="P210" s="2976"/>
      <c r="Q210" s="2976"/>
      <c r="R210" s="2976"/>
      <c r="S210" s="2976"/>
      <c r="T210" s="2976"/>
      <c r="U210" s="2976"/>
      <c r="V210" s="2976"/>
      <c r="W210" s="2976"/>
      <c r="X210" s="2976"/>
      <c r="Y210" s="2976"/>
      <c r="Z210" s="2976"/>
      <c r="AA210" s="2976"/>
      <c r="AB210" s="2976"/>
      <c r="AC210" s="2976"/>
      <c r="AD210" s="2976"/>
      <c r="AE210" s="2976"/>
      <c r="AF210" s="2976"/>
    </row>
    <row r="211" spans="1:32">
      <c r="A211" s="2972">
        <v>210</v>
      </c>
      <c r="B211" s="2974" t="s">
        <v>3241</v>
      </c>
      <c r="C211" s="2982" t="s">
        <v>3156</v>
      </c>
      <c r="D211" s="2972" t="s">
        <v>3183</v>
      </c>
      <c r="E211" s="2982" t="s">
        <v>3148</v>
      </c>
      <c r="F211" s="2983">
        <v>56.78</v>
      </c>
      <c r="G211" s="2979">
        <v>12.69</v>
      </c>
      <c r="H211" s="2979">
        <v>69.47</v>
      </c>
      <c r="I211" s="2974" t="s">
        <v>3055</v>
      </c>
      <c r="J211" s="2981" t="s">
        <v>3155</v>
      </c>
      <c r="L211" s="2976"/>
      <c r="M211" s="2976"/>
      <c r="N211" s="2976"/>
      <c r="O211" s="2976"/>
      <c r="P211" s="2976"/>
      <c r="Q211" s="2976"/>
      <c r="R211" s="2976"/>
      <c r="S211" s="2976"/>
      <c r="T211" s="2976"/>
      <c r="U211" s="2976"/>
      <c r="V211" s="2976"/>
      <c r="W211" s="2976"/>
      <c r="X211" s="2976"/>
      <c r="Y211" s="2976"/>
      <c r="Z211" s="2976"/>
      <c r="AA211" s="2976"/>
      <c r="AB211" s="2976"/>
      <c r="AC211" s="2976"/>
      <c r="AD211" s="2976"/>
      <c r="AE211" s="2976"/>
      <c r="AF211" s="2976"/>
    </row>
    <row r="212" spans="1:32">
      <c r="A212" s="2972">
        <v>211</v>
      </c>
      <c r="B212" s="2974" t="s">
        <v>3241</v>
      </c>
      <c r="C212" s="2982" t="s">
        <v>3156</v>
      </c>
      <c r="D212" s="2972" t="s">
        <v>3183</v>
      </c>
      <c r="E212" s="2982" t="s">
        <v>3149</v>
      </c>
      <c r="F212" s="2983">
        <v>56.83</v>
      </c>
      <c r="G212" s="2979">
        <v>12.7</v>
      </c>
      <c r="H212" s="2979">
        <v>69.53</v>
      </c>
      <c r="I212" s="2974" t="s">
        <v>3055</v>
      </c>
      <c r="J212" s="2981" t="s">
        <v>3155</v>
      </c>
      <c r="L212" s="2976"/>
      <c r="M212" s="2976"/>
      <c r="N212" s="2976"/>
      <c r="O212" s="2976"/>
      <c r="P212" s="2976"/>
      <c r="Q212" s="2976"/>
      <c r="R212" s="2976"/>
      <c r="S212" s="2976"/>
      <c r="T212" s="2976"/>
      <c r="U212" s="2976"/>
      <c r="V212" s="2976"/>
      <c r="W212" s="2976"/>
      <c r="X212" s="2976"/>
      <c r="Y212" s="2976"/>
      <c r="Z212" s="2976"/>
      <c r="AA212" s="2976"/>
      <c r="AB212" s="2976"/>
      <c r="AC212" s="2976"/>
      <c r="AD212" s="2976"/>
      <c r="AE212" s="2976"/>
      <c r="AF212" s="2976"/>
    </row>
    <row r="213" spans="1:32">
      <c r="A213" s="2972">
        <v>212</v>
      </c>
      <c r="B213" s="2974" t="s">
        <v>3241</v>
      </c>
      <c r="C213" s="2982" t="s">
        <v>3156</v>
      </c>
      <c r="D213" s="2972" t="s">
        <v>3183</v>
      </c>
      <c r="E213" s="2982" t="s">
        <v>3150</v>
      </c>
      <c r="F213" s="2983">
        <v>54.01</v>
      </c>
      <c r="G213" s="2979">
        <v>12.07</v>
      </c>
      <c r="H213" s="2979">
        <v>66.08</v>
      </c>
      <c r="I213" s="2974" t="s">
        <v>3055</v>
      </c>
      <c r="J213" s="2981" t="s">
        <v>3154</v>
      </c>
      <c r="L213" s="2976"/>
      <c r="M213" s="2976"/>
      <c r="N213" s="2976"/>
      <c r="O213" s="2976"/>
      <c r="P213" s="2976"/>
      <c r="Q213" s="2976"/>
      <c r="R213" s="2976"/>
      <c r="S213" s="2976"/>
      <c r="T213" s="2976"/>
      <c r="U213" s="2976"/>
      <c r="V213" s="2976"/>
      <c r="W213" s="2976"/>
      <c r="X213" s="2976"/>
      <c r="Y213" s="2976"/>
      <c r="Z213" s="2976"/>
      <c r="AA213" s="2976"/>
      <c r="AB213" s="2976"/>
      <c r="AC213" s="2976"/>
      <c r="AD213" s="2976"/>
      <c r="AE213" s="2976"/>
      <c r="AF213" s="2976"/>
    </row>
    <row r="214" spans="1:32">
      <c r="A214" s="2972">
        <v>213</v>
      </c>
      <c r="B214" s="2974" t="s">
        <v>3241</v>
      </c>
      <c r="C214" s="2982" t="s">
        <v>3157</v>
      </c>
      <c r="D214" s="2972" t="s">
        <v>3183</v>
      </c>
      <c r="E214" s="2982">
        <v>501</v>
      </c>
      <c r="F214" s="2983">
        <v>77.27</v>
      </c>
      <c r="G214" s="2979">
        <v>17.27</v>
      </c>
      <c r="H214" s="2979">
        <v>94.539999999999992</v>
      </c>
      <c r="I214" s="2974" t="s">
        <v>3055</v>
      </c>
      <c r="J214" s="2981" t="s">
        <v>3155</v>
      </c>
      <c r="L214" s="2976"/>
      <c r="M214" s="2976"/>
      <c r="N214" s="2976"/>
      <c r="O214" s="2976"/>
      <c r="P214" s="2976"/>
      <c r="Q214" s="2976"/>
      <c r="R214" s="2976"/>
      <c r="S214" s="2976"/>
      <c r="T214" s="2976"/>
      <c r="U214" s="2976"/>
      <c r="V214" s="2976"/>
      <c r="W214" s="2976"/>
      <c r="X214" s="2976"/>
      <c r="Y214" s="2976"/>
      <c r="Z214" s="2976"/>
      <c r="AA214" s="2976"/>
      <c r="AB214" s="2976"/>
      <c r="AC214" s="2976"/>
      <c r="AD214" s="2976"/>
      <c r="AE214" s="2976"/>
      <c r="AF214" s="2976"/>
    </row>
    <row r="215" spans="1:32">
      <c r="A215" s="2972">
        <v>214</v>
      </c>
      <c r="B215" s="2974" t="s">
        <v>3241</v>
      </c>
      <c r="C215" s="2982" t="s">
        <v>3157</v>
      </c>
      <c r="D215" s="2972" t="s">
        <v>3183</v>
      </c>
      <c r="E215" s="2982">
        <v>502</v>
      </c>
      <c r="F215" s="2983">
        <v>56.83</v>
      </c>
      <c r="G215" s="2979">
        <v>12.7</v>
      </c>
      <c r="H215" s="2979">
        <v>69.53</v>
      </c>
      <c r="I215" s="2974" t="s">
        <v>3055</v>
      </c>
      <c r="J215" s="2981" t="s">
        <v>3155</v>
      </c>
      <c r="L215" s="2976"/>
      <c r="M215" s="2976"/>
      <c r="N215" s="2976"/>
      <c r="O215" s="2976"/>
      <c r="P215" s="2976"/>
      <c r="Q215" s="2976"/>
      <c r="R215" s="2976"/>
      <c r="S215" s="2976"/>
      <c r="T215" s="2976"/>
      <c r="U215" s="2976"/>
      <c r="V215" s="2976"/>
      <c r="W215" s="2976"/>
      <c r="X215" s="2976"/>
      <c r="Y215" s="2976"/>
      <c r="Z215" s="2976"/>
      <c r="AA215" s="2976"/>
      <c r="AB215" s="2976"/>
      <c r="AC215" s="2976"/>
      <c r="AD215" s="2976"/>
      <c r="AE215" s="2976"/>
      <c r="AF215" s="2976"/>
    </row>
    <row r="216" spans="1:32">
      <c r="A216" s="2972">
        <v>215</v>
      </c>
      <c r="B216" s="2974" t="s">
        <v>3241</v>
      </c>
      <c r="C216" s="2982" t="s">
        <v>3157</v>
      </c>
      <c r="D216" s="2972" t="s">
        <v>3183</v>
      </c>
      <c r="E216" s="2982">
        <v>503</v>
      </c>
      <c r="F216" s="2983">
        <v>56.78</v>
      </c>
      <c r="G216" s="2979">
        <v>12.69</v>
      </c>
      <c r="H216" s="2979">
        <v>69.47</v>
      </c>
      <c r="I216" s="2974" t="s">
        <v>3055</v>
      </c>
      <c r="J216" s="2981" t="s">
        <v>3155</v>
      </c>
      <c r="L216" s="2976"/>
      <c r="M216" s="2976"/>
      <c r="N216" s="2976"/>
      <c r="O216" s="2976"/>
      <c r="P216" s="2976"/>
      <c r="Q216" s="2976"/>
      <c r="R216" s="2976"/>
      <c r="S216" s="2976"/>
      <c r="T216" s="2976"/>
      <c r="U216" s="2976"/>
      <c r="V216" s="2976"/>
      <c r="W216" s="2976"/>
      <c r="X216" s="2976"/>
      <c r="Y216" s="2976"/>
      <c r="Z216" s="2976"/>
      <c r="AA216" s="2976"/>
      <c r="AB216" s="2976"/>
      <c r="AC216" s="2976"/>
      <c r="AD216" s="2976"/>
      <c r="AE216" s="2976"/>
      <c r="AF216" s="2976"/>
    </row>
    <row r="217" spans="1:32">
      <c r="A217" s="2972">
        <v>216</v>
      </c>
      <c r="B217" s="2974" t="s">
        <v>3241</v>
      </c>
      <c r="C217" s="2982" t="s">
        <v>3157</v>
      </c>
      <c r="D217" s="2972" t="s">
        <v>3183</v>
      </c>
      <c r="E217" s="2982">
        <v>505</v>
      </c>
      <c r="F217" s="2983">
        <v>56.78</v>
      </c>
      <c r="G217" s="2979">
        <v>12.69</v>
      </c>
      <c r="H217" s="2979">
        <v>69.47</v>
      </c>
      <c r="I217" s="2974" t="s">
        <v>3055</v>
      </c>
      <c r="J217" s="2981" t="s">
        <v>3155</v>
      </c>
      <c r="L217" s="2976"/>
      <c r="M217" s="2976"/>
      <c r="N217" s="2976"/>
      <c r="O217" s="2976"/>
      <c r="P217" s="2976"/>
      <c r="Q217" s="2976"/>
      <c r="R217" s="2976"/>
      <c r="S217" s="2976"/>
      <c r="T217" s="2976"/>
      <c r="U217" s="2976"/>
      <c r="V217" s="2976"/>
      <c r="W217" s="2976"/>
      <c r="X217" s="2976"/>
      <c r="Y217" s="2976"/>
      <c r="Z217" s="2976"/>
      <c r="AA217" s="2976"/>
      <c r="AB217" s="2976"/>
      <c r="AC217" s="2976"/>
      <c r="AD217" s="2976"/>
      <c r="AE217" s="2976"/>
      <c r="AF217" s="2976"/>
    </row>
    <row r="218" spans="1:32">
      <c r="A218" s="2972">
        <v>217</v>
      </c>
      <c r="B218" s="2974" t="s">
        <v>3241</v>
      </c>
      <c r="C218" s="2982" t="s">
        <v>3157</v>
      </c>
      <c r="D218" s="2972" t="s">
        <v>3183</v>
      </c>
      <c r="E218" s="2982">
        <v>506</v>
      </c>
      <c r="F218" s="2983">
        <v>56.83</v>
      </c>
      <c r="G218" s="2979">
        <v>12.7</v>
      </c>
      <c r="H218" s="2979">
        <v>69.53</v>
      </c>
      <c r="I218" s="2974" t="s">
        <v>3055</v>
      </c>
      <c r="J218" s="2981" t="s">
        <v>3155</v>
      </c>
      <c r="L218" s="2976"/>
      <c r="M218" s="2976"/>
      <c r="N218" s="2976"/>
      <c r="O218" s="2976"/>
      <c r="P218" s="2976"/>
      <c r="Q218" s="2976"/>
      <c r="R218" s="2976"/>
      <c r="S218" s="2976"/>
      <c r="T218" s="2976"/>
      <c r="U218" s="2976"/>
      <c r="V218" s="2976"/>
      <c r="W218" s="2976"/>
      <c r="X218" s="2976"/>
      <c r="Y218" s="2976"/>
      <c r="Z218" s="2976"/>
      <c r="AA218" s="2976"/>
      <c r="AB218" s="2976"/>
      <c r="AC218" s="2976"/>
      <c r="AD218" s="2976"/>
      <c r="AE218" s="2976"/>
      <c r="AF218" s="2976"/>
    </row>
    <row r="219" spans="1:32">
      <c r="A219" s="2972">
        <v>218</v>
      </c>
      <c r="B219" s="2974" t="s">
        <v>3241</v>
      </c>
      <c r="C219" s="2982" t="s">
        <v>3157</v>
      </c>
      <c r="D219" s="2972" t="s">
        <v>3183</v>
      </c>
      <c r="E219" s="2982">
        <v>507</v>
      </c>
      <c r="F219" s="2983">
        <v>54.01</v>
      </c>
      <c r="G219" s="2979">
        <v>12.07</v>
      </c>
      <c r="H219" s="2979">
        <v>66.08</v>
      </c>
      <c r="I219" s="2974" t="s">
        <v>3055</v>
      </c>
      <c r="J219" s="2981" t="s">
        <v>3154</v>
      </c>
      <c r="L219" s="2976"/>
      <c r="M219" s="2976"/>
      <c r="N219" s="2976"/>
      <c r="O219" s="2976"/>
      <c r="P219" s="2976"/>
      <c r="Q219" s="2976"/>
      <c r="R219" s="2976"/>
      <c r="S219" s="2976"/>
      <c r="T219" s="2976"/>
      <c r="U219" s="2976"/>
      <c r="V219" s="2976"/>
      <c r="W219" s="2976"/>
      <c r="X219" s="2976"/>
      <c r="Y219" s="2976"/>
      <c r="Z219" s="2976"/>
      <c r="AA219" s="2976"/>
      <c r="AB219" s="2976"/>
      <c r="AC219" s="2976"/>
      <c r="AD219" s="2976"/>
      <c r="AE219" s="2976"/>
      <c r="AF219" s="2976"/>
    </row>
    <row r="220" spans="1:32">
      <c r="A220" s="2972">
        <v>219</v>
      </c>
      <c r="B220" s="2974" t="s">
        <v>3241</v>
      </c>
      <c r="C220" s="2982" t="s">
        <v>3158</v>
      </c>
      <c r="D220" s="2972" t="s">
        <v>3183</v>
      </c>
      <c r="E220" s="2982">
        <v>601</v>
      </c>
      <c r="F220" s="2983">
        <v>77.27</v>
      </c>
      <c r="G220" s="2979">
        <v>17.27</v>
      </c>
      <c r="H220" s="2979">
        <v>94.539999999999992</v>
      </c>
      <c r="I220" s="2974" t="s">
        <v>3055</v>
      </c>
      <c r="J220" s="2981" t="s">
        <v>3155</v>
      </c>
      <c r="L220" s="2976"/>
      <c r="M220" s="2976"/>
      <c r="N220" s="2976"/>
      <c r="O220" s="2976"/>
      <c r="P220" s="2976"/>
      <c r="Q220" s="2976"/>
      <c r="R220" s="2976"/>
      <c r="S220" s="2976"/>
      <c r="T220" s="2976"/>
      <c r="U220" s="2976"/>
      <c r="V220" s="2976"/>
      <c r="W220" s="2976"/>
      <c r="X220" s="2976"/>
      <c r="Y220" s="2976"/>
      <c r="Z220" s="2976"/>
      <c r="AA220" s="2976"/>
      <c r="AB220" s="2976"/>
      <c r="AC220" s="2976"/>
      <c r="AD220" s="2976"/>
      <c r="AE220" s="2976"/>
      <c r="AF220" s="2976"/>
    </row>
    <row r="221" spans="1:32">
      <c r="A221" s="2972">
        <v>220</v>
      </c>
      <c r="B221" s="2974" t="s">
        <v>3241</v>
      </c>
      <c r="C221" s="2982" t="s">
        <v>3158</v>
      </c>
      <c r="D221" s="2972" t="s">
        <v>3183</v>
      </c>
      <c r="E221" s="2982">
        <v>602</v>
      </c>
      <c r="F221" s="2983">
        <v>56.83</v>
      </c>
      <c r="G221" s="2979">
        <v>12.7</v>
      </c>
      <c r="H221" s="2979">
        <v>69.53</v>
      </c>
      <c r="I221" s="2974" t="s">
        <v>3055</v>
      </c>
      <c r="J221" s="2981" t="s">
        <v>3155</v>
      </c>
      <c r="L221" s="2976"/>
      <c r="M221" s="2976"/>
      <c r="N221" s="2976"/>
      <c r="O221" s="2976"/>
      <c r="P221" s="2976"/>
      <c r="Q221" s="2976"/>
      <c r="R221" s="2976"/>
      <c r="S221" s="2976"/>
      <c r="T221" s="2976"/>
      <c r="U221" s="2976"/>
      <c r="V221" s="2976"/>
      <c r="W221" s="2976"/>
      <c r="X221" s="2976"/>
      <c r="Y221" s="2976"/>
      <c r="Z221" s="2976"/>
      <c r="AA221" s="2976"/>
      <c r="AB221" s="2976"/>
      <c r="AC221" s="2976"/>
      <c r="AD221" s="2976"/>
      <c r="AE221" s="2976"/>
      <c r="AF221" s="2976"/>
    </row>
    <row r="222" spans="1:32">
      <c r="A222" s="2972">
        <v>221</v>
      </c>
      <c r="B222" s="2974" t="s">
        <v>3241</v>
      </c>
      <c r="C222" s="2982" t="s">
        <v>3158</v>
      </c>
      <c r="D222" s="2972" t="s">
        <v>3183</v>
      </c>
      <c r="E222" s="2982">
        <v>603</v>
      </c>
      <c r="F222" s="2983">
        <v>56.78</v>
      </c>
      <c r="G222" s="2979">
        <v>12.69</v>
      </c>
      <c r="H222" s="2979">
        <v>69.47</v>
      </c>
      <c r="I222" s="2974" t="s">
        <v>3055</v>
      </c>
      <c r="J222" s="2981" t="s">
        <v>3155</v>
      </c>
      <c r="L222" s="2976"/>
      <c r="M222" s="2976"/>
      <c r="N222" s="2976"/>
      <c r="O222" s="2976"/>
      <c r="P222" s="2976"/>
      <c r="Q222" s="2976"/>
      <c r="R222" s="2976"/>
      <c r="S222" s="2976"/>
      <c r="T222" s="2976"/>
      <c r="U222" s="2976"/>
      <c r="V222" s="2976"/>
      <c r="W222" s="2976"/>
      <c r="X222" s="2976"/>
      <c r="Y222" s="2976"/>
      <c r="Z222" s="2976"/>
      <c r="AA222" s="2976"/>
      <c r="AB222" s="2976"/>
      <c r="AC222" s="2976"/>
      <c r="AD222" s="2976"/>
      <c r="AE222" s="2976"/>
      <c r="AF222" s="2976"/>
    </row>
    <row r="223" spans="1:32">
      <c r="A223" s="2972">
        <v>222</v>
      </c>
      <c r="B223" s="2974" t="s">
        <v>3241</v>
      </c>
      <c r="C223" s="2982" t="s">
        <v>3158</v>
      </c>
      <c r="D223" s="2972" t="s">
        <v>3183</v>
      </c>
      <c r="E223" s="2982">
        <v>605</v>
      </c>
      <c r="F223" s="2983">
        <v>56.78</v>
      </c>
      <c r="G223" s="2979">
        <v>12.69</v>
      </c>
      <c r="H223" s="2979">
        <v>69.47</v>
      </c>
      <c r="I223" s="2974" t="s">
        <v>3055</v>
      </c>
      <c r="J223" s="2981" t="s">
        <v>3155</v>
      </c>
      <c r="L223" s="2976"/>
      <c r="M223" s="2976"/>
      <c r="N223" s="2976"/>
      <c r="O223" s="2976"/>
      <c r="P223" s="2976"/>
      <c r="Q223" s="2976"/>
      <c r="R223" s="2976"/>
      <c r="S223" s="2976"/>
      <c r="T223" s="2976"/>
      <c r="U223" s="2976"/>
      <c r="V223" s="2976"/>
      <c r="W223" s="2976"/>
      <c r="X223" s="2976"/>
      <c r="Y223" s="2976"/>
      <c r="Z223" s="2976"/>
      <c r="AA223" s="2976"/>
      <c r="AB223" s="2976"/>
      <c r="AC223" s="2976"/>
      <c r="AD223" s="2976"/>
      <c r="AE223" s="2976"/>
      <c r="AF223" s="2976"/>
    </row>
    <row r="224" spans="1:32">
      <c r="A224" s="2972">
        <v>223</v>
      </c>
      <c r="B224" s="2974" t="s">
        <v>3241</v>
      </c>
      <c r="C224" s="2982" t="s">
        <v>3158</v>
      </c>
      <c r="D224" s="2972" t="s">
        <v>3183</v>
      </c>
      <c r="E224" s="2982">
        <v>606</v>
      </c>
      <c r="F224" s="2983">
        <v>56.83</v>
      </c>
      <c r="G224" s="2979">
        <v>12.7</v>
      </c>
      <c r="H224" s="2979">
        <v>69.53</v>
      </c>
      <c r="I224" s="2974" t="s">
        <v>3055</v>
      </c>
      <c r="J224" s="2981" t="s">
        <v>3155</v>
      </c>
      <c r="L224" s="2976"/>
      <c r="M224" s="2976"/>
      <c r="N224" s="2976"/>
      <c r="O224" s="2976"/>
      <c r="P224" s="2976"/>
      <c r="Q224" s="2976"/>
      <c r="R224" s="2976"/>
      <c r="S224" s="2976"/>
      <c r="T224" s="2976"/>
      <c r="U224" s="2976"/>
      <c r="V224" s="2976"/>
      <c r="W224" s="2976"/>
      <c r="X224" s="2976"/>
      <c r="Y224" s="2976"/>
      <c r="Z224" s="2976"/>
      <c r="AA224" s="2976"/>
      <c r="AB224" s="2976"/>
      <c r="AC224" s="2976"/>
      <c r="AD224" s="2976"/>
      <c r="AE224" s="2976"/>
      <c r="AF224" s="2976"/>
    </row>
    <row r="225" spans="1:32">
      <c r="A225" s="2972">
        <v>224</v>
      </c>
      <c r="B225" s="2974" t="s">
        <v>3241</v>
      </c>
      <c r="C225" s="2982" t="s">
        <v>3158</v>
      </c>
      <c r="D225" s="2972" t="s">
        <v>3183</v>
      </c>
      <c r="E225" s="2982">
        <v>607</v>
      </c>
      <c r="F225" s="2983">
        <v>54.01</v>
      </c>
      <c r="G225" s="2979">
        <v>12.07</v>
      </c>
      <c r="H225" s="2979">
        <v>66.08</v>
      </c>
      <c r="I225" s="2974" t="s">
        <v>3055</v>
      </c>
      <c r="J225" s="2981" t="s">
        <v>3154</v>
      </c>
      <c r="L225" s="2976"/>
      <c r="M225" s="2976"/>
      <c r="N225" s="2976"/>
      <c r="O225" s="2976"/>
      <c r="P225" s="2976"/>
      <c r="Q225" s="2976"/>
      <c r="R225" s="2976"/>
      <c r="S225" s="2976"/>
      <c r="T225" s="2976"/>
      <c r="U225" s="2976"/>
      <c r="V225" s="2976"/>
      <c r="W225" s="2976"/>
      <c r="X225" s="2976"/>
      <c r="Y225" s="2976"/>
      <c r="Z225" s="2976"/>
      <c r="AA225" s="2976"/>
      <c r="AB225" s="2976"/>
      <c r="AC225" s="2976"/>
      <c r="AD225" s="2976"/>
      <c r="AE225" s="2976"/>
      <c r="AF225" s="2976"/>
    </row>
    <row r="226" spans="1:32">
      <c r="A226" s="2972">
        <v>225</v>
      </c>
      <c r="B226" s="2974" t="s">
        <v>3242</v>
      </c>
      <c r="C226" s="2982" t="s">
        <v>3152</v>
      </c>
      <c r="D226" s="2972" t="s">
        <v>3183</v>
      </c>
      <c r="E226" s="2982">
        <v>101</v>
      </c>
      <c r="F226" s="2983">
        <v>77.27</v>
      </c>
      <c r="G226" s="2979">
        <v>16.670000000000002</v>
      </c>
      <c r="H226" s="2979">
        <v>93.94</v>
      </c>
      <c r="I226" s="2974" t="s">
        <v>3055</v>
      </c>
      <c r="J226" s="2981" t="s">
        <v>3155</v>
      </c>
      <c r="L226" s="2976"/>
      <c r="M226" s="2976"/>
      <c r="N226" s="2976"/>
      <c r="O226" s="2976"/>
      <c r="P226" s="2976"/>
      <c r="Q226" s="2976"/>
      <c r="R226" s="2976"/>
      <c r="S226" s="2976"/>
      <c r="T226" s="2976"/>
      <c r="U226" s="2976"/>
      <c r="V226" s="2976"/>
      <c r="W226" s="2976"/>
      <c r="X226" s="2976"/>
      <c r="Y226" s="2976"/>
      <c r="Z226" s="2976"/>
      <c r="AA226" s="2976"/>
      <c r="AB226" s="2976"/>
      <c r="AC226" s="2976"/>
      <c r="AD226" s="2976"/>
      <c r="AE226" s="2976"/>
      <c r="AF226" s="2976"/>
    </row>
    <row r="227" spans="1:32">
      <c r="A227" s="2972">
        <v>226</v>
      </c>
      <c r="B227" s="2974" t="s">
        <v>3242</v>
      </c>
      <c r="C227" s="2982" t="s">
        <v>3152</v>
      </c>
      <c r="D227" s="2972" t="s">
        <v>3183</v>
      </c>
      <c r="E227" s="2982">
        <v>102</v>
      </c>
      <c r="F227" s="2983">
        <v>56.83</v>
      </c>
      <c r="G227" s="2979">
        <v>12.26</v>
      </c>
      <c r="H227" s="2979">
        <v>69.09</v>
      </c>
      <c r="I227" s="2974" t="s">
        <v>3055</v>
      </c>
      <c r="J227" s="2981" t="s">
        <v>3155</v>
      </c>
      <c r="L227" s="2976"/>
      <c r="M227" s="2976"/>
      <c r="N227" s="2976"/>
      <c r="O227" s="2976"/>
      <c r="P227" s="2976"/>
      <c r="Q227" s="2976"/>
      <c r="R227" s="2976"/>
      <c r="S227" s="2976"/>
      <c r="T227" s="2976"/>
      <c r="U227" s="2976"/>
      <c r="V227" s="2976"/>
      <c r="W227" s="2976"/>
      <c r="X227" s="2976"/>
      <c r="Y227" s="2976"/>
      <c r="Z227" s="2976"/>
      <c r="AA227" s="2976"/>
      <c r="AB227" s="2976"/>
      <c r="AC227" s="2976"/>
      <c r="AD227" s="2976"/>
      <c r="AE227" s="2976"/>
      <c r="AF227" s="2976"/>
    </row>
    <row r="228" spans="1:32">
      <c r="A228" s="2972">
        <v>227</v>
      </c>
      <c r="B228" s="2974" t="s">
        <v>3242</v>
      </c>
      <c r="C228" s="2982" t="s">
        <v>3152</v>
      </c>
      <c r="D228" s="2972" t="s">
        <v>3183</v>
      </c>
      <c r="E228" s="2982">
        <v>103</v>
      </c>
      <c r="F228" s="2983">
        <v>56.78</v>
      </c>
      <c r="G228" s="2979">
        <v>12.25</v>
      </c>
      <c r="H228" s="2979">
        <v>69.03</v>
      </c>
      <c r="I228" s="2974" t="s">
        <v>3055</v>
      </c>
      <c r="J228" s="2981" t="s">
        <v>3155</v>
      </c>
      <c r="L228" s="2976"/>
      <c r="M228" s="2976"/>
      <c r="N228" s="2976"/>
      <c r="O228" s="2976"/>
      <c r="P228" s="2976"/>
      <c r="Q228" s="2976"/>
      <c r="R228" s="2976"/>
      <c r="S228" s="2976"/>
      <c r="T228" s="2976"/>
      <c r="U228" s="2976"/>
      <c r="V228" s="2976"/>
      <c r="W228" s="2976"/>
      <c r="X228" s="2976"/>
      <c r="Y228" s="2976"/>
      <c r="Z228" s="2976"/>
      <c r="AA228" s="2976"/>
      <c r="AB228" s="2976"/>
      <c r="AC228" s="2976"/>
      <c r="AD228" s="2976"/>
      <c r="AE228" s="2976"/>
      <c r="AF228" s="2976"/>
    </row>
    <row r="229" spans="1:32">
      <c r="A229" s="2972">
        <v>228</v>
      </c>
      <c r="B229" s="2974" t="s">
        <v>3242</v>
      </c>
      <c r="C229" s="2982" t="s">
        <v>3152</v>
      </c>
      <c r="D229" s="2972" t="s">
        <v>3183</v>
      </c>
      <c r="E229" s="2982">
        <v>105</v>
      </c>
      <c r="F229" s="2983">
        <v>56.78</v>
      </c>
      <c r="G229" s="2979">
        <v>12.25</v>
      </c>
      <c r="H229" s="2979">
        <v>69.03</v>
      </c>
      <c r="I229" s="2974" t="s">
        <v>3055</v>
      </c>
      <c r="J229" s="2981" t="s">
        <v>3155</v>
      </c>
      <c r="L229" s="2976"/>
      <c r="M229" s="2976"/>
      <c r="N229" s="2976"/>
      <c r="O229" s="2976"/>
      <c r="P229" s="2976"/>
      <c r="Q229" s="2976"/>
      <c r="R229" s="2976"/>
      <c r="S229" s="2976"/>
      <c r="T229" s="2976"/>
      <c r="U229" s="2976"/>
      <c r="V229" s="2976"/>
      <c r="W229" s="2976"/>
      <c r="X229" s="2976"/>
      <c r="Y229" s="2976"/>
      <c r="Z229" s="2976"/>
      <c r="AA229" s="2976"/>
      <c r="AB229" s="2976"/>
      <c r="AC229" s="2976"/>
      <c r="AD229" s="2976"/>
      <c r="AE229" s="2976"/>
      <c r="AF229" s="2976"/>
    </row>
    <row r="230" spans="1:32">
      <c r="A230" s="2972">
        <v>229</v>
      </c>
      <c r="B230" s="2974" t="s">
        <v>3242</v>
      </c>
      <c r="C230" s="2982" t="s">
        <v>3152</v>
      </c>
      <c r="D230" s="2972" t="s">
        <v>3183</v>
      </c>
      <c r="E230" s="2982">
        <v>106</v>
      </c>
      <c r="F230" s="2983">
        <v>56.83</v>
      </c>
      <c r="G230" s="2979">
        <v>12.26</v>
      </c>
      <c r="H230" s="2979">
        <v>69.09</v>
      </c>
      <c r="I230" s="2974" t="s">
        <v>3055</v>
      </c>
      <c r="J230" s="2981" t="s">
        <v>3155</v>
      </c>
      <c r="L230" s="2976"/>
      <c r="M230" s="2976"/>
      <c r="N230" s="2976"/>
      <c r="O230" s="2976"/>
      <c r="P230" s="2976"/>
      <c r="Q230" s="2976"/>
      <c r="R230" s="2976"/>
      <c r="S230" s="2976"/>
      <c r="T230" s="2976"/>
      <c r="U230" s="2976"/>
      <c r="V230" s="2976"/>
      <c r="W230" s="2976"/>
      <c r="X230" s="2976"/>
      <c r="Y230" s="2976"/>
      <c r="Z230" s="2976"/>
      <c r="AA230" s="2976"/>
      <c r="AB230" s="2976"/>
      <c r="AC230" s="2976"/>
      <c r="AD230" s="2976"/>
      <c r="AE230" s="2976"/>
      <c r="AF230" s="2976"/>
    </row>
    <row r="231" spans="1:32">
      <c r="A231" s="2972">
        <v>230</v>
      </c>
      <c r="B231" s="2974" t="s">
        <v>3242</v>
      </c>
      <c r="C231" s="2982" t="s">
        <v>3152</v>
      </c>
      <c r="D231" s="2972" t="s">
        <v>3183</v>
      </c>
      <c r="E231" s="2982">
        <v>107</v>
      </c>
      <c r="F231" s="2983">
        <v>54.01</v>
      </c>
      <c r="G231" s="2979">
        <v>11.65</v>
      </c>
      <c r="H231" s="2979">
        <v>65.66</v>
      </c>
      <c r="I231" s="2974" t="s">
        <v>3055</v>
      </c>
      <c r="J231" s="2981" t="s">
        <v>3154</v>
      </c>
      <c r="L231" s="2976"/>
      <c r="M231" s="2976"/>
      <c r="N231" s="2976"/>
      <c r="O231" s="2976"/>
      <c r="P231" s="2976"/>
      <c r="Q231" s="2976"/>
      <c r="R231" s="2976"/>
      <c r="S231" s="2976"/>
      <c r="T231" s="2976"/>
      <c r="U231" s="2976"/>
      <c r="V231" s="2976"/>
      <c r="W231" s="2976"/>
      <c r="X231" s="2976"/>
      <c r="Y231" s="2976"/>
      <c r="Z231" s="2976"/>
      <c r="AA231" s="2976"/>
      <c r="AB231" s="2976"/>
      <c r="AC231" s="2976"/>
      <c r="AD231" s="2976"/>
      <c r="AE231" s="2976"/>
      <c r="AF231" s="2976"/>
    </row>
    <row r="232" spans="1:32">
      <c r="A232" s="2972">
        <v>231</v>
      </c>
      <c r="B232" s="2974" t="s">
        <v>3242</v>
      </c>
      <c r="C232" s="2982" t="s">
        <v>3159</v>
      </c>
      <c r="D232" s="2972" t="s">
        <v>3183</v>
      </c>
      <c r="E232" s="2982">
        <v>201</v>
      </c>
      <c r="F232" s="2983">
        <v>77.27</v>
      </c>
      <c r="G232" s="2979">
        <v>16.670000000000002</v>
      </c>
      <c r="H232" s="2979">
        <v>93.94</v>
      </c>
      <c r="I232" s="2974" t="s">
        <v>3055</v>
      </c>
      <c r="J232" s="2981" t="s">
        <v>3155</v>
      </c>
      <c r="L232" s="2976"/>
      <c r="M232" s="2976"/>
      <c r="N232" s="2976"/>
      <c r="O232" s="2976"/>
      <c r="P232" s="2976"/>
      <c r="Q232" s="2976"/>
      <c r="R232" s="2976"/>
      <c r="S232" s="2976"/>
      <c r="T232" s="2976"/>
      <c r="U232" s="2976"/>
      <c r="V232" s="2976"/>
      <c r="W232" s="2976"/>
      <c r="X232" s="2976"/>
      <c r="Y232" s="2976"/>
      <c r="Z232" s="2976"/>
      <c r="AA232" s="2976"/>
      <c r="AB232" s="2976"/>
      <c r="AC232" s="2976"/>
      <c r="AD232" s="2976"/>
      <c r="AE232" s="2976"/>
      <c r="AF232" s="2976"/>
    </row>
    <row r="233" spans="1:32">
      <c r="A233" s="2972">
        <v>232</v>
      </c>
      <c r="B233" s="2974" t="s">
        <v>3242</v>
      </c>
      <c r="C233" s="2982" t="s">
        <v>3159</v>
      </c>
      <c r="D233" s="2972" t="s">
        <v>3183</v>
      </c>
      <c r="E233" s="2982">
        <v>202</v>
      </c>
      <c r="F233" s="2983">
        <v>56.83</v>
      </c>
      <c r="G233" s="2979">
        <v>12.26</v>
      </c>
      <c r="H233" s="2979">
        <v>69.09</v>
      </c>
      <c r="I233" s="2974" t="s">
        <v>3055</v>
      </c>
      <c r="J233" s="2981" t="s">
        <v>3155</v>
      </c>
      <c r="L233" s="2976"/>
      <c r="M233" s="2976"/>
      <c r="N233" s="2976"/>
      <c r="O233" s="2976"/>
      <c r="P233" s="2976"/>
      <c r="Q233" s="2976"/>
      <c r="R233" s="2976"/>
      <c r="S233" s="2976"/>
      <c r="T233" s="2976"/>
      <c r="U233" s="2976"/>
      <c r="V233" s="2976"/>
      <c r="W233" s="2976"/>
      <c r="X233" s="2976"/>
      <c r="Y233" s="2976"/>
      <c r="Z233" s="2976"/>
      <c r="AA233" s="2976"/>
      <c r="AB233" s="2976"/>
      <c r="AC233" s="2976"/>
      <c r="AD233" s="2976"/>
      <c r="AE233" s="2976"/>
      <c r="AF233" s="2976"/>
    </row>
    <row r="234" spans="1:32">
      <c r="A234" s="2972">
        <v>233</v>
      </c>
      <c r="B234" s="2974" t="s">
        <v>3242</v>
      </c>
      <c r="C234" s="2982" t="s">
        <v>3159</v>
      </c>
      <c r="D234" s="2972" t="s">
        <v>3183</v>
      </c>
      <c r="E234" s="2982">
        <v>203</v>
      </c>
      <c r="F234" s="2983">
        <v>56.78</v>
      </c>
      <c r="G234" s="2979">
        <v>12.25</v>
      </c>
      <c r="H234" s="2979">
        <v>69.03</v>
      </c>
      <c r="I234" s="2974" t="s">
        <v>3055</v>
      </c>
      <c r="J234" s="2981" t="s">
        <v>3155</v>
      </c>
      <c r="L234" s="2976"/>
      <c r="M234" s="2976"/>
      <c r="N234" s="2976"/>
      <c r="O234" s="2976"/>
      <c r="P234" s="2976"/>
      <c r="Q234" s="2976"/>
      <c r="R234" s="2976"/>
      <c r="S234" s="2976"/>
      <c r="T234" s="2976"/>
      <c r="U234" s="2976"/>
      <c r="V234" s="2976"/>
      <c r="W234" s="2976"/>
      <c r="X234" s="2976"/>
      <c r="Y234" s="2976"/>
      <c r="Z234" s="2976"/>
      <c r="AA234" s="2976"/>
      <c r="AB234" s="2976"/>
      <c r="AC234" s="2976"/>
      <c r="AD234" s="2976"/>
      <c r="AE234" s="2976"/>
      <c r="AF234" s="2976"/>
    </row>
    <row r="235" spans="1:32">
      <c r="A235" s="2972">
        <v>234</v>
      </c>
      <c r="B235" s="2974" t="s">
        <v>3242</v>
      </c>
      <c r="C235" s="2982" t="s">
        <v>3159</v>
      </c>
      <c r="D235" s="2972" t="s">
        <v>3183</v>
      </c>
      <c r="E235" s="2982">
        <v>205</v>
      </c>
      <c r="F235" s="2983">
        <v>56.78</v>
      </c>
      <c r="G235" s="2979">
        <v>12.25</v>
      </c>
      <c r="H235" s="2979">
        <v>69.03</v>
      </c>
      <c r="I235" s="2974" t="s">
        <v>3055</v>
      </c>
      <c r="J235" s="2981" t="s">
        <v>3155</v>
      </c>
      <c r="L235" s="2976"/>
      <c r="M235" s="2976"/>
      <c r="N235" s="2976"/>
      <c r="O235" s="2976"/>
      <c r="P235" s="2976"/>
      <c r="Q235" s="2976"/>
      <c r="R235" s="2976"/>
      <c r="S235" s="2976"/>
      <c r="T235" s="2976"/>
      <c r="U235" s="2976"/>
      <c r="V235" s="2976"/>
      <c r="W235" s="2976"/>
      <c r="X235" s="2976"/>
      <c r="Y235" s="2976"/>
      <c r="Z235" s="2976"/>
      <c r="AA235" s="2976"/>
      <c r="AB235" s="2976"/>
      <c r="AC235" s="2976"/>
      <c r="AD235" s="2976"/>
      <c r="AE235" s="2976"/>
      <c r="AF235" s="2976"/>
    </row>
    <row r="236" spans="1:32">
      <c r="A236" s="2972">
        <v>235</v>
      </c>
      <c r="B236" s="2974" t="s">
        <v>3242</v>
      </c>
      <c r="C236" s="2982" t="s">
        <v>3159</v>
      </c>
      <c r="D236" s="2972" t="s">
        <v>3183</v>
      </c>
      <c r="E236" s="2982">
        <v>206</v>
      </c>
      <c r="F236" s="2983">
        <v>56.83</v>
      </c>
      <c r="G236" s="2979">
        <v>12.26</v>
      </c>
      <c r="H236" s="2979">
        <v>69.09</v>
      </c>
      <c r="I236" s="2974" t="s">
        <v>3055</v>
      </c>
      <c r="J236" s="2981" t="s">
        <v>3155</v>
      </c>
      <c r="L236" s="2976"/>
      <c r="M236" s="2976"/>
      <c r="N236" s="2976"/>
      <c r="O236" s="2976"/>
      <c r="P236" s="2976"/>
      <c r="Q236" s="2976"/>
      <c r="R236" s="2976"/>
      <c r="S236" s="2976"/>
      <c r="T236" s="2976"/>
      <c r="U236" s="2976"/>
      <c r="V236" s="2976"/>
      <c r="W236" s="2976"/>
      <c r="X236" s="2976"/>
      <c r="Y236" s="2976"/>
      <c r="Z236" s="2976"/>
      <c r="AA236" s="2976"/>
      <c r="AB236" s="2976"/>
      <c r="AC236" s="2976"/>
      <c r="AD236" s="2976"/>
      <c r="AE236" s="2976"/>
      <c r="AF236" s="2976"/>
    </row>
    <row r="237" spans="1:32">
      <c r="A237" s="2972">
        <v>236</v>
      </c>
      <c r="B237" s="2974" t="s">
        <v>3242</v>
      </c>
      <c r="C237" s="2982" t="s">
        <v>3159</v>
      </c>
      <c r="D237" s="2972" t="s">
        <v>3183</v>
      </c>
      <c r="E237" s="2982">
        <v>207</v>
      </c>
      <c r="F237" s="2983">
        <v>54.01</v>
      </c>
      <c r="G237" s="2979">
        <v>11.65</v>
      </c>
      <c r="H237" s="2979">
        <v>65.66</v>
      </c>
      <c r="I237" s="2974" t="s">
        <v>3055</v>
      </c>
      <c r="J237" s="2981" t="s">
        <v>3154</v>
      </c>
      <c r="L237" s="2976"/>
      <c r="M237" s="2976"/>
      <c r="N237" s="2976"/>
      <c r="O237" s="2976"/>
      <c r="P237" s="2976"/>
      <c r="Q237" s="2976"/>
      <c r="R237" s="2976"/>
      <c r="S237" s="2976"/>
      <c r="T237" s="2976"/>
      <c r="U237" s="2976"/>
      <c r="V237" s="2976"/>
      <c r="W237" s="2976"/>
      <c r="X237" s="2976"/>
      <c r="Y237" s="2976"/>
      <c r="Z237" s="2976"/>
      <c r="AA237" s="2976"/>
      <c r="AB237" s="2976"/>
      <c r="AC237" s="2976"/>
      <c r="AD237" s="2976"/>
      <c r="AE237" s="2976"/>
      <c r="AF237" s="2976"/>
    </row>
    <row r="238" spans="1:32">
      <c r="A238" s="2972">
        <v>237</v>
      </c>
      <c r="B238" s="2974" t="s">
        <v>3242</v>
      </c>
      <c r="C238" s="2982" t="s">
        <v>3153</v>
      </c>
      <c r="D238" s="2972" t="s">
        <v>3183</v>
      </c>
      <c r="E238" s="2982">
        <v>301</v>
      </c>
      <c r="F238" s="2983">
        <v>77.27</v>
      </c>
      <c r="G238" s="2979">
        <v>16.670000000000002</v>
      </c>
      <c r="H238" s="2979">
        <v>93.94</v>
      </c>
      <c r="I238" s="2974" t="s">
        <v>3055</v>
      </c>
      <c r="J238" s="2981" t="s">
        <v>3155</v>
      </c>
      <c r="L238" s="2976"/>
      <c r="M238" s="2976"/>
      <c r="N238" s="2976"/>
      <c r="O238" s="2976"/>
      <c r="P238" s="2976"/>
      <c r="Q238" s="2976"/>
      <c r="R238" s="2976"/>
      <c r="S238" s="2976"/>
      <c r="T238" s="2976"/>
      <c r="U238" s="2976"/>
      <c r="V238" s="2976"/>
      <c r="W238" s="2976"/>
      <c r="X238" s="2976"/>
      <c r="Y238" s="2976"/>
      <c r="Z238" s="2976"/>
      <c r="AA238" s="2976"/>
      <c r="AB238" s="2976"/>
      <c r="AC238" s="2976"/>
      <c r="AD238" s="2976"/>
      <c r="AE238" s="2976"/>
      <c r="AF238" s="2976"/>
    </row>
    <row r="239" spans="1:32">
      <c r="A239" s="2972">
        <v>238</v>
      </c>
      <c r="B239" s="2974" t="s">
        <v>3242</v>
      </c>
      <c r="C239" s="2982" t="s">
        <v>3153</v>
      </c>
      <c r="D239" s="2972" t="s">
        <v>3183</v>
      </c>
      <c r="E239" s="2982">
        <v>302</v>
      </c>
      <c r="F239" s="2983">
        <v>56.83</v>
      </c>
      <c r="G239" s="2979">
        <v>12.26</v>
      </c>
      <c r="H239" s="2979">
        <v>69.09</v>
      </c>
      <c r="I239" s="2974" t="s">
        <v>3055</v>
      </c>
      <c r="J239" s="2981" t="s">
        <v>3155</v>
      </c>
      <c r="L239" s="2976"/>
      <c r="M239" s="2976"/>
      <c r="N239" s="2976"/>
      <c r="O239" s="2976"/>
      <c r="P239" s="2976"/>
      <c r="Q239" s="2976"/>
      <c r="R239" s="2976"/>
      <c r="S239" s="2976"/>
      <c r="T239" s="2976"/>
      <c r="U239" s="2976"/>
      <c r="V239" s="2976"/>
      <c r="W239" s="2976"/>
      <c r="X239" s="2976"/>
      <c r="Y239" s="2976"/>
      <c r="Z239" s="2976"/>
      <c r="AA239" s="2976"/>
      <c r="AB239" s="2976"/>
      <c r="AC239" s="2976"/>
      <c r="AD239" s="2976"/>
      <c r="AE239" s="2976"/>
      <c r="AF239" s="2976"/>
    </row>
    <row r="240" spans="1:32">
      <c r="A240" s="2972">
        <v>239</v>
      </c>
      <c r="B240" s="2974" t="s">
        <v>3242</v>
      </c>
      <c r="C240" s="2982" t="s">
        <v>3153</v>
      </c>
      <c r="D240" s="2972" t="s">
        <v>3183</v>
      </c>
      <c r="E240" s="2982">
        <v>303</v>
      </c>
      <c r="F240" s="2983">
        <v>56.78</v>
      </c>
      <c r="G240" s="2979">
        <v>12.25</v>
      </c>
      <c r="H240" s="2979">
        <v>69.03</v>
      </c>
      <c r="I240" s="2974" t="s">
        <v>3055</v>
      </c>
      <c r="J240" s="2981" t="s">
        <v>3155</v>
      </c>
      <c r="L240" s="2976"/>
      <c r="M240" s="2976"/>
      <c r="N240" s="2976"/>
      <c r="O240" s="2976"/>
      <c r="P240" s="2976"/>
      <c r="Q240" s="2976"/>
      <c r="R240" s="2976"/>
      <c r="S240" s="2976"/>
      <c r="T240" s="2976"/>
      <c r="U240" s="2976"/>
      <c r="V240" s="2976"/>
      <c r="W240" s="2976"/>
      <c r="X240" s="2976"/>
      <c r="Y240" s="2976"/>
      <c r="Z240" s="2976"/>
      <c r="AA240" s="2976"/>
      <c r="AB240" s="2976"/>
      <c r="AC240" s="2976"/>
      <c r="AD240" s="2976"/>
      <c r="AE240" s="2976"/>
      <c r="AF240" s="2976"/>
    </row>
    <row r="241" spans="1:32">
      <c r="A241" s="2972">
        <v>240</v>
      </c>
      <c r="B241" s="2974" t="s">
        <v>3242</v>
      </c>
      <c r="C241" s="2982" t="s">
        <v>3153</v>
      </c>
      <c r="D241" s="2972" t="s">
        <v>3183</v>
      </c>
      <c r="E241" s="2982">
        <v>305</v>
      </c>
      <c r="F241" s="2983">
        <v>56.78</v>
      </c>
      <c r="G241" s="2979">
        <v>12.25</v>
      </c>
      <c r="H241" s="2979">
        <v>69.03</v>
      </c>
      <c r="I241" s="2974" t="s">
        <v>3055</v>
      </c>
      <c r="J241" s="2981" t="s">
        <v>3155</v>
      </c>
      <c r="L241" s="2976"/>
      <c r="M241" s="2976"/>
      <c r="N241" s="2976"/>
      <c r="O241" s="2976"/>
      <c r="P241" s="2976"/>
      <c r="Q241" s="2976"/>
      <c r="R241" s="2976"/>
      <c r="S241" s="2976"/>
      <c r="T241" s="2976"/>
      <c r="U241" s="2976"/>
      <c r="V241" s="2976"/>
      <c r="W241" s="2976"/>
      <c r="X241" s="2976"/>
      <c r="Y241" s="2976"/>
      <c r="Z241" s="2976"/>
      <c r="AA241" s="2976"/>
      <c r="AB241" s="2976"/>
      <c r="AC241" s="2976"/>
      <c r="AD241" s="2976"/>
      <c r="AE241" s="2976"/>
      <c r="AF241" s="2976"/>
    </row>
    <row r="242" spans="1:32">
      <c r="A242" s="2972">
        <v>241</v>
      </c>
      <c r="B242" s="2974" t="s">
        <v>3242</v>
      </c>
      <c r="C242" s="2982" t="s">
        <v>3153</v>
      </c>
      <c r="D242" s="2972" t="s">
        <v>3183</v>
      </c>
      <c r="E242" s="2982">
        <v>306</v>
      </c>
      <c r="F242" s="2983">
        <v>56.83</v>
      </c>
      <c r="G242" s="2979">
        <v>12.26</v>
      </c>
      <c r="H242" s="2979">
        <v>69.09</v>
      </c>
      <c r="I242" s="2974" t="s">
        <v>3055</v>
      </c>
      <c r="J242" s="2981" t="s">
        <v>3155</v>
      </c>
      <c r="L242" s="2976"/>
      <c r="M242" s="2976"/>
      <c r="N242" s="2976"/>
      <c r="O242" s="2976"/>
      <c r="P242" s="2976"/>
      <c r="Q242" s="2976"/>
      <c r="R242" s="2976"/>
      <c r="S242" s="2976"/>
      <c r="T242" s="2976"/>
      <c r="U242" s="2976"/>
      <c r="V242" s="2976"/>
      <c r="W242" s="2976"/>
      <c r="X242" s="2976"/>
      <c r="Y242" s="2976"/>
      <c r="Z242" s="2976"/>
      <c r="AA242" s="2976"/>
      <c r="AB242" s="2976"/>
      <c r="AC242" s="2976"/>
      <c r="AD242" s="2976"/>
      <c r="AE242" s="2976"/>
      <c r="AF242" s="2976"/>
    </row>
    <row r="243" spans="1:32">
      <c r="A243" s="2972">
        <v>242</v>
      </c>
      <c r="B243" s="2974" t="s">
        <v>3242</v>
      </c>
      <c r="C243" s="2982" t="s">
        <v>3153</v>
      </c>
      <c r="D243" s="2972" t="s">
        <v>3183</v>
      </c>
      <c r="E243" s="2982">
        <v>307</v>
      </c>
      <c r="F243" s="2983">
        <v>54.01</v>
      </c>
      <c r="G243" s="2979">
        <v>11.65</v>
      </c>
      <c r="H243" s="2979">
        <v>65.66</v>
      </c>
      <c r="I243" s="2974" t="s">
        <v>3055</v>
      </c>
      <c r="J243" s="2981" t="s">
        <v>3154</v>
      </c>
      <c r="L243" s="2976"/>
      <c r="M243" s="2976"/>
      <c r="N243" s="2976"/>
      <c r="O243" s="2976"/>
      <c r="P243" s="2976"/>
      <c r="Q243" s="2976"/>
      <c r="R243" s="2976"/>
      <c r="S243" s="2976"/>
      <c r="T243" s="2976"/>
      <c r="U243" s="2976"/>
      <c r="V243" s="2976"/>
      <c r="W243" s="2976"/>
      <c r="X243" s="2976"/>
      <c r="Y243" s="2976"/>
      <c r="Z243" s="2976"/>
      <c r="AA243" s="2976"/>
      <c r="AB243" s="2976"/>
      <c r="AC243" s="2976"/>
      <c r="AD243" s="2976"/>
      <c r="AE243" s="2976"/>
      <c r="AF243" s="2976"/>
    </row>
    <row r="244" spans="1:32">
      <c r="A244" s="2972">
        <v>243</v>
      </c>
      <c r="B244" s="2974" t="s">
        <v>3242</v>
      </c>
      <c r="C244" s="2982" t="s">
        <v>3156</v>
      </c>
      <c r="D244" s="2972" t="s">
        <v>3183</v>
      </c>
      <c r="E244" s="2982" t="s">
        <v>3145</v>
      </c>
      <c r="F244" s="2983">
        <v>77.27</v>
      </c>
      <c r="G244" s="2979">
        <v>16.670000000000002</v>
      </c>
      <c r="H244" s="2979">
        <v>93.94</v>
      </c>
      <c r="I244" s="2974" t="s">
        <v>3055</v>
      </c>
      <c r="J244" s="2981" t="s">
        <v>3155</v>
      </c>
      <c r="L244" s="2976"/>
      <c r="M244" s="2976"/>
      <c r="N244" s="2976"/>
      <c r="O244" s="2976"/>
      <c r="P244" s="2976"/>
      <c r="Q244" s="2976"/>
      <c r="R244" s="2976"/>
      <c r="S244" s="2976"/>
      <c r="T244" s="2976"/>
      <c r="U244" s="2976"/>
      <c r="V244" s="2976"/>
      <c r="W244" s="2976"/>
      <c r="X244" s="2976"/>
      <c r="Y244" s="2976"/>
      <c r="Z244" s="2976"/>
      <c r="AA244" s="2976"/>
      <c r="AB244" s="2976"/>
      <c r="AC244" s="2976"/>
      <c r="AD244" s="2976"/>
      <c r="AE244" s="2976"/>
      <c r="AF244" s="2976"/>
    </row>
    <row r="245" spans="1:32">
      <c r="A245" s="2972">
        <v>244</v>
      </c>
      <c r="B245" s="2974" t="s">
        <v>3242</v>
      </c>
      <c r="C245" s="2982" t="s">
        <v>3156</v>
      </c>
      <c r="D245" s="2972" t="s">
        <v>3183</v>
      </c>
      <c r="E245" s="2982" t="s">
        <v>3146</v>
      </c>
      <c r="F245" s="2983">
        <v>56.83</v>
      </c>
      <c r="G245" s="2979">
        <v>12.26</v>
      </c>
      <c r="H245" s="2979">
        <v>69.09</v>
      </c>
      <c r="I245" s="2974" t="s">
        <v>3055</v>
      </c>
      <c r="J245" s="2981" t="s">
        <v>3155</v>
      </c>
      <c r="L245" s="2976"/>
      <c r="M245" s="2976"/>
      <c r="N245" s="2976"/>
      <c r="O245" s="2976"/>
      <c r="P245" s="2976"/>
      <c r="Q245" s="2976"/>
      <c r="R245" s="2976"/>
      <c r="S245" s="2976"/>
      <c r="T245" s="2976"/>
      <c r="U245" s="2976"/>
      <c r="V245" s="2976"/>
      <c r="W245" s="2976"/>
      <c r="X245" s="2976"/>
      <c r="Y245" s="2976"/>
      <c r="Z245" s="2976"/>
      <c r="AA245" s="2976"/>
      <c r="AB245" s="2976"/>
      <c r="AC245" s="2976"/>
      <c r="AD245" s="2976"/>
      <c r="AE245" s="2976"/>
      <c r="AF245" s="2976"/>
    </row>
    <row r="246" spans="1:32">
      <c r="A246" s="2972">
        <v>245</v>
      </c>
      <c r="B246" s="2974" t="s">
        <v>3242</v>
      </c>
      <c r="C246" s="2982" t="s">
        <v>3156</v>
      </c>
      <c r="D246" s="2972" t="s">
        <v>3183</v>
      </c>
      <c r="E246" s="2982" t="s">
        <v>3147</v>
      </c>
      <c r="F246" s="2983">
        <v>56.78</v>
      </c>
      <c r="G246" s="2979">
        <v>12.25</v>
      </c>
      <c r="H246" s="2979">
        <v>69.03</v>
      </c>
      <c r="I246" s="2974" t="s">
        <v>3055</v>
      </c>
      <c r="J246" s="2981" t="s">
        <v>3155</v>
      </c>
      <c r="L246" s="2976"/>
      <c r="M246" s="2976"/>
      <c r="N246" s="2976"/>
      <c r="O246" s="2976"/>
      <c r="P246" s="2976"/>
      <c r="Q246" s="2976"/>
      <c r="R246" s="2976"/>
      <c r="S246" s="2976"/>
      <c r="T246" s="2976"/>
      <c r="U246" s="2976"/>
      <c r="V246" s="2976"/>
      <c r="W246" s="2976"/>
      <c r="X246" s="2976"/>
      <c r="Y246" s="2976"/>
      <c r="Z246" s="2976"/>
      <c r="AA246" s="2976"/>
      <c r="AB246" s="2976"/>
      <c r="AC246" s="2976"/>
      <c r="AD246" s="2976"/>
      <c r="AE246" s="2976"/>
      <c r="AF246" s="2976"/>
    </row>
    <row r="247" spans="1:32">
      <c r="A247" s="2972">
        <v>246</v>
      </c>
      <c r="B247" s="2974" t="s">
        <v>3242</v>
      </c>
      <c r="C247" s="2982" t="s">
        <v>3156</v>
      </c>
      <c r="D247" s="2972" t="s">
        <v>3183</v>
      </c>
      <c r="E247" s="2982" t="s">
        <v>3148</v>
      </c>
      <c r="F247" s="2983">
        <v>56.78</v>
      </c>
      <c r="G247" s="2979">
        <v>12.25</v>
      </c>
      <c r="H247" s="2979">
        <v>69.03</v>
      </c>
      <c r="I247" s="2974" t="s">
        <v>3055</v>
      </c>
      <c r="J247" s="2981" t="s">
        <v>3155</v>
      </c>
      <c r="L247" s="2976"/>
      <c r="M247" s="2976"/>
      <c r="N247" s="2976"/>
      <c r="O247" s="2976"/>
      <c r="P247" s="2976"/>
      <c r="Q247" s="2976"/>
      <c r="R247" s="2976"/>
      <c r="S247" s="2976"/>
      <c r="T247" s="2976"/>
      <c r="U247" s="2976"/>
      <c r="V247" s="2976"/>
      <c r="W247" s="2976"/>
      <c r="X247" s="2976"/>
      <c r="Y247" s="2976"/>
      <c r="Z247" s="2976"/>
      <c r="AA247" s="2976"/>
      <c r="AB247" s="2976"/>
      <c r="AC247" s="2976"/>
      <c r="AD247" s="2976"/>
      <c r="AE247" s="2976"/>
      <c r="AF247" s="2976"/>
    </row>
    <row r="248" spans="1:32">
      <c r="A248" s="2972">
        <v>247</v>
      </c>
      <c r="B248" s="2974" t="s">
        <v>3242</v>
      </c>
      <c r="C248" s="2982" t="s">
        <v>3156</v>
      </c>
      <c r="D248" s="2972" t="s">
        <v>3183</v>
      </c>
      <c r="E248" s="2982" t="s">
        <v>3149</v>
      </c>
      <c r="F248" s="2983">
        <v>56.83</v>
      </c>
      <c r="G248" s="2979">
        <v>12.26</v>
      </c>
      <c r="H248" s="2979">
        <v>69.09</v>
      </c>
      <c r="I248" s="2974" t="s">
        <v>3055</v>
      </c>
      <c r="J248" s="2981" t="s">
        <v>3155</v>
      </c>
      <c r="L248" s="2976"/>
      <c r="M248" s="2976"/>
      <c r="N248" s="2976"/>
      <c r="O248" s="2976"/>
      <c r="P248" s="2976"/>
      <c r="Q248" s="2976"/>
      <c r="R248" s="2976"/>
      <c r="S248" s="2976"/>
      <c r="T248" s="2976"/>
      <c r="U248" s="2976"/>
      <c r="V248" s="2976"/>
      <c r="W248" s="2976"/>
      <c r="X248" s="2976"/>
      <c r="Y248" s="2976"/>
      <c r="Z248" s="2976"/>
      <c r="AA248" s="2976"/>
      <c r="AB248" s="2976"/>
      <c r="AC248" s="2976"/>
      <c r="AD248" s="2976"/>
      <c r="AE248" s="2976"/>
      <c r="AF248" s="2976"/>
    </row>
    <row r="249" spans="1:32">
      <c r="A249" s="2972">
        <v>248</v>
      </c>
      <c r="B249" s="2974" t="s">
        <v>3242</v>
      </c>
      <c r="C249" s="2982" t="s">
        <v>3156</v>
      </c>
      <c r="D249" s="2972" t="s">
        <v>3183</v>
      </c>
      <c r="E249" s="2982" t="s">
        <v>3150</v>
      </c>
      <c r="F249" s="2983">
        <v>54.01</v>
      </c>
      <c r="G249" s="2979">
        <v>11.65</v>
      </c>
      <c r="H249" s="2979">
        <v>65.66</v>
      </c>
      <c r="I249" s="2974" t="s">
        <v>3055</v>
      </c>
      <c r="J249" s="2981" t="s">
        <v>3154</v>
      </c>
      <c r="L249" s="2976"/>
      <c r="M249" s="2976"/>
      <c r="N249" s="2976"/>
      <c r="O249" s="2976"/>
      <c r="P249" s="2976"/>
      <c r="Q249" s="2976"/>
      <c r="R249" s="2976"/>
      <c r="S249" s="2976"/>
      <c r="T249" s="2976"/>
      <c r="U249" s="2976"/>
      <c r="V249" s="2976"/>
      <c r="W249" s="2976"/>
      <c r="X249" s="2976"/>
      <c r="Y249" s="2976"/>
      <c r="Z249" s="2976"/>
      <c r="AA249" s="2976"/>
      <c r="AB249" s="2976"/>
      <c r="AC249" s="2976"/>
      <c r="AD249" s="2976"/>
      <c r="AE249" s="2976"/>
      <c r="AF249" s="2976"/>
    </row>
    <row r="250" spans="1:32">
      <c r="A250" s="2972">
        <v>249</v>
      </c>
      <c r="B250" s="2974" t="s">
        <v>3242</v>
      </c>
      <c r="C250" s="2982" t="s">
        <v>3157</v>
      </c>
      <c r="D250" s="2972" t="s">
        <v>3183</v>
      </c>
      <c r="E250" s="2982">
        <v>501</v>
      </c>
      <c r="F250" s="2983">
        <v>77.27</v>
      </c>
      <c r="G250" s="2979">
        <v>16.670000000000002</v>
      </c>
      <c r="H250" s="2979">
        <v>93.94</v>
      </c>
      <c r="I250" s="2974" t="s">
        <v>3055</v>
      </c>
      <c r="J250" s="2981" t="s">
        <v>3155</v>
      </c>
      <c r="L250" s="2976"/>
      <c r="M250" s="2976"/>
      <c r="N250" s="2976"/>
      <c r="O250" s="2976"/>
      <c r="P250" s="2976"/>
      <c r="Q250" s="2976"/>
      <c r="R250" s="2976"/>
      <c r="S250" s="2976"/>
      <c r="T250" s="2976"/>
      <c r="U250" s="2976"/>
      <c r="V250" s="2976"/>
      <c r="W250" s="2976"/>
      <c r="X250" s="2976"/>
      <c r="Y250" s="2976"/>
      <c r="Z250" s="2976"/>
      <c r="AA250" s="2976"/>
      <c r="AB250" s="2976"/>
      <c r="AC250" s="2976"/>
      <c r="AD250" s="2976"/>
      <c r="AE250" s="2976"/>
      <c r="AF250" s="2976"/>
    </row>
    <row r="251" spans="1:32">
      <c r="A251" s="2972">
        <v>250</v>
      </c>
      <c r="B251" s="2974" t="s">
        <v>3242</v>
      </c>
      <c r="C251" s="2982" t="s">
        <v>3157</v>
      </c>
      <c r="D251" s="2972" t="s">
        <v>3183</v>
      </c>
      <c r="E251" s="2982">
        <v>502</v>
      </c>
      <c r="F251" s="2983">
        <v>56.83</v>
      </c>
      <c r="G251" s="2979">
        <v>12.26</v>
      </c>
      <c r="H251" s="2979">
        <v>69.09</v>
      </c>
      <c r="I251" s="2974" t="s">
        <v>3055</v>
      </c>
      <c r="J251" s="2981" t="s">
        <v>3155</v>
      </c>
      <c r="L251" s="2976"/>
      <c r="M251" s="2976"/>
      <c r="N251" s="2976"/>
      <c r="O251" s="2976"/>
      <c r="P251" s="2976"/>
      <c r="Q251" s="2976"/>
      <c r="R251" s="2976"/>
      <c r="S251" s="2976"/>
      <c r="T251" s="2976"/>
      <c r="U251" s="2976"/>
      <c r="V251" s="2976"/>
      <c r="W251" s="2976"/>
      <c r="X251" s="2976"/>
      <c r="Y251" s="2976"/>
      <c r="Z251" s="2976"/>
      <c r="AA251" s="2976"/>
      <c r="AB251" s="2976"/>
      <c r="AC251" s="2976"/>
      <c r="AD251" s="2976"/>
      <c r="AE251" s="2976"/>
      <c r="AF251" s="2976"/>
    </row>
    <row r="252" spans="1:32">
      <c r="A252" s="2972">
        <v>251</v>
      </c>
      <c r="B252" s="2974" t="s">
        <v>3242</v>
      </c>
      <c r="C252" s="2982" t="s">
        <v>3157</v>
      </c>
      <c r="D252" s="2972" t="s">
        <v>3183</v>
      </c>
      <c r="E252" s="2982">
        <v>503</v>
      </c>
      <c r="F252" s="2983">
        <v>56.78</v>
      </c>
      <c r="G252" s="2979">
        <v>12.25</v>
      </c>
      <c r="H252" s="2979">
        <v>69.03</v>
      </c>
      <c r="I252" s="2974" t="s">
        <v>3055</v>
      </c>
      <c r="J252" s="2981" t="s">
        <v>3155</v>
      </c>
      <c r="L252" s="2976"/>
      <c r="M252" s="2976"/>
      <c r="N252" s="2976"/>
      <c r="O252" s="2976"/>
      <c r="P252" s="2976"/>
      <c r="Q252" s="2976"/>
      <c r="R252" s="2976"/>
      <c r="S252" s="2976"/>
      <c r="T252" s="2976"/>
      <c r="U252" s="2976"/>
      <c r="V252" s="2976"/>
      <c r="W252" s="2976"/>
      <c r="X252" s="2976"/>
      <c r="Y252" s="2976"/>
      <c r="Z252" s="2976"/>
      <c r="AA252" s="2976"/>
      <c r="AB252" s="2976"/>
      <c r="AC252" s="2976"/>
      <c r="AD252" s="2976"/>
      <c r="AE252" s="2976"/>
      <c r="AF252" s="2976"/>
    </row>
    <row r="253" spans="1:32">
      <c r="A253" s="2972">
        <v>252</v>
      </c>
      <c r="B253" s="2974" t="s">
        <v>3242</v>
      </c>
      <c r="C253" s="2982" t="s">
        <v>3157</v>
      </c>
      <c r="D253" s="2972" t="s">
        <v>3183</v>
      </c>
      <c r="E253" s="2982">
        <v>505</v>
      </c>
      <c r="F253" s="2983">
        <v>56.78</v>
      </c>
      <c r="G253" s="2979">
        <v>12.25</v>
      </c>
      <c r="H253" s="2979">
        <v>69.03</v>
      </c>
      <c r="I253" s="2974" t="s">
        <v>3055</v>
      </c>
      <c r="J253" s="2981" t="s">
        <v>3155</v>
      </c>
      <c r="L253" s="2976"/>
      <c r="M253" s="2976"/>
      <c r="N253" s="2976"/>
      <c r="O253" s="2976"/>
      <c r="P253" s="2976"/>
      <c r="Q253" s="2976"/>
      <c r="R253" s="2976"/>
      <c r="S253" s="2976"/>
      <c r="T253" s="2976"/>
      <c r="U253" s="2976"/>
      <c r="V253" s="2976"/>
      <c r="W253" s="2976"/>
      <c r="X253" s="2976"/>
      <c r="Y253" s="2976"/>
      <c r="Z253" s="2976"/>
      <c r="AA253" s="2976"/>
      <c r="AB253" s="2976"/>
      <c r="AC253" s="2976"/>
      <c r="AD253" s="2976"/>
      <c r="AE253" s="2976"/>
      <c r="AF253" s="2976"/>
    </row>
    <row r="254" spans="1:32">
      <c r="A254" s="2972">
        <v>253</v>
      </c>
      <c r="B254" s="2974" t="s">
        <v>3242</v>
      </c>
      <c r="C254" s="2982" t="s">
        <v>3157</v>
      </c>
      <c r="D254" s="2972" t="s">
        <v>3183</v>
      </c>
      <c r="E254" s="2982">
        <v>506</v>
      </c>
      <c r="F254" s="2983">
        <v>56.83</v>
      </c>
      <c r="G254" s="2979">
        <v>12.26</v>
      </c>
      <c r="H254" s="2979">
        <v>69.09</v>
      </c>
      <c r="I254" s="2974" t="s">
        <v>3055</v>
      </c>
      <c r="J254" s="2981" t="s">
        <v>3155</v>
      </c>
      <c r="L254" s="2976"/>
      <c r="M254" s="2976"/>
      <c r="N254" s="2976"/>
      <c r="O254" s="2976"/>
      <c r="P254" s="2976"/>
      <c r="Q254" s="2976"/>
      <c r="R254" s="2976"/>
      <c r="S254" s="2976"/>
      <c r="T254" s="2976"/>
      <c r="U254" s="2976"/>
      <c r="V254" s="2976"/>
      <c r="W254" s="2976"/>
      <c r="X254" s="2976"/>
      <c r="Y254" s="2976"/>
      <c r="Z254" s="2976"/>
      <c r="AA254" s="2976"/>
      <c r="AB254" s="2976"/>
      <c r="AC254" s="2976"/>
      <c r="AD254" s="2976"/>
      <c r="AE254" s="2976"/>
      <c r="AF254" s="2976"/>
    </row>
    <row r="255" spans="1:32">
      <c r="A255" s="2972">
        <v>254</v>
      </c>
      <c r="B255" s="2974" t="s">
        <v>3242</v>
      </c>
      <c r="C255" s="2982" t="s">
        <v>3157</v>
      </c>
      <c r="D255" s="2972" t="s">
        <v>3183</v>
      </c>
      <c r="E255" s="2982">
        <v>507</v>
      </c>
      <c r="F255" s="2983">
        <v>54.01</v>
      </c>
      <c r="G255" s="2979">
        <v>11.65</v>
      </c>
      <c r="H255" s="2979">
        <v>65.66</v>
      </c>
      <c r="I255" s="2974" t="s">
        <v>3055</v>
      </c>
      <c r="J255" s="2981" t="s">
        <v>3154</v>
      </c>
      <c r="L255" s="2976"/>
      <c r="M255" s="2976"/>
      <c r="N255" s="2976"/>
      <c r="O255" s="2976"/>
      <c r="P255" s="2976"/>
      <c r="Q255" s="2976"/>
      <c r="R255" s="2976"/>
      <c r="S255" s="2976"/>
      <c r="T255" s="2976"/>
      <c r="U255" s="2976"/>
      <c r="V255" s="2976"/>
      <c r="W255" s="2976"/>
      <c r="X255" s="2976"/>
      <c r="Y255" s="2976"/>
      <c r="Z255" s="2976"/>
      <c r="AA255" s="2976"/>
      <c r="AB255" s="2976"/>
      <c r="AC255" s="2976"/>
      <c r="AD255" s="2976"/>
      <c r="AE255" s="2976"/>
      <c r="AF255" s="2976"/>
    </row>
    <row r="256" spans="1:32">
      <c r="A256" s="2972">
        <v>255</v>
      </c>
      <c r="B256" s="2974" t="s">
        <v>3242</v>
      </c>
      <c r="C256" s="2982" t="s">
        <v>3158</v>
      </c>
      <c r="D256" s="2972" t="s">
        <v>3183</v>
      </c>
      <c r="E256" s="2982">
        <v>601</v>
      </c>
      <c r="F256" s="2983">
        <v>77.27</v>
      </c>
      <c r="G256" s="2979">
        <v>16.670000000000002</v>
      </c>
      <c r="H256" s="2979">
        <v>93.94</v>
      </c>
      <c r="I256" s="2974" t="s">
        <v>3055</v>
      </c>
      <c r="J256" s="2981" t="s">
        <v>3155</v>
      </c>
      <c r="L256" s="2976"/>
      <c r="M256" s="2976"/>
      <c r="N256" s="2976"/>
      <c r="O256" s="2976"/>
      <c r="P256" s="2976"/>
      <c r="Q256" s="2976"/>
      <c r="R256" s="2976"/>
      <c r="S256" s="2976"/>
      <c r="T256" s="2976"/>
      <c r="U256" s="2976"/>
      <c r="V256" s="2976"/>
      <c r="W256" s="2976"/>
      <c r="X256" s="2976"/>
      <c r="Y256" s="2976"/>
      <c r="Z256" s="2976"/>
      <c r="AA256" s="2976"/>
      <c r="AB256" s="2976"/>
      <c r="AC256" s="2976"/>
      <c r="AD256" s="2976"/>
      <c r="AE256" s="2976"/>
      <c r="AF256" s="2976"/>
    </row>
    <row r="257" spans="1:32">
      <c r="A257" s="2972">
        <v>256</v>
      </c>
      <c r="B257" s="2974" t="s">
        <v>3242</v>
      </c>
      <c r="C257" s="2982" t="s">
        <v>3158</v>
      </c>
      <c r="D257" s="2972" t="s">
        <v>3183</v>
      </c>
      <c r="E257" s="2982">
        <v>602</v>
      </c>
      <c r="F257" s="2983">
        <v>56.83</v>
      </c>
      <c r="G257" s="2979">
        <v>12.26</v>
      </c>
      <c r="H257" s="2979">
        <v>69.09</v>
      </c>
      <c r="I257" s="2974" t="s">
        <v>3055</v>
      </c>
      <c r="J257" s="2981" t="s">
        <v>3155</v>
      </c>
      <c r="L257" s="2976"/>
      <c r="M257" s="2976"/>
      <c r="N257" s="2976"/>
      <c r="O257" s="2976"/>
      <c r="P257" s="2976"/>
      <c r="Q257" s="2976"/>
      <c r="R257" s="2976"/>
      <c r="S257" s="2976"/>
      <c r="T257" s="2976"/>
      <c r="U257" s="2976"/>
      <c r="V257" s="2976"/>
      <c r="W257" s="2976"/>
      <c r="X257" s="2976"/>
      <c r="Y257" s="2976"/>
      <c r="Z257" s="2976"/>
      <c r="AA257" s="2976"/>
      <c r="AB257" s="2976"/>
      <c r="AC257" s="2976"/>
      <c r="AD257" s="2976"/>
      <c r="AE257" s="2976"/>
      <c r="AF257" s="2976"/>
    </row>
    <row r="258" spans="1:32">
      <c r="A258" s="2972">
        <v>257</v>
      </c>
      <c r="B258" s="2974" t="s">
        <v>3242</v>
      </c>
      <c r="C258" s="2982" t="s">
        <v>3158</v>
      </c>
      <c r="D258" s="2972" t="s">
        <v>3183</v>
      </c>
      <c r="E258" s="2982">
        <v>603</v>
      </c>
      <c r="F258" s="2983">
        <v>56.78</v>
      </c>
      <c r="G258" s="2979">
        <v>12.25</v>
      </c>
      <c r="H258" s="2979">
        <v>69.03</v>
      </c>
      <c r="I258" s="2974" t="s">
        <v>3055</v>
      </c>
      <c r="J258" s="2981" t="s">
        <v>3155</v>
      </c>
      <c r="L258" s="2976"/>
      <c r="M258" s="2976"/>
      <c r="N258" s="2976"/>
      <c r="O258" s="2976"/>
      <c r="P258" s="2976"/>
      <c r="Q258" s="2976"/>
      <c r="R258" s="2976"/>
      <c r="S258" s="2976"/>
      <c r="T258" s="2976"/>
      <c r="U258" s="2976"/>
      <c r="V258" s="2976"/>
      <c r="W258" s="2976"/>
      <c r="X258" s="2976"/>
      <c r="Y258" s="2976"/>
      <c r="Z258" s="2976"/>
      <c r="AA258" s="2976"/>
      <c r="AB258" s="2976"/>
      <c r="AC258" s="2976"/>
      <c r="AD258" s="2976"/>
      <c r="AE258" s="2976"/>
      <c r="AF258" s="2976"/>
    </row>
    <row r="259" spans="1:32">
      <c r="A259" s="2972">
        <v>258</v>
      </c>
      <c r="B259" s="2974" t="s">
        <v>3242</v>
      </c>
      <c r="C259" s="2982" t="s">
        <v>3158</v>
      </c>
      <c r="D259" s="2972" t="s">
        <v>3183</v>
      </c>
      <c r="E259" s="2982">
        <v>605</v>
      </c>
      <c r="F259" s="2983">
        <v>56.78</v>
      </c>
      <c r="G259" s="2979">
        <v>12.25</v>
      </c>
      <c r="H259" s="2979">
        <v>69.03</v>
      </c>
      <c r="I259" s="2974" t="s">
        <v>3055</v>
      </c>
      <c r="J259" s="2981" t="s">
        <v>3155</v>
      </c>
      <c r="L259" s="2976"/>
      <c r="M259" s="2976"/>
      <c r="N259" s="2976"/>
      <c r="O259" s="2976"/>
      <c r="P259" s="2976"/>
      <c r="Q259" s="2976"/>
      <c r="R259" s="2976"/>
      <c r="S259" s="2976"/>
      <c r="T259" s="2976"/>
      <c r="U259" s="2976"/>
      <c r="V259" s="2976"/>
      <c r="W259" s="2976"/>
      <c r="X259" s="2976"/>
      <c r="Y259" s="2976"/>
      <c r="Z259" s="2976"/>
      <c r="AA259" s="2976"/>
      <c r="AB259" s="2976"/>
      <c r="AC259" s="2976"/>
      <c r="AD259" s="2976"/>
      <c r="AE259" s="2976"/>
      <c r="AF259" s="2976"/>
    </row>
    <row r="260" spans="1:32">
      <c r="A260" s="2972">
        <v>259</v>
      </c>
      <c r="B260" s="2974" t="s">
        <v>3242</v>
      </c>
      <c r="C260" s="2982" t="s">
        <v>3158</v>
      </c>
      <c r="D260" s="2972" t="s">
        <v>3183</v>
      </c>
      <c r="E260" s="2982">
        <v>606</v>
      </c>
      <c r="F260" s="2983">
        <v>56.83</v>
      </c>
      <c r="G260" s="2979">
        <v>12.26</v>
      </c>
      <c r="H260" s="2979">
        <v>69.09</v>
      </c>
      <c r="I260" s="2974" t="s">
        <v>3055</v>
      </c>
      <c r="J260" s="2981" t="s">
        <v>3155</v>
      </c>
      <c r="L260" s="2976"/>
      <c r="M260" s="2976"/>
      <c r="N260" s="2976"/>
      <c r="O260" s="2976"/>
      <c r="P260" s="2976"/>
      <c r="Q260" s="2976"/>
      <c r="R260" s="2976"/>
      <c r="S260" s="2976"/>
      <c r="T260" s="2976"/>
      <c r="U260" s="2976"/>
      <c r="V260" s="2976"/>
      <c r="W260" s="2976"/>
      <c r="X260" s="2976"/>
      <c r="Y260" s="2976"/>
      <c r="Z260" s="2976"/>
      <c r="AA260" s="2976"/>
      <c r="AB260" s="2976"/>
      <c r="AC260" s="2976"/>
      <c r="AD260" s="2976"/>
      <c r="AE260" s="2976"/>
      <c r="AF260" s="2976"/>
    </row>
    <row r="261" spans="1:32">
      <c r="A261" s="2972">
        <v>260</v>
      </c>
      <c r="B261" s="2974" t="s">
        <v>3242</v>
      </c>
      <c r="C261" s="2982" t="s">
        <v>3158</v>
      </c>
      <c r="D261" s="2972" t="s">
        <v>3183</v>
      </c>
      <c r="E261" s="2982">
        <v>607</v>
      </c>
      <c r="F261" s="2983">
        <v>54.01</v>
      </c>
      <c r="G261" s="2979">
        <v>11.65</v>
      </c>
      <c r="H261" s="2979">
        <v>65.66</v>
      </c>
      <c r="I261" s="2974" t="s">
        <v>3055</v>
      </c>
      <c r="J261" s="2981" t="s">
        <v>3154</v>
      </c>
      <c r="L261" s="2976"/>
      <c r="M261" s="2976"/>
      <c r="N261" s="2976"/>
      <c r="O261" s="2976"/>
      <c r="P261" s="2976"/>
      <c r="Q261" s="2976"/>
      <c r="R261" s="2976"/>
      <c r="S261" s="2976"/>
      <c r="T261" s="2976"/>
      <c r="U261" s="2976"/>
      <c r="V261" s="2976"/>
      <c r="W261" s="2976"/>
      <c r="X261" s="2976"/>
      <c r="Y261" s="2976"/>
      <c r="Z261" s="2976"/>
      <c r="AA261" s="2976"/>
      <c r="AB261" s="2976"/>
      <c r="AC261" s="2976"/>
      <c r="AD261" s="2976"/>
      <c r="AE261" s="2976"/>
      <c r="AF261" s="2976"/>
    </row>
    <row r="262" spans="1:32">
      <c r="A262" s="2972">
        <v>261</v>
      </c>
      <c r="B262" s="2974" t="s">
        <v>3228</v>
      </c>
      <c r="C262" s="2973" t="s">
        <v>3207</v>
      </c>
      <c r="D262" s="2981" t="s">
        <v>3213</v>
      </c>
      <c r="E262" s="2974">
        <v>102</v>
      </c>
      <c r="F262" s="2974">
        <v>56.67</v>
      </c>
      <c r="G262" s="2979">
        <v>13.1</v>
      </c>
      <c r="H262" s="2979">
        <v>69.77</v>
      </c>
      <c r="I262" s="2979" t="s">
        <v>3055</v>
      </c>
      <c r="J262" s="2974" t="s">
        <v>3144</v>
      </c>
      <c r="L262" s="2976"/>
      <c r="M262" s="2976"/>
      <c r="N262" s="2976"/>
      <c r="O262" s="2976"/>
      <c r="P262" s="2976"/>
      <c r="Q262" s="2976"/>
      <c r="R262" s="2976"/>
      <c r="S262" s="2976"/>
      <c r="T262" s="2976"/>
      <c r="U262" s="2976"/>
      <c r="V262" s="2976"/>
      <c r="W262" s="2976"/>
      <c r="X262" s="2976"/>
      <c r="Y262" s="2976"/>
      <c r="Z262" s="2976"/>
      <c r="AA262" s="2976"/>
      <c r="AB262" s="2976"/>
      <c r="AC262" s="2976"/>
      <c r="AD262" s="2976"/>
      <c r="AE262" s="2976"/>
      <c r="AF262" s="2976"/>
    </row>
    <row r="263" spans="1:32">
      <c r="A263" s="2972">
        <v>262</v>
      </c>
      <c r="B263" s="2974" t="s">
        <v>3228</v>
      </c>
      <c r="C263" s="2973" t="s">
        <v>3207</v>
      </c>
      <c r="D263" s="2981" t="s">
        <v>3213</v>
      </c>
      <c r="E263" s="2974">
        <v>105</v>
      </c>
      <c r="F263" s="2980">
        <v>56.81</v>
      </c>
      <c r="G263" s="2979">
        <v>13.13</v>
      </c>
      <c r="H263" s="2979">
        <v>69.94</v>
      </c>
      <c r="I263" s="2979" t="s">
        <v>3055</v>
      </c>
      <c r="J263" s="2974" t="s">
        <v>3144</v>
      </c>
      <c r="L263" s="2976"/>
      <c r="M263" s="2976"/>
      <c r="N263" s="2976"/>
      <c r="O263" s="2976"/>
      <c r="P263" s="2976"/>
      <c r="Q263" s="2976"/>
      <c r="R263" s="2976"/>
      <c r="S263" s="2976"/>
      <c r="T263" s="2976"/>
      <c r="U263" s="2976"/>
      <c r="V263" s="2976"/>
      <c r="W263" s="2976"/>
      <c r="X263" s="2976"/>
      <c r="Y263" s="2976"/>
      <c r="Z263" s="2976"/>
      <c r="AA263" s="2976"/>
      <c r="AB263" s="2976"/>
      <c r="AC263" s="2976"/>
      <c r="AD263" s="2976"/>
      <c r="AE263" s="2976"/>
      <c r="AF263" s="2976"/>
    </row>
    <row r="264" spans="1:32">
      <c r="A264" s="2972">
        <v>263</v>
      </c>
      <c r="B264" s="2974" t="s">
        <v>3228</v>
      </c>
      <c r="C264" s="2973" t="s">
        <v>3207</v>
      </c>
      <c r="D264" s="2981" t="s">
        <v>3213</v>
      </c>
      <c r="E264" s="2974">
        <v>106</v>
      </c>
      <c r="F264" s="2974">
        <v>56.67</v>
      </c>
      <c r="G264" s="2979">
        <v>13.1</v>
      </c>
      <c r="H264" s="2979">
        <v>69.77</v>
      </c>
      <c r="I264" s="2979" t="s">
        <v>3055</v>
      </c>
      <c r="J264" s="2974" t="s">
        <v>3144</v>
      </c>
      <c r="L264" s="2976"/>
      <c r="M264" s="2976"/>
      <c r="N264" s="2976"/>
      <c r="O264" s="2976"/>
      <c r="P264" s="2976"/>
      <c r="Q264" s="2976"/>
      <c r="R264" s="2976"/>
      <c r="S264" s="2976"/>
      <c r="T264" s="2976"/>
      <c r="U264" s="2976"/>
      <c r="V264" s="2976"/>
      <c r="W264" s="2976"/>
      <c r="X264" s="2976"/>
      <c r="Y264" s="2976"/>
      <c r="Z264" s="2976"/>
      <c r="AA264" s="2976"/>
      <c r="AB264" s="2976"/>
      <c r="AC264" s="2976"/>
      <c r="AD264" s="2976"/>
      <c r="AE264" s="2976"/>
      <c r="AF264" s="2976"/>
    </row>
    <row r="265" spans="1:32">
      <c r="A265" s="2972">
        <v>264</v>
      </c>
      <c r="B265" s="2974" t="s">
        <v>3228</v>
      </c>
      <c r="C265" s="2973" t="s">
        <v>3207</v>
      </c>
      <c r="D265" s="2981" t="s">
        <v>3213</v>
      </c>
      <c r="E265" s="2974">
        <v>107</v>
      </c>
      <c r="F265" s="2974">
        <v>53.84</v>
      </c>
      <c r="G265" s="2979">
        <v>12.44</v>
      </c>
      <c r="H265" s="2979">
        <v>66.28</v>
      </c>
      <c r="I265" s="2979" t="s">
        <v>3055</v>
      </c>
      <c r="J265" s="2974" t="s">
        <v>3143</v>
      </c>
      <c r="L265" s="2976"/>
      <c r="M265" s="2976"/>
      <c r="N265" s="2976"/>
      <c r="O265" s="2976"/>
      <c r="P265" s="2976"/>
      <c r="Q265" s="2976"/>
      <c r="R265" s="2976"/>
      <c r="S265" s="2976"/>
      <c r="T265" s="2976"/>
      <c r="U265" s="2976"/>
      <c r="V265" s="2976"/>
      <c r="W265" s="2976"/>
      <c r="X265" s="2976"/>
      <c r="Y265" s="2976"/>
      <c r="Z265" s="2976"/>
      <c r="AA265" s="2976"/>
      <c r="AB265" s="2976"/>
      <c r="AC265" s="2976"/>
      <c r="AD265" s="2976"/>
      <c r="AE265" s="2976"/>
      <c r="AF265" s="2976"/>
    </row>
    <row r="266" spans="1:32">
      <c r="A266" s="2972">
        <v>265</v>
      </c>
      <c r="B266" s="2974" t="s">
        <v>3228</v>
      </c>
      <c r="C266" s="2973" t="s">
        <v>3208</v>
      </c>
      <c r="D266" s="2981" t="s">
        <v>3213</v>
      </c>
      <c r="E266" s="2974">
        <v>202</v>
      </c>
      <c r="F266" s="2974">
        <v>56.67</v>
      </c>
      <c r="G266" s="2979">
        <v>13.1</v>
      </c>
      <c r="H266" s="2979">
        <v>69.77</v>
      </c>
      <c r="I266" s="2979" t="s">
        <v>3055</v>
      </c>
      <c r="J266" s="2974" t="s">
        <v>3144</v>
      </c>
      <c r="L266" s="2976"/>
      <c r="M266" s="2976"/>
      <c r="N266" s="2976"/>
      <c r="O266" s="2976"/>
      <c r="P266" s="2976"/>
      <c r="Q266" s="2976"/>
      <c r="R266" s="2976"/>
      <c r="S266" s="2976"/>
      <c r="T266" s="2976"/>
      <c r="U266" s="2976"/>
      <c r="V266" s="2976"/>
      <c r="W266" s="2976"/>
      <c r="X266" s="2976"/>
      <c r="Y266" s="2976"/>
      <c r="Z266" s="2976"/>
      <c r="AA266" s="2976"/>
      <c r="AB266" s="2976"/>
      <c r="AC266" s="2976"/>
      <c r="AD266" s="2976"/>
      <c r="AE266" s="2976"/>
      <c r="AF266" s="2976"/>
    </row>
    <row r="267" spans="1:32">
      <c r="A267" s="2972">
        <v>266</v>
      </c>
      <c r="B267" s="2974" t="s">
        <v>3228</v>
      </c>
      <c r="C267" s="2973" t="s">
        <v>3208</v>
      </c>
      <c r="D267" s="2981" t="s">
        <v>3213</v>
      </c>
      <c r="E267" s="2974">
        <v>203</v>
      </c>
      <c r="F267" s="2974">
        <v>56.81</v>
      </c>
      <c r="G267" s="2979">
        <v>13.13</v>
      </c>
      <c r="H267" s="2979">
        <v>69.94</v>
      </c>
      <c r="I267" s="2979" t="s">
        <v>3055</v>
      </c>
      <c r="J267" s="2974" t="s">
        <v>3144</v>
      </c>
      <c r="L267" s="2976"/>
      <c r="M267" s="2976"/>
      <c r="N267" s="2976"/>
      <c r="O267" s="2976"/>
      <c r="P267" s="2976"/>
      <c r="Q267" s="2976"/>
      <c r="R267" s="2976"/>
      <c r="S267" s="2976"/>
      <c r="T267" s="2976"/>
      <c r="U267" s="2976"/>
      <c r="V267" s="2976"/>
      <c r="W267" s="2976"/>
      <c r="X267" s="2976"/>
      <c r="Y267" s="2976"/>
      <c r="Z267" s="2976"/>
      <c r="AA267" s="2976"/>
      <c r="AB267" s="2976"/>
      <c r="AC267" s="2976"/>
      <c r="AD267" s="2976"/>
      <c r="AE267" s="2976"/>
      <c r="AF267" s="2976"/>
    </row>
    <row r="268" spans="1:32">
      <c r="A268" s="2972">
        <v>267</v>
      </c>
      <c r="B268" s="2974" t="s">
        <v>3228</v>
      </c>
      <c r="C268" s="2973" t="s">
        <v>3208</v>
      </c>
      <c r="D268" s="2981" t="s">
        <v>3213</v>
      </c>
      <c r="E268" s="2974">
        <v>205</v>
      </c>
      <c r="F268" s="2974">
        <v>56.81</v>
      </c>
      <c r="G268" s="2979">
        <v>13.13</v>
      </c>
      <c r="H268" s="2979">
        <v>69.94</v>
      </c>
      <c r="I268" s="2979" t="s">
        <v>3055</v>
      </c>
      <c r="J268" s="2974" t="s">
        <v>3144</v>
      </c>
      <c r="L268" s="2976"/>
      <c r="M268" s="2976"/>
      <c r="N268" s="2976"/>
      <c r="O268" s="2976"/>
      <c r="P268" s="2976"/>
      <c r="Q268" s="2976"/>
      <c r="R268" s="2976"/>
      <c r="S268" s="2976"/>
      <c r="T268" s="2976"/>
      <c r="U268" s="2976"/>
      <c r="V268" s="2976"/>
      <c r="W268" s="2976"/>
      <c r="X268" s="2976"/>
      <c r="Y268" s="2976"/>
      <c r="Z268" s="2976"/>
      <c r="AA268" s="2976"/>
      <c r="AB268" s="2976"/>
      <c r="AC268" s="2976"/>
      <c r="AD268" s="2976"/>
      <c r="AE268" s="2976"/>
      <c r="AF268" s="2976"/>
    </row>
    <row r="269" spans="1:32">
      <c r="A269" s="2972">
        <v>268</v>
      </c>
      <c r="B269" s="2974" t="s">
        <v>3228</v>
      </c>
      <c r="C269" s="2973" t="s">
        <v>3208</v>
      </c>
      <c r="D269" s="2981" t="s">
        <v>3215</v>
      </c>
      <c r="E269" s="2974">
        <v>203</v>
      </c>
      <c r="F269" s="2974">
        <v>56.81</v>
      </c>
      <c r="G269" s="2979">
        <v>13.13</v>
      </c>
      <c r="H269" s="2979">
        <v>69.94</v>
      </c>
      <c r="I269" s="2979" t="s">
        <v>3055</v>
      </c>
      <c r="J269" s="2974" t="s">
        <v>3144</v>
      </c>
      <c r="L269" s="2976"/>
      <c r="M269" s="2976"/>
      <c r="N269" s="2976"/>
      <c r="O269" s="2976"/>
      <c r="P269" s="2976"/>
      <c r="Q269" s="2976"/>
      <c r="R269" s="2976"/>
      <c r="S269" s="2976"/>
      <c r="T269" s="2976"/>
      <c r="U269" s="2976"/>
      <c r="V269" s="2976"/>
      <c r="W269" s="2976"/>
      <c r="X269" s="2976"/>
      <c r="Y269" s="2976"/>
      <c r="Z269" s="2976"/>
      <c r="AA269" s="2976"/>
      <c r="AB269" s="2976"/>
      <c r="AC269" s="2976"/>
      <c r="AD269" s="2976"/>
      <c r="AE269" s="2976"/>
      <c r="AF269" s="2976"/>
    </row>
    <row r="270" spans="1:32">
      <c r="A270" s="2972">
        <v>269</v>
      </c>
      <c r="B270" s="2974" t="s">
        <v>3228</v>
      </c>
      <c r="C270" s="2973" t="s">
        <v>3209</v>
      </c>
      <c r="D270" s="2981" t="s">
        <v>3213</v>
      </c>
      <c r="E270" s="2974">
        <v>302</v>
      </c>
      <c r="F270" s="2974">
        <v>56.67</v>
      </c>
      <c r="G270" s="2979">
        <v>13.1</v>
      </c>
      <c r="H270" s="2979">
        <v>69.77</v>
      </c>
      <c r="I270" s="2979" t="s">
        <v>3055</v>
      </c>
      <c r="J270" s="2974" t="s">
        <v>3144</v>
      </c>
      <c r="L270" s="2976"/>
      <c r="M270" s="2976"/>
      <c r="N270" s="2976"/>
      <c r="O270" s="2976"/>
      <c r="P270" s="2976"/>
      <c r="Q270" s="2976"/>
      <c r="R270" s="2976"/>
      <c r="S270" s="2976"/>
      <c r="T270" s="2976"/>
      <c r="U270" s="2976"/>
      <c r="V270" s="2976"/>
      <c r="W270" s="2976"/>
      <c r="X270" s="2976"/>
      <c r="Y270" s="2976"/>
      <c r="Z270" s="2976"/>
      <c r="AA270" s="2976"/>
      <c r="AB270" s="2976"/>
      <c r="AC270" s="2976"/>
      <c r="AD270" s="2976"/>
      <c r="AE270" s="2976"/>
      <c r="AF270" s="2976"/>
    </row>
    <row r="271" spans="1:32">
      <c r="A271" s="2972">
        <v>270</v>
      </c>
      <c r="B271" s="2974" t="s">
        <v>3228</v>
      </c>
      <c r="C271" s="2973" t="s">
        <v>3209</v>
      </c>
      <c r="D271" s="2981" t="s">
        <v>3213</v>
      </c>
      <c r="E271" s="2974">
        <v>303</v>
      </c>
      <c r="F271" s="2974">
        <v>56.81</v>
      </c>
      <c r="G271" s="2979">
        <v>13.13</v>
      </c>
      <c r="H271" s="2979">
        <v>69.94</v>
      </c>
      <c r="I271" s="2979" t="s">
        <v>3055</v>
      </c>
      <c r="J271" s="2974" t="s">
        <v>3144</v>
      </c>
      <c r="L271" s="2976"/>
      <c r="M271" s="2976"/>
      <c r="N271" s="2976"/>
      <c r="O271" s="2976"/>
      <c r="P271" s="2976"/>
      <c r="Q271" s="2976"/>
      <c r="R271" s="2976"/>
      <c r="S271" s="2976"/>
      <c r="T271" s="2976"/>
      <c r="U271" s="2976"/>
      <c r="V271" s="2976"/>
      <c r="W271" s="2976"/>
      <c r="X271" s="2976"/>
      <c r="Y271" s="2976"/>
      <c r="Z271" s="2976"/>
      <c r="AA271" s="2976"/>
      <c r="AB271" s="2976"/>
      <c r="AC271" s="2976"/>
      <c r="AD271" s="2976"/>
      <c r="AE271" s="2976"/>
      <c r="AF271" s="2976"/>
    </row>
    <row r="272" spans="1:32">
      <c r="A272" s="2972">
        <v>271</v>
      </c>
      <c r="B272" s="2974" t="s">
        <v>3228</v>
      </c>
      <c r="C272" s="2973" t="s">
        <v>3209</v>
      </c>
      <c r="D272" s="2981" t="s">
        <v>3213</v>
      </c>
      <c r="E272" s="2974">
        <v>305</v>
      </c>
      <c r="F272" s="2974">
        <v>56.81</v>
      </c>
      <c r="G272" s="2979">
        <v>13.13</v>
      </c>
      <c r="H272" s="2979">
        <v>69.94</v>
      </c>
      <c r="I272" s="2979" t="s">
        <v>3055</v>
      </c>
      <c r="J272" s="2974" t="s">
        <v>3144</v>
      </c>
      <c r="L272" s="2976"/>
      <c r="M272" s="2976"/>
      <c r="N272" s="2976"/>
      <c r="O272" s="2976"/>
      <c r="P272" s="2976"/>
      <c r="Q272" s="2976"/>
      <c r="R272" s="2976"/>
      <c r="S272" s="2976"/>
      <c r="T272" s="2976"/>
      <c r="U272" s="2976"/>
      <c r="V272" s="2976"/>
      <c r="W272" s="2976"/>
      <c r="X272" s="2976"/>
      <c r="Y272" s="2976"/>
      <c r="Z272" s="2976"/>
      <c r="AA272" s="2976"/>
      <c r="AB272" s="2976"/>
      <c r="AC272" s="2976"/>
      <c r="AD272" s="2976"/>
      <c r="AE272" s="2976"/>
      <c r="AF272" s="2976"/>
    </row>
    <row r="273" spans="1:32">
      <c r="A273" s="2972">
        <v>272</v>
      </c>
      <c r="B273" s="2974" t="s">
        <v>3228</v>
      </c>
      <c r="C273" s="2973" t="s">
        <v>3209</v>
      </c>
      <c r="D273" s="2981" t="s">
        <v>3213</v>
      </c>
      <c r="E273" s="2974">
        <v>306</v>
      </c>
      <c r="F273" s="2974">
        <v>56.67</v>
      </c>
      <c r="G273" s="2979">
        <v>13.1</v>
      </c>
      <c r="H273" s="2979">
        <v>69.77</v>
      </c>
      <c r="I273" s="2979" t="s">
        <v>3055</v>
      </c>
      <c r="J273" s="2974" t="s">
        <v>3144</v>
      </c>
      <c r="L273" s="2976"/>
      <c r="M273" s="2976"/>
      <c r="N273" s="2976"/>
      <c r="O273" s="2976"/>
      <c r="P273" s="2976"/>
      <c r="Q273" s="2976"/>
      <c r="R273" s="2976"/>
      <c r="S273" s="2976"/>
      <c r="T273" s="2976"/>
      <c r="U273" s="2976"/>
      <c r="V273" s="2976"/>
      <c r="W273" s="2976"/>
      <c r="X273" s="2976"/>
      <c r="Y273" s="2976"/>
      <c r="Z273" s="2976"/>
      <c r="AA273" s="2976"/>
      <c r="AB273" s="2976"/>
      <c r="AC273" s="2976"/>
      <c r="AD273" s="2976"/>
      <c r="AE273" s="2976"/>
      <c r="AF273" s="2976"/>
    </row>
    <row r="274" spans="1:32">
      <c r="A274" s="2972">
        <v>273</v>
      </c>
      <c r="B274" s="2974" t="s">
        <v>3228</v>
      </c>
      <c r="C274" s="2973" t="s">
        <v>3209</v>
      </c>
      <c r="D274" s="2981" t="s">
        <v>3213</v>
      </c>
      <c r="E274" s="2974">
        <v>307</v>
      </c>
      <c r="F274" s="2974">
        <v>53.84</v>
      </c>
      <c r="G274" s="2979">
        <v>12.44</v>
      </c>
      <c r="H274" s="2979">
        <v>66.28</v>
      </c>
      <c r="I274" s="2979" t="s">
        <v>3055</v>
      </c>
      <c r="J274" s="2974" t="s">
        <v>3143</v>
      </c>
      <c r="L274" s="2976"/>
      <c r="M274" s="2976"/>
      <c r="N274" s="2976"/>
      <c r="O274" s="2976"/>
      <c r="P274" s="2976"/>
      <c r="Q274" s="2976"/>
      <c r="R274" s="2976"/>
      <c r="S274" s="2976"/>
      <c r="T274" s="2976"/>
      <c r="U274" s="2976"/>
      <c r="V274" s="2976"/>
      <c r="W274" s="2976"/>
      <c r="X274" s="2976"/>
      <c r="Y274" s="2976"/>
      <c r="Z274" s="2976"/>
      <c r="AA274" s="2976"/>
      <c r="AB274" s="2976"/>
      <c r="AC274" s="2976"/>
      <c r="AD274" s="2976"/>
      <c r="AE274" s="2976"/>
      <c r="AF274" s="2976"/>
    </row>
    <row r="275" spans="1:32">
      <c r="A275" s="2972">
        <v>274</v>
      </c>
      <c r="B275" s="2974" t="s">
        <v>3228</v>
      </c>
      <c r="C275" s="2973" t="s">
        <v>3209</v>
      </c>
      <c r="D275" s="2981" t="s">
        <v>3215</v>
      </c>
      <c r="E275" s="2974">
        <v>302</v>
      </c>
      <c r="F275" s="2974">
        <v>56.67</v>
      </c>
      <c r="G275" s="2979">
        <v>13.1</v>
      </c>
      <c r="H275" s="2979">
        <v>69.77</v>
      </c>
      <c r="I275" s="2979" t="s">
        <v>3055</v>
      </c>
      <c r="J275" s="2974" t="s">
        <v>3144</v>
      </c>
      <c r="L275" s="2976"/>
      <c r="M275" s="2976"/>
      <c r="N275" s="2976"/>
      <c r="O275" s="2976"/>
      <c r="P275" s="2976"/>
      <c r="Q275" s="2976"/>
      <c r="R275" s="2976"/>
      <c r="S275" s="2976"/>
      <c r="T275" s="2976"/>
      <c r="U275" s="2976"/>
      <c r="V275" s="2976"/>
      <c r="W275" s="2976"/>
      <c r="X275" s="2976"/>
      <c r="Y275" s="2976"/>
      <c r="Z275" s="2976"/>
      <c r="AA275" s="2976"/>
      <c r="AB275" s="2976"/>
      <c r="AC275" s="2976"/>
      <c r="AD275" s="2976"/>
      <c r="AE275" s="2976"/>
      <c r="AF275" s="2976"/>
    </row>
    <row r="276" spans="1:32">
      <c r="A276" s="2972">
        <v>275</v>
      </c>
      <c r="B276" s="2974" t="s">
        <v>3228</v>
      </c>
      <c r="C276" s="2973" t="s">
        <v>3209</v>
      </c>
      <c r="D276" s="2981" t="s">
        <v>3215</v>
      </c>
      <c r="E276" s="2974">
        <v>303</v>
      </c>
      <c r="F276" s="2974">
        <v>56.81</v>
      </c>
      <c r="G276" s="2979">
        <v>13.13</v>
      </c>
      <c r="H276" s="2979">
        <v>69.94</v>
      </c>
      <c r="I276" s="2979" t="s">
        <v>3055</v>
      </c>
      <c r="J276" s="2974" t="s">
        <v>3144</v>
      </c>
      <c r="L276" s="2976"/>
      <c r="M276" s="2976"/>
      <c r="N276" s="2976"/>
      <c r="O276" s="2976"/>
      <c r="P276" s="2976"/>
      <c r="Q276" s="2976"/>
      <c r="R276" s="2976"/>
      <c r="S276" s="2976"/>
      <c r="T276" s="2976"/>
      <c r="U276" s="2976"/>
      <c r="V276" s="2976"/>
      <c r="W276" s="2976"/>
      <c r="X276" s="2976"/>
      <c r="Y276" s="2976"/>
      <c r="Z276" s="2976"/>
      <c r="AA276" s="2976"/>
      <c r="AB276" s="2976"/>
      <c r="AC276" s="2976"/>
      <c r="AD276" s="2976"/>
      <c r="AE276" s="2976"/>
      <c r="AF276" s="2976"/>
    </row>
    <row r="277" spans="1:32">
      <c r="A277" s="2972">
        <v>276</v>
      </c>
      <c r="B277" s="2974" t="s">
        <v>3228</v>
      </c>
      <c r="C277" s="2973" t="s">
        <v>3209</v>
      </c>
      <c r="D277" s="2981" t="s">
        <v>3215</v>
      </c>
      <c r="E277" s="2974">
        <v>306</v>
      </c>
      <c r="F277" s="2974">
        <v>56.67</v>
      </c>
      <c r="G277" s="2979">
        <v>13.1</v>
      </c>
      <c r="H277" s="2979">
        <v>69.77</v>
      </c>
      <c r="I277" s="2979" t="s">
        <v>3055</v>
      </c>
      <c r="J277" s="2974" t="s">
        <v>3144</v>
      </c>
      <c r="L277" s="2976"/>
      <c r="M277" s="2976"/>
      <c r="N277" s="2976"/>
      <c r="O277" s="2976"/>
      <c r="P277" s="2976"/>
      <c r="Q277" s="2976"/>
      <c r="R277" s="2976"/>
      <c r="S277" s="2976"/>
      <c r="T277" s="2976"/>
      <c r="U277" s="2976"/>
      <c r="V277" s="2976"/>
      <c r="W277" s="2976"/>
      <c r="X277" s="2976"/>
      <c r="Y277" s="2976"/>
      <c r="Z277" s="2976"/>
      <c r="AA277" s="2976"/>
      <c r="AB277" s="2976"/>
      <c r="AC277" s="2976"/>
      <c r="AD277" s="2976"/>
      <c r="AE277" s="2976"/>
      <c r="AF277" s="2976"/>
    </row>
    <row r="278" spans="1:32">
      <c r="A278" s="2972">
        <v>277</v>
      </c>
      <c r="B278" s="2974" t="s">
        <v>3228</v>
      </c>
      <c r="C278" s="2973" t="s">
        <v>3209</v>
      </c>
      <c r="D278" s="2981" t="s">
        <v>3215</v>
      </c>
      <c r="E278" s="2974">
        <v>307</v>
      </c>
      <c r="F278" s="2974">
        <v>53.84</v>
      </c>
      <c r="G278" s="2979">
        <v>12.44</v>
      </c>
      <c r="H278" s="2979">
        <v>66.28</v>
      </c>
      <c r="I278" s="2979" t="s">
        <v>3055</v>
      </c>
      <c r="J278" s="2974" t="s">
        <v>3143</v>
      </c>
      <c r="L278" s="2976"/>
      <c r="M278" s="2976"/>
      <c r="N278" s="2976"/>
      <c r="O278" s="2976"/>
      <c r="P278" s="2976"/>
      <c r="Q278" s="2976"/>
      <c r="R278" s="2976"/>
      <c r="S278" s="2976"/>
      <c r="T278" s="2976"/>
      <c r="U278" s="2976"/>
      <c r="V278" s="2976"/>
      <c r="W278" s="2976"/>
      <c r="X278" s="2976"/>
      <c r="Y278" s="2976"/>
      <c r="Z278" s="2976"/>
      <c r="AA278" s="2976"/>
      <c r="AB278" s="2976"/>
      <c r="AC278" s="2976"/>
      <c r="AD278" s="2976"/>
      <c r="AE278" s="2976"/>
      <c r="AF278" s="2976"/>
    </row>
    <row r="279" spans="1:32">
      <c r="A279" s="2972">
        <v>278</v>
      </c>
      <c r="B279" s="2974" t="s">
        <v>3228</v>
      </c>
      <c r="C279" s="2973" t="s">
        <v>3210</v>
      </c>
      <c r="D279" s="2981" t="s">
        <v>3213</v>
      </c>
      <c r="E279" s="2974" t="s">
        <v>3146</v>
      </c>
      <c r="F279" s="2974">
        <v>56.67</v>
      </c>
      <c r="G279" s="2979">
        <v>13.1</v>
      </c>
      <c r="H279" s="2979">
        <v>69.77</v>
      </c>
      <c r="I279" s="2979" t="s">
        <v>3055</v>
      </c>
      <c r="J279" s="2974" t="s">
        <v>3144</v>
      </c>
      <c r="L279" s="2976"/>
      <c r="M279" s="2976"/>
      <c r="N279" s="2976"/>
      <c r="O279" s="2976"/>
      <c r="P279" s="2976"/>
      <c r="Q279" s="2976"/>
      <c r="R279" s="2976"/>
      <c r="S279" s="2976"/>
      <c r="T279" s="2976"/>
      <c r="U279" s="2976"/>
      <c r="V279" s="2976"/>
      <c r="W279" s="2976"/>
      <c r="X279" s="2976"/>
      <c r="Y279" s="2976"/>
      <c r="Z279" s="2976"/>
      <c r="AA279" s="2976"/>
      <c r="AB279" s="2976"/>
      <c r="AC279" s="2976"/>
      <c r="AD279" s="2976"/>
      <c r="AE279" s="2976"/>
      <c r="AF279" s="2976"/>
    </row>
    <row r="280" spans="1:32">
      <c r="A280" s="2972">
        <v>279</v>
      </c>
      <c r="B280" s="2974" t="s">
        <v>3228</v>
      </c>
      <c r="C280" s="2973" t="s">
        <v>3210</v>
      </c>
      <c r="D280" s="2981" t="s">
        <v>3213</v>
      </c>
      <c r="E280" s="2974" t="s">
        <v>3147</v>
      </c>
      <c r="F280" s="2974">
        <v>56.81</v>
      </c>
      <c r="G280" s="2979">
        <v>13.13</v>
      </c>
      <c r="H280" s="2979">
        <v>69.94</v>
      </c>
      <c r="I280" s="2979" t="s">
        <v>3055</v>
      </c>
      <c r="J280" s="2974" t="s">
        <v>3144</v>
      </c>
      <c r="L280" s="2976"/>
      <c r="M280" s="2976"/>
      <c r="N280" s="2976"/>
      <c r="O280" s="2976"/>
      <c r="P280" s="2976"/>
      <c r="Q280" s="2976"/>
      <c r="R280" s="2976"/>
      <c r="S280" s="2976"/>
      <c r="T280" s="2976"/>
      <c r="U280" s="2976"/>
      <c r="V280" s="2976"/>
      <c r="W280" s="2976"/>
      <c r="X280" s="2976"/>
      <c r="Y280" s="2976"/>
      <c r="Z280" s="2976"/>
      <c r="AA280" s="2976"/>
      <c r="AB280" s="2976"/>
      <c r="AC280" s="2976"/>
      <c r="AD280" s="2976"/>
      <c r="AE280" s="2976"/>
      <c r="AF280" s="2976"/>
    </row>
    <row r="281" spans="1:32">
      <c r="A281" s="2972">
        <v>280</v>
      </c>
      <c r="B281" s="2974" t="s">
        <v>3228</v>
      </c>
      <c r="C281" s="2973" t="s">
        <v>3210</v>
      </c>
      <c r="D281" s="2981" t="s">
        <v>3213</v>
      </c>
      <c r="E281" s="2974" t="s">
        <v>3148</v>
      </c>
      <c r="F281" s="2974">
        <v>56.81</v>
      </c>
      <c r="G281" s="2979">
        <v>13.13</v>
      </c>
      <c r="H281" s="2979">
        <v>69.94</v>
      </c>
      <c r="I281" s="2979" t="s">
        <v>3055</v>
      </c>
      <c r="J281" s="2974" t="s">
        <v>3144</v>
      </c>
      <c r="L281" s="2976"/>
      <c r="M281" s="2976"/>
      <c r="N281" s="2976"/>
      <c r="O281" s="2976"/>
      <c r="P281" s="2976"/>
      <c r="Q281" s="2976"/>
      <c r="R281" s="2976"/>
      <c r="S281" s="2976"/>
      <c r="T281" s="2976"/>
      <c r="U281" s="2976"/>
      <c r="V281" s="2976"/>
      <c r="W281" s="2976"/>
      <c r="X281" s="2976"/>
      <c r="Y281" s="2976"/>
      <c r="Z281" s="2976"/>
      <c r="AA281" s="2976"/>
      <c r="AB281" s="2976"/>
      <c r="AC281" s="2976"/>
      <c r="AD281" s="2976"/>
      <c r="AE281" s="2976"/>
      <c r="AF281" s="2976"/>
    </row>
    <row r="282" spans="1:32">
      <c r="A282" s="2972">
        <v>281</v>
      </c>
      <c r="B282" s="2974" t="s">
        <v>3228</v>
      </c>
      <c r="C282" s="2973" t="s">
        <v>3210</v>
      </c>
      <c r="D282" s="2981" t="s">
        <v>3213</v>
      </c>
      <c r="E282" s="2974" t="s">
        <v>3150</v>
      </c>
      <c r="F282" s="2974">
        <v>53.84</v>
      </c>
      <c r="G282" s="2979">
        <v>12.44</v>
      </c>
      <c r="H282" s="2979">
        <v>66.28</v>
      </c>
      <c r="I282" s="2979" t="s">
        <v>3055</v>
      </c>
      <c r="J282" s="2974" t="s">
        <v>3143</v>
      </c>
      <c r="L282" s="2976"/>
      <c r="M282" s="2976"/>
      <c r="N282" s="2976"/>
      <c r="O282" s="2976"/>
      <c r="P282" s="2976"/>
      <c r="Q282" s="2976"/>
      <c r="R282" s="2976"/>
      <c r="S282" s="2976"/>
      <c r="T282" s="2976"/>
      <c r="U282" s="2976"/>
      <c r="V282" s="2976"/>
      <c r="W282" s="2976"/>
      <c r="X282" s="2976"/>
      <c r="Y282" s="2976"/>
      <c r="Z282" s="2976"/>
      <c r="AA282" s="2976"/>
      <c r="AB282" s="2976"/>
      <c r="AC282" s="2976"/>
      <c r="AD282" s="2976"/>
      <c r="AE282" s="2976"/>
      <c r="AF282" s="2976"/>
    </row>
    <row r="283" spans="1:32">
      <c r="A283" s="2972">
        <v>282</v>
      </c>
      <c r="B283" s="2974" t="s">
        <v>3228</v>
      </c>
      <c r="C283" s="2973" t="s">
        <v>3210</v>
      </c>
      <c r="D283" s="2981" t="s">
        <v>3215</v>
      </c>
      <c r="E283" s="2974" t="s">
        <v>3145</v>
      </c>
      <c r="F283" s="2974">
        <v>53.84</v>
      </c>
      <c r="G283" s="2979">
        <v>12.44</v>
      </c>
      <c r="H283" s="2979">
        <v>66.28</v>
      </c>
      <c r="I283" s="2979" t="s">
        <v>3055</v>
      </c>
      <c r="J283" s="2974" t="s">
        <v>3143</v>
      </c>
      <c r="L283" s="2976"/>
      <c r="M283" s="2976"/>
      <c r="N283" s="2976"/>
      <c r="O283" s="2976"/>
      <c r="P283" s="2976"/>
      <c r="Q283" s="2976"/>
      <c r="R283" s="2976"/>
      <c r="S283" s="2976"/>
      <c r="T283" s="2976"/>
      <c r="U283" s="2976"/>
      <c r="V283" s="2976"/>
      <c r="W283" s="2976"/>
      <c r="X283" s="2976"/>
      <c r="Y283" s="2976"/>
      <c r="Z283" s="2976"/>
      <c r="AA283" s="2976"/>
      <c r="AB283" s="2976"/>
      <c r="AC283" s="2976"/>
      <c r="AD283" s="2976"/>
      <c r="AE283" s="2976"/>
      <c r="AF283" s="2976"/>
    </row>
    <row r="284" spans="1:32">
      <c r="A284" s="2972">
        <v>283</v>
      </c>
      <c r="B284" s="2974" t="s">
        <v>3228</v>
      </c>
      <c r="C284" s="2973" t="s">
        <v>3210</v>
      </c>
      <c r="D284" s="2981" t="s">
        <v>3215</v>
      </c>
      <c r="E284" s="2974" t="s">
        <v>3146</v>
      </c>
      <c r="F284" s="2974">
        <v>56.67</v>
      </c>
      <c r="G284" s="2979">
        <v>13.1</v>
      </c>
      <c r="H284" s="2979">
        <v>69.77</v>
      </c>
      <c r="I284" s="2979" t="s">
        <v>3055</v>
      </c>
      <c r="J284" s="2974" t="s">
        <v>3144</v>
      </c>
      <c r="L284" s="2976"/>
      <c r="M284" s="2976"/>
      <c r="N284" s="2976"/>
      <c r="O284" s="2976"/>
      <c r="P284" s="2976"/>
      <c r="Q284" s="2976"/>
      <c r="R284" s="2976"/>
      <c r="S284" s="2976"/>
      <c r="T284" s="2976"/>
      <c r="U284" s="2976"/>
      <c r="V284" s="2976"/>
      <c r="W284" s="2976"/>
      <c r="X284" s="2976"/>
      <c r="Y284" s="2976"/>
      <c r="Z284" s="2976"/>
      <c r="AA284" s="2976"/>
      <c r="AB284" s="2976"/>
      <c r="AC284" s="2976"/>
      <c r="AD284" s="2976"/>
      <c r="AE284" s="2976"/>
      <c r="AF284" s="2976"/>
    </row>
    <row r="285" spans="1:32">
      <c r="A285" s="2972">
        <v>284</v>
      </c>
      <c r="B285" s="2974" t="s">
        <v>3228</v>
      </c>
      <c r="C285" s="2973" t="s">
        <v>3210</v>
      </c>
      <c r="D285" s="2981" t="s">
        <v>3215</v>
      </c>
      <c r="E285" s="2974" t="s">
        <v>3147</v>
      </c>
      <c r="F285" s="2974">
        <v>56.81</v>
      </c>
      <c r="G285" s="2979">
        <v>13.13</v>
      </c>
      <c r="H285" s="2979">
        <v>69.94</v>
      </c>
      <c r="I285" s="2979" t="s">
        <v>3055</v>
      </c>
      <c r="J285" s="2974" t="s">
        <v>3144</v>
      </c>
      <c r="L285" s="2976"/>
      <c r="M285" s="2976"/>
      <c r="N285" s="2976"/>
      <c r="O285" s="2976"/>
      <c r="P285" s="2976"/>
      <c r="Q285" s="2976"/>
      <c r="R285" s="2976"/>
      <c r="S285" s="2976"/>
      <c r="T285" s="2976"/>
      <c r="U285" s="2976"/>
      <c r="V285" s="2976"/>
      <c r="W285" s="2976"/>
      <c r="X285" s="2976"/>
      <c r="Y285" s="2976"/>
      <c r="Z285" s="2976"/>
      <c r="AA285" s="2976"/>
      <c r="AB285" s="2976"/>
      <c r="AC285" s="2976"/>
      <c r="AD285" s="2976"/>
      <c r="AE285" s="2976"/>
      <c r="AF285" s="2976"/>
    </row>
    <row r="286" spans="1:32">
      <c r="A286" s="2972">
        <v>285</v>
      </c>
      <c r="B286" s="2974" t="s">
        <v>3228</v>
      </c>
      <c r="C286" s="2973" t="s">
        <v>3210</v>
      </c>
      <c r="D286" s="2981" t="s">
        <v>3215</v>
      </c>
      <c r="E286" s="2974" t="s">
        <v>3148</v>
      </c>
      <c r="F286" s="2974">
        <v>56.81</v>
      </c>
      <c r="G286" s="2979">
        <v>13.13</v>
      </c>
      <c r="H286" s="2979">
        <v>69.94</v>
      </c>
      <c r="I286" s="2979" t="s">
        <v>3055</v>
      </c>
      <c r="J286" s="2974" t="s">
        <v>3144</v>
      </c>
      <c r="L286" s="2976"/>
      <c r="M286" s="2976"/>
      <c r="N286" s="2976"/>
      <c r="O286" s="2976"/>
      <c r="P286" s="2976"/>
      <c r="Q286" s="2976"/>
      <c r="R286" s="2976"/>
      <c r="S286" s="2976"/>
      <c r="T286" s="2976"/>
      <c r="U286" s="2976"/>
      <c r="V286" s="2976"/>
      <c r="W286" s="2976"/>
      <c r="X286" s="2976"/>
      <c r="Y286" s="2976"/>
      <c r="Z286" s="2976"/>
      <c r="AA286" s="2976"/>
      <c r="AB286" s="2976"/>
      <c r="AC286" s="2976"/>
      <c r="AD286" s="2976"/>
      <c r="AE286" s="2976"/>
      <c r="AF286" s="2976"/>
    </row>
    <row r="287" spans="1:32">
      <c r="A287" s="2972">
        <v>286</v>
      </c>
      <c r="B287" s="2974" t="s">
        <v>3228</v>
      </c>
      <c r="C287" s="2973" t="s">
        <v>3210</v>
      </c>
      <c r="D287" s="2981" t="s">
        <v>3215</v>
      </c>
      <c r="E287" s="2974" t="s">
        <v>3150</v>
      </c>
      <c r="F287" s="2974">
        <v>53.84</v>
      </c>
      <c r="G287" s="2979">
        <v>12.44</v>
      </c>
      <c r="H287" s="2979">
        <v>66.28</v>
      </c>
      <c r="I287" s="2979" t="s">
        <v>3055</v>
      </c>
      <c r="J287" s="2974" t="s">
        <v>3143</v>
      </c>
      <c r="L287" s="2976"/>
      <c r="M287" s="2976"/>
      <c r="N287" s="2976"/>
      <c r="O287" s="2976"/>
      <c r="P287" s="2976"/>
      <c r="Q287" s="2976"/>
      <c r="R287" s="2976"/>
      <c r="S287" s="2976"/>
      <c r="T287" s="2976"/>
      <c r="U287" s="2976"/>
      <c r="V287" s="2976"/>
      <c r="W287" s="2976"/>
      <c r="X287" s="2976"/>
      <c r="Y287" s="2976"/>
      <c r="Z287" s="2976"/>
      <c r="AA287" s="2976"/>
      <c r="AB287" s="2976"/>
      <c r="AC287" s="2976"/>
      <c r="AD287" s="2976"/>
      <c r="AE287" s="2976"/>
      <c r="AF287" s="2976"/>
    </row>
    <row r="288" spans="1:32">
      <c r="A288" s="2972">
        <v>287</v>
      </c>
      <c r="B288" s="2974" t="s">
        <v>3228</v>
      </c>
      <c r="C288" s="2973" t="s">
        <v>3211</v>
      </c>
      <c r="D288" s="2981" t="s">
        <v>3213</v>
      </c>
      <c r="E288" s="2974">
        <v>501</v>
      </c>
      <c r="F288" s="2974">
        <v>53.84</v>
      </c>
      <c r="G288" s="2979">
        <v>12.44</v>
      </c>
      <c r="H288" s="2979">
        <v>66.28</v>
      </c>
      <c r="I288" s="2979" t="s">
        <v>3055</v>
      </c>
      <c r="J288" s="2974" t="s">
        <v>3143</v>
      </c>
      <c r="L288" s="2976"/>
      <c r="M288" s="2976"/>
      <c r="N288" s="2976"/>
      <c r="O288" s="2976"/>
      <c r="P288" s="2976"/>
      <c r="Q288" s="2976"/>
      <c r="R288" s="2976"/>
      <c r="S288" s="2976"/>
      <c r="T288" s="2976"/>
      <c r="U288" s="2976"/>
      <c r="V288" s="2976"/>
      <c r="W288" s="2976"/>
      <c r="X288" s="2976"/>
      <c r="Y288" s="2976"/>
      <c r="Z288" s="2976"/>
      <c r="AA288" s="2976"/>
      <c r="AB288" s="2976"/>
      <c r="AC288" s="2976"/>
      <c r="AD288" s="2976"/>
      <c r="AE288" s="2976"/>
      <c r="AF288" s="2976"/>
    </row>
    <row r="289" spans="1:32">
      <c r="A289" s="2972">
        <v>288</v>
      </c>
      <c r="B289" s="2974" t="s">
        <v>3228</v>
      </c>
      <c r="C289" s="2973" t="s">
        <v>3211</v>
      </c>
      <c r="D289" s="2981" t="s">
        <v>3213</v>
      </c>
      <c r="E289" s="2974">
        <v>505</v>
      </c>
      <c r="F289" s="2974">
        <v>56.81</v>
      </c>
      <c r="G289" s="2979">
        <v>13.13</v>
      </c>
      <c r="H289" s="2979">
        <v>69.94</v>
      </c>
      <c r="I289" s="2979" t="s">
        <v>3055</v>
      </c>
      <c r="J289" s="2974" t="s">
        <v>3144</v>
      </c>
      <c r="L289" s="2976"/>
      <c r="M289" s="2976"/>
      <c r="N289" s="2976"/>
      <c r="O289" s="2976"/>
      <c r="P289" s="2976"/>
      <c r="Q289" s="2976"/>
      <c r="R289" s="2976"/>
      <c r="S289" s="2976"/>
      <c r="T289" s="2976"/>
      <c r="U289" s="2976"/>
      <c r="V289" s="2976"/>
      <c r="W289" s="2976"/>
      <c r="X289" s="2976"/>
      <c r="Y289" s="2976"/>
      <c r="Z289" s="2976"/>
      <c r="AA289" s="2976"/>
      <c r="AB289" s="2976"/>
      <c r="AC289" s="2976"/>
      <c r="AD289" s="2976"/>
      <c r="AE289" s="2976"/>
      <c r="AF289" s="2976"/>
    </row>
    <row r="290" spans="1:32">
      <c r="A290" s="2972">
        <v>289</v>
      </c>
      <c r="B290" s="2974" t="s">
        <v>3228</v>
      </c>
      <c r="C290" s="2973" t="s">
        <v>3211</v>
      </c>
      <c r="D290" s="2981" t="s">
        <v>3213</v>
      </c>
      <c r="E290" s="2974">
        <v>506</v>
      </c>
      <c r="F290" s="2974">
        <v>56.67</v>
      </c>
      <c r="G290" s="2979">
        <v>13.1</v>
      </c>
      <c r="H290" s="2979">
        <v>69.77</v>
      </c>
      <c r="I290" s="2979" t="s">
        <v>3055</v>
      </c>
      <c r="J290" s="2974" t="s">
        <v>3144</v>
      </c>
      <c r="L290" s="2976"/>
      <c r="M290" s="2976"/>
      <c r="N290" s="2976"/>
      <c r="O290" s="2976"/>
      <c r="P290" s="2976"/>
      <c r="Q290" s="2976"/>
      <c r="R290" s="2976"/>
      <c r="S290" s="2976"/>
      <c r="T290" s="2976"/>
      <c r="U290" s="2976"/>
      <c r="V290" s="2976"/>
      <c r="W290" s="2976"/>
      <c r="X290" s="2976"/>
      <c r="Y290" s="2976"/>
      <c r="Z290" s="2976"/>
      <c r="AA290" s="2976"/>
      <c r="AB290" s="2976"/>
      <c r="AC290" s="2976"/>
      <c r="AD290" s="2976"/>
      <c r="AE290" s="2976"/>
      <c r="AF290" s="2976"/>
    </row>
    <row r="291" spans="1:32">
      <c r="A291" s="2972">
        <v>290</v>
      </c>
      <c r="B291" s="2974" t="s">
        <v>3228</v>
      </c>
      <c r="C291" s="2973" t="s">
        <v>3211</v>
      </c>
      <c r="D291" s="2981" t="s">
        <v>3213</v>
      </c>
      <c r="E291" s="2974">
        <v>507</v>
      </c>
      <c r="F291" s="2974">
        <v>53.84</v>
      </c>
      <c r="G291" s="2979">
        <v>12.44</v>
      </c>
      <c r="H291" s="2979">
        <v>66.28</v>
      </c>
      <c r="I291" s="2979" t="s">
        <v>3055</v>
      </c>
      <c r="J291" s="2974" t="s">
        <v>3143</v>
      </c>
      <c r="L291" s="2976"/>
      <c r="M291" s="2976"/>
      <c r="N291" s="2976"/>
      <c r="O291" s="2976"/>
      <c r="P291" s="2976"/>
      <c r="Q291" s="2976"/>
      <c r="R291" s="2976"/>
      <c r="S291" s="2976"/>
      <c r="T291" s="2976"/>
      <c r="U291" s="2976"/>
      <c r="V291" s="2976"/>
      <c r="W291" s="2976"/>
      <c r="X291" s="2976"/>
      <c r="Y291" s="2976"/>
      <c r="Z291" s="2976"/>
      <c r="AA291" s="2976"/>
      <c r="AB291" s="2976"/>
      <c r="AC291" s="2976"/>
      <c r="AD291" s="2976"/>
      <c r="AE291" s="2976"/>
      <c r="AF291" s="2976"/>
    </row>
    <row r="292" spans="1:32">
      <c r="A292" s="2972">
        <v>291</v>
      </c>
      <c r="B292" s="2974" t="s">
        <v>3228</v>
      </c>
      <c r="C292" s="2973" t="s">
        <v>3211</v>
      </c>
      <c r="D292" s="2981" t="s">
        <v>3215</v>
      </c>
      <c r="E292" s="2974">
        <v>506</v>
      </c>
      <c r="F292" s="2974">
        <v>56.67</v>
      </c>
      <c r="G292" s="2979">
        <v>13.1</v>
      </c>
      <c r="H292" s="2979">
        <v>69.77</v>
      </c>
      <c r="I292" s="2979" t="s">
        <v>3055</v>
      </c>
      <c r="J292" s="2974" t="s">
        <v>3144</v>
      </c>
      <c r="L292" s="2976"/>
      <c r="M292" s="2976"/>
      <c r="N292" s="2976"/>
      <c r="O292" s="2976"/>
      <c r="P292" s="2976"/>
      <c r="Q292" s="2976"/>
      <c r="R292" s="2976"/>
      <c r="S292" s="2976"/>
      <c r="T292" s="2976"/>
      <c r="U292" s="2976"/>
      <c r="V292" s="2976"/>
      <c r="W292" s="2976"/>
      <c r="X292" s="2976"/>
      <c r="Y292" s="2976"/>
      <c r="Z292" s="2976"/>
      <c r="AA292" s="2976"/>
      <c r="AB292" s="2976"/>
      <c r="AC292" s="2976"/>
      <c r="AD292" s="2976"/>
      <c r="AE292" s="2976"/>
      <c r="AF292" s="2976"/>
    </row>
    <row r="293" spans="1:32">
      <c r="A293" s="2972">
        <v>292</v>
      </c>
      <c r="B293" s="2974" t="s">
        <v>3228</v>
      </c>
      <c r="C293" s="2973" t="s">
        <v>3211</v>
      </c>
      <c r="D293" s="2981" t="s">
        <v>3215</v>
      </c>
      <c r="E293" s="2974">
        <v>507</v>
      </c>
      <c r="F293" s="2974">
        <v>53.84</v>
      </c>
      <c r="G293" s="2979">
        <v>12.44</v>
      </c>
      <c r="H293" s="2979">
        <v>66.28</v>
      </c>
      <c r="I293" s="2979" t="s">
        <v>3055</v>
      </c>
      <c r="J293" s="2974" t="s">
        <v>3143</v>
      </c>
      <c r="L293" s="2976"/>
      <c r="M293" s="2976"/>
      <c r="N293" s="2976"/>
      <c r="O293" s="2976"/>
      <c r="P293" s="2976"/>
      <c r="Q293" s="2976"/>
      <c r="R293" s="2976"/>
      <c r="S293" s="2976"/>
      <c r="T293" s="2976"/>
      <c r="U293" s="2976"/>
      <c r="V293" s="2976"/>
      <c r="W293" s="2976"/>
      <c r="X293" s="2976"/>
      <c r="Y293" s="2976"/>
      <c r="Z293" s="2976"/>
      <c r="AA293" s="2976"/>
      <c r="AB293" s="2976"/>
      <c r="AC293" s="2976"/>
      <c r="AD293" s="2976"/>
      <c r="AE293" s="2976"/>
      <c r="AF293" s="2976"/>
    </row>
    <row r="294" spans="1:32">
      <c r="A294" s="2972">
        <v>293</v>
      </c>
      <c r="B294" s="2974" t="s">
        <v>3228</v>
      </c>
      <c r="C294" s="2973" t="s">
        <v>3212</v>
      </c>
      <c r="D294" s="2981" t="s">
        <v>3213</v>
      </c>
      <c r="E294" s="2974">
        <v>601</v>
      </c>
      <c r="F294" s="2974">
        <v>53.84</v>
      </c>
      <c r="G294" s="2979">
        <v>12.44</v>
      </c>
      <c r="H294" s="2979">
        <v>66.28</v>
      </c>
      <c r="I294" s="2979" t="s">
        <v>3055</v>
      </c>
      <c r="J294" s="2974" t="s">
        <v>3143</v>
      </c>
      <c r="L294" s="2976"/>
      <c r="M294" s="2976"/>
      <c r="N294" s="2976"/>
      <c r="O294" s="2976"/>
      <c r="P294" s="2976"/>
      <c r="Q294" s="2976"/>
      <c r="R294" s="2976"/>
      <c r="S294" s="2976"/>
      <c r="T294" s="2976"/>
      <c r="U294" s="2976"/>
      <c r="V294" s="2976"/>
      <c r="W294" s="2976"/>
      <c r="X294" s="2976"/>
      <c r="Y294" s="2976"/>
      <c r="Z294" s="2976"/>
      <c r="AA294" s="2976"/>
      <c r="AB294" s="2976"/>
      <c r="AC294" s="2976"/>
      <c r="AD294" s="2976"/>
      <c r="AE294" s="2976"/>
      <c r="AF294" s="2976"/>
    </row>
    <row r="295" spans="1:32">
      <c r="A295" s="2972">
        <v>294</v>
      </c>
      <c r="B295" s="2974" t="s">
        <v>3228</v>
      </c>
      <c r="C295" s="2973" t="s">
        <v>3212</v>
      </c>
      <c r="D295" s="2981" t="s">
        <v>3213</v>
      </c>
      <c r="E295" s="2974">
        <v>602</v>
      </c>
      <c r="F295" s="2974">
        <v>56.67</v>
      </c>
      <c r="G295" s="2979">
        <v>13.1</v>
      </c>
      <c r="H295" s="2979">
        <v>69.77</v>
      </c>
      <c r="I295" s="2979" t="s">
        <v>3055</v>
      </c>
      <c r="J295" s="2974" t="s">
        <v>3144</v>
      </c>
      <c r="L295" s="2976"/>
      <c r="M295" s="2976"/>
      <c r="N295" s="2976"/>
      <c r="O295" s="2976"/>
      <c r="P295" s="2976"/>
      <c r="Q295" s="2976"/>
      <c r="R295" s="2976"/>
      <c r="S295" s="2976"/>
      <c r="T295" s="2976"/>
      <c r="U295" s="2976"/>
      <c r="V295" s="2976"/>
      <c r="W295" s="2976"/>
      <c r="X295" s="2976"/>
      <c r="Y295" s="2976"/>
      <c r="Z295" s="2976"/>
      <c r="AA295" s="2976"/>
      <c r="AB295" s="2976"/>
      <c r="AC295" s="2976"/>
      <c r="AD295" s="2976"/>
      <c r="AE295" s="2976"/>
      <c r="AF295" s="2976"/>
    </row>
    <row r="296" spans="1:32">
      <c r="A296" s="2972">
        <v>295</v>
      </c>
      <c r="B296" s="2974" t="s">
        <v>3228</v>
      </c>
      <c r="C296" s="2973" t="s">
        <v>3212</v>
      </c>
      <c r="D296" s="2981" t="s">
        <v>3213</v>
      </c>
      <c r="E296" s="2974">
        <v>606</v>
      </c>
      <c r="F296" s="2974">
        <v>56.67</v>
      </c>
      <c r="G296" s="2979">
        <v>13.1</v>
      </c>
      <c r="H296" s="2979">
        <v>69.77</v>
      </c>
      <c r="I296" s="2979" t="s">
        <v>3055</v>
      </c>
      <c r="J296" s="2974" t="s">
        <v>3144</v>
      </c>
      <c r="L296" s="2976"/>
      <c r="M296" s="2976"/>
      <c r="N296" s="2976"/>
      <c r="O296" s="2976"/>
      <c r="P296" s="2976"/>
      <c r="Q296" s="2976"/>
      <c r="R296" s="2976"/>
      <c r="S296" s="2976"/>
      <c r="T296" s="2976"/>
      <c r="U296" s="2976"/>
      <c r="V296" s="2976"/>
      <c r="W296" s="2976"/>
      <c r="X296" s="2976"/>
      <c r="Y296" s="2976"/>
      <c r="Z296" s="2976"/>
      <c r="AA296" s="2976"/>
      <c r="AB296" s="2976"/>
      <c r="AC296" s="2976"/>
      <c r="AD296" s="2976"/>
      <c r="AE296" s="2976"/>
      <c r="AF296" s="2976"/>
    </row>
    <row r="297" spans="1:32">
      <c r="A297" s="2972">
        <v>296</v>
      </c>
      <c r="B297" s="2974" t="s">
        <v>3228</v>
      </c>
      <c r="C297" s="2973" t="s">
        <v>3212</v>
      </c>
      <c r="D297" s="2981" t="s">
        <v>3215</v>
      </c>
      <c r="E297" s="2974">
        <v>601</v>
      </c>
      <c r="F297" s="2974">
        <v>53.84</v>
      </c>
      <c r="G297" s="2979">
        <v>12.44</v>
      </c>
      <c r="H297" s="2979">
        <v>66.28</v>
      </c>
      <c r="I297" s="2979" t="s">
        <v>3055</v>
      </c>
      <c r="J297" s="2974" t="s">
        <v>3143</v>
      </c>
      <c r="L297" s="2976"/>
      <c r="M297" s="2976"/>
      <c r="N297" s="2976"/>
      <c r="O297" s="2976"/>
      <c r="P297" s="2976"/>
      <c r="Q297" s="2976"/>
      <c r="R297" s="2976"/>
      <c r="S297" s="2976"/>
      <c r="T297" s="2976"/>
      <c r="U297" s="2976"/>
      <c r="V297" s="2976"/>
      <c r="W297" s="2976"/>
      <c r="X297" s="2976"/>
      <c r="Y297" s="2976"/>
      <c r="Z297" s="2976"/>
      <c r="AA297" s="2976"/>
      <c r="AB297" s="2976"/>
      <c r="AC297" s="2976"/>
      <c r="AD297" s="2976"/>
      <c r="AE297" s="2976"/>
      <c r="AF297" s="2976"/>
    </row>
    <row r="298" spans="1:32">
      <c r="A298" s="2972">
        <v>297</v>
      </c>
      <c r="B298" s="2974" t="s">
        <v>3228</v>
      </c>
      <c r="C298" s="2973" t="s">
        <v>3212</v>
      </c>
      <c r="D298" s="2981" t="s">
        <v>3215</v>
      </c>
      <c r="E298" s="2974">
        <v>602</v>
      </c>
      <c r="F298" s="2974">
        <v>56.67</v>
      </c>
      <c r="G298" s="2979">
        <v>13.1</v>
      </c>
      <c r="H298" s="2979">
        <v>69.77</v>
      </c>
      <c r="I298" s="2979" t="s">
        <v>3055</v>
      </c>
      <c r="J298" s="2974" t="s">
        <v>3144</v>
      </c>
      <c r="L298" s="2976"/>
      <c r="M298" s="2976"/>
      <c r="N298" s="2976"/>
      <c r="O298" s="2976"/>
      <c r="P298" s="2976"/>
      <c r="Q298" s="2976"/>
      <c r="R298" s="2976"/>
      <c r="S298" s="2976"/>
      <c r="T298" s="2976"/>
      <c r="U298" s="2976"/>
      <c r="V298" s="2976"/>
      <c r="W298" s="2976"/>
      <c r="X298" s="2976"/>
      <c r="Y298" s="2976"/>
      <c r="Z298" s="2976"/>
      <c r="AA298" s="2976"/>
      <c r="AB298" s="2976"/>
      <c r="AC298" s="2976"/>
      <c r="AD298" s="2976"/>
      <c r="AE298" s="2976"/>
      <c r="AF298" s="2976"/>
    </row>
    <row r="299" spans="1:32">
      <c r="A299" s="2972">
        <v>298</v>
      </c>
      <c r="B299" s="2974" t="s">
        <v>3228</v>
      </c>
      <c r="C299" s="2973" t="s">
        <v>3212</v>
      </c>
      <c r="D299" s="2981" t="s">
        <v>3215</v>
      </c>
      <c r="E299" s="2974">
        <v>603</v>
      </c>
      <c r="F299" s="2974">
        <v>56.81</v>
      </c>
      <c r="G299" s="2979">
        <v>13.13</v>
      </c>
      <c r="H299" s="2979">
        <v>69.94</v>
      </c>
      <c r="I299" s="2979" t="s">
        <v>3055</v>
      </c>
      <c r="J299" s="2974" t="s">
        <v>3144</v>
      </c>
      <c r="L299" s="2976"/>
      <c r="M299" s="2976"/>
      <c r="N299" s="2976"/>
      <c r="O299" s="2976"/>
      <c r="P299" s="2976"/>
      <c r="Q299" s="2976"/>
      <c r="R299" s="2976"/>
      <c r="S299" s="2976"/>
      <c r="T299" s="2976"/>
      <c r="U299" s="2976"/>
      <c r="V299" s="2976"/>
      <c r="W299" s="2976"/>
      <c r="X299" s="2976"/>
      <c r="Y299" s="2976"/>
      <c r="Z299" s="2976"/>
      <c r="AA299" s="2976"/>
      <c r="AB299" s="2976"/>
      <c r="AC299" s="2976"/>
      <c r="AD299" s="2976"/>
      <c r="AE299" s="2976"/>
      <c r="AF299" s="2976"/>
    </row>
    <row r="300" spans="1:32">
      <c r="A300" s="2972">
        <v>299</v>
      </c>
      <c r="B300" s="2974" t="s">
        <v>3228</v>
      </c>
      <c r="C300" s="2973" t="s">
        <v>3212</v>
      </c>
      <c r="D300" s="2981" t="s">
        <v>3215</v>
      </c>
      <c r="E300" s="2974">
        <v>605</v>
      </c>
      <c r="F300" s="2974">
        <v>56.81</v>
      </c>
      <c r="G300" s="2979">
        <v>13.13</v>
      </c>
      <c r="H300" s="2979">
        <v>69.94</v>
      </c>
      <c r="I300" s="2979" t="s">
        <v>3055</v>
      </c>
      <c r="J300" s="2974" t="s">
        <v>3144</v>
      </c>
      <c r="L300" s="2976"/>
      <c r="M300" s="2976"/>
      <c r="N300" s="2976"/>
      <c r="O300" s="2976"/>
      <c r="P300" s="2976"/>
      <c r="Q300" s="2976"/>
      <c r="R300" s="2976"/>
      <c r="S300" s="2976"/>
      <c r="T300" s="2976"/>
      <c r="U300" s="2976"/>
      <c r="V300" s="2976"/>
      <c r="W300" s="2976"/>
      <c r="X300" s="2976"/>
      <c r="Y300" s="2976"/>
      <c r="Z300" s="2976"/>
      <c r="AA300" s="2976"/>
      <c r="AB300" s="2976"/>
      <c r="AC300" s="2976"/>
      <c r="AD300" s="2976"/>
      <c r="AE300" s="2976"/>
      <c r="AF300" s="2976"/>
    </row>
    <row r="301" spans="1:32">
      <c r="A301" s="2972">
        <v>300</v>
      </c>
      <c r="B301" s="2974" t="s">
        <v>3228</v>
      </c>
      <c r="C301" s="2973" t="s">
        <v>3212</v>
      </c>
      <c r="D301" s="2981" t="s">
        <v>3215</v>
      </c>
      <c r="E301" s="2974">
        <v>606</v>
      </c>
      <c r="F301" s="2974">
        <v>56.67</v>
      </c>
      <c r="G301" s="2979">
        <v>13.1</v>
      </c>
      <c r="H301" s="2979">
        <v>69.77</v>
      </c>
      <c r="I301" s="2979" t="s">
        <v>3055</v>
      </c>
      <c r="J301" s="2974" t="s">
        <v>3144</v>
      </c>
      <c r="L301" s="2976"/>
      <c r="M301" s="2976"/>
      <c r="N301" s="2976"/>
      <c r="O301" s="2976"/>
      <c r="P301" s="2976"/>
      <c r="Q301" s="2976"/>
      <c r="R301" s="2976"/>
      <c r="S301" s="2976"/>
      <c r="T301" s="2976"/>
      <c r="U301" s="2976"/>
      <c r="V301" s="2976"/>
      <c r="W301" s="2976"/>
      <c r="X301" s="2976"/>
      <c r="Y301" s="2976"/>
      <c r="Z301" s="2976"/>
      <c r="AA301" s="2976"/>
      <c r="AB301" s="2976"/>
      <c r="AC301" s="2976"/>
      <c r="AD301" s="2976"/>
      <c r="AE301" s="2976"/>
      <c r="AF301" s="2976"/>
    </row>
    <row r="302" spans="1:32">
      <c r="A302" s="2972">
        <v>301</v>
      </c>
      <c r="B302" s="2974" t="s">
        <v>3229</v>
      </c>
      <c r="C302" s="2973" t="s">
        <v>3207</v>
      </c>
      <c r="D302" s="2981" t="s">
        <v>3213</v>
      </c>
      <c r="E302" s="2974">
        <v>101</v>
      </c>
      <c r="F302" s="2980">
        <v>53.82</v>
      </c>
      <c r="G302" s="2979">
        <v>12.25</v>
      </c>
      <c r="H302" s="2979">
        <v>66.069999999999993</v>
      </c>
      <c r="I302" s="2979" t="s">
        <v>3055</v>
      </c>
      <c r="J302" s="2974" t="s">
        <v>3143</v>
      </c>
      <c r="L302" s="2976"/>
      <c r="M302" s="2976"/>
      <c r="N302" s="2976"/>
      <c r="O302" s="2976"/>
      <c r="P302" s="2976"/>
      <c r="Q302" s="2976"/>
      <c r="R302" s="2976"/>
      <c r="S302" s="2976"/>
      <c r="T302" s="2976"/>
      <c r="U302" s="2976"/>
      <c r="V302" s="2976"/>
      <c r="W302" s="2976"/>
      <c r="X302" s="2976"/>
      <c r="Y302" s="2976"/>
      <c r="Z302" s="2976"/>
      <c r="AA302" s="2976"/>
      <c r="AB302" s="2976"/>
      <c r="AC302" s="2976"/>
      <c r="AD302" s="2976"/>
      <c r="AE302" s="2976"/>
      <c r="AF302" s="2976"/>
    </row>
    <row r="303" spans="1:32">
      <c r="A303" s="2972">
        <v>302</v>
      </c>
      <c r="B303" s="2974" t="s">
        <v>3229</v>
      </c>
      <c r="C303" s="2973" t="s">
        <v>3207</v>
      </c>
      <c r="D303" s="2981" t="s">
        <v>3213</v>
      </c>
      <c r="E303" s="2974">
        <v>102</v>
      </c>
      <c r="F303" s="2980">
        <v>56.66</v>
      </c>
      <c r="G303" s="2979">
        <v>12.9</v>
      </c>
      <c r="H303" s="2979">
        <v>69.56</v>
      </c>
      <c r="I303" s="2979" t="s">
        <v>3055</v>
      </c>
      <c r="J303" s="2974" t="s">
        <v>3144</v>
      </c>
      <c r="L303" s="2976"/>
      <c r="M303" s="2976"/>
      <c r="N303" s="2976"/>
      <c r="O303" s="2976"/>
      <c r="P303" s="2976"/>
      <c r="Q303" s="2976"/>
      <c r="R303" s="2976"/>
      <c r="S303" s="2976"/>
      <c r="T303" s="2976"/>
      <c r="U303" s="2976"/>
      <c r="V303" s="2976"/>
      <c r="W303" s="2976"/>
      <c r="X303" s="2976"/>
      <c r="Y303" s="2976"/>
      <c r="Z303" s="2976"/>
      <c r="AA303" s="2976"/>
      <c r="AB303" s="2976"/>
      <c r="AC303" s="2976"/>
      <c r="AD303" s="2976"/>
      <c r="AE303" s="2976"/>
      <c r="AF303" s="2976"/>
    </row>
    <row r="304" spans="1:32">
      <c r="A304" s="2972">
        <v>303</v>
      </c>
      <c r="B304" s="2974" t="s">
        <v>3229</v>
      </c>
      <c r="C304" s="2973" t="s">
        <v>3207</v>
      </c>
      <c r="D304" s="2981" t="s">
        <v>3213</v>
      </c>
      <c r="E304" s="2974">
        <v>103</v>
      </c>
      <c r="F304" s="2980">
        <v>56.79</v>
      </c>
      <c r="G304" s="2979">
        <v>12.93</v>
      </c>
      <c r="H304" s="2979">
        <v>69.72</v>
      </c>
      <c r="I304" s="2979" t="s">
        <v>3055</v>
      </c>
      <c r="J304" s="2974" t="s">
        <v>3144</v>
      </c>
      <c r="L304" s="2976"/>
      <c r="M304" s="2976"/>
      <c r="N304" s="2976"/>
      <c r="O304" s="2976"/>
      <c r="P304" s="2976"/>
      <c r="Q304" s="2976"/>
      <c r="R304" s="2976"/>
      <c r="S304" s="2976"/>
      <c r="T304" s="2976"/>
      <c r="U304" s="2976"/>
      <c r="V304" s="2976"/>
      <c r="W304" s="2976"/>
      <c r="X304" s="2976"/>
      <c r="Y304" s="2976"/>
      <c r="Z304" s="2976"/>
      <c r="AA304" s="2976"/>
      <c r="AB304" s="2976"/>
      <c r="AC304" s="2976"/>
      <c r="AD304" s="2976"/>
      <c r="AE304" s="2976"/>
      <c r="AF304" s="2976"/>
    </row>
    <row r="305" spans="1:32">
      <c r="A305" s="2972">
        <v>304</v>
      </c>
      <c r="B305" s="2974" t="s">
        <v>3229</v>
      </c>
      <c r="C305" s="2973" t="s">
        <v>3207</v>
      </c>
      <c r="D305" s="2981" t="s">
        <v>3213</v>
      </c>
      <c r="E305" s="2974">
        <v>105</v>
      </c>
      <c r="F305" s="2980">
        <v>56.66</v>
      </c>
      <c r="G305" s="2979">
        <v>12.9</v>
      </c>
      <c r="H305" s="2979">
        <v>69.56</v>
      </c>
      <c r="I305" s="2979" t="s">
        <v>3055</v>
      </c>
      <c r="J305" s="2974" t="s">
        <v>3144</v>
      </c>
      <c r="L305" s="2976"/>
      <c r="M305" s="2976"/>
      <c r="N305" s="2976"/>
      <c r="O305" s="2976"/>
      <c r="P305" s="2976"/>
      <c r="Q305" s="2976"/>
      <c r="R305" s="2976"/>
      <c r="S305" s="2976"/>
      <c r="T305" s="2976"/>
      <c r="U305" s="2976"/>
      <c r="V305" s="2976"/>
      <c r="W305" s="2976"/>
      <c r="X305" s="2976"/>
      <c r="Y305" s="2976"/>
      <c r="Z305" s="2976"/>
      <c r="AA305" s="2976"/>
      <c r="AB305" s="2976"/>
      <c r="AC305" s="2976"/>
      <c r="AD305" s="2976"/>
      <c r="AE305" s="2976"/>
      <c r="AF305" s="2976"/>
    </row>
    <row r="306" spans="1:32">
      <c r="A306" s="2972">
        <v>305</v>
      </c>
      <c r="B306" s="2974" t="s">
        <v>3229</v>
      </c>
      <c r="C306" s="2973" t="s">
        <v>3207</v>
      </c>
      <c r="D306" s="2981" t="s">
        <v>3213</v>
      </c>
      <c r="E306" s="2974">
        <v>106</v>
      </c>
      <c r="F306" s="2980">
        <v>77.17</v>
      </c>
      <c r="G306" s="2979">
        <v>17.57</v>
      </c>
      <c r="H306" s="2979">
        <v>94.740000000000009</v>
      </c>
      <c r="I306" s="2979" t="s">
        <v>3055</v>
      </c>
      <c r="J306" s="2974" t="s">
        <v>3144</v>
      </c>
      <c r="L306" s="2976"/>
      <c r="M306" s="2976"/>
      <c r="N306" s="2976"/>
      <c r="O306" s="2976"/>
      <c r="P306" s="2976"/>
      <c r="Q306" s="2976"/>
      <c r="R306" s="2976"/>
      <c r="S306" s="2976"/>
      <c r="T306" s="2976"/>
      <c r="U306" s="2976"/>
      <c r="V306" s="2976"/>
      <c r="W306" s="2976"/>
      <c r="X306" s="2976"/>
      <c r="Y306" s="2976"/>
      <c r="Z306" s="2976"/>
      <c r="AA306" s="2976"/>
      <c r="AB306" s="2976"/>
      <c r="AC306" s="2976"/>
      <c r="AD306" s="2976"/>
      <c r="AE306" s="2976"/>
      <c r="AF306" s="2976"/>
    </row>
    <row r="307" spans="1:32">
      <c r="A307" s="2972">
        <v>306</v>
      </c>
      <c r="B307" s="2974" t="s">
        <v>3229</v>
      </c>
      <c r="C307" s="2973" t="s">
        <v>3207</v>
      </c>
      <c r="D307" s="2981" t="s">
        <v>3215</v>
      </c>
      <c r="E307" s="2974">
        <v>101</v>
      </c>
      <c r="F307" s="2980">
        <v>77.17</v>
      </c>
      <c r="G307" s="2979">
        <v>17.57</v>
      </c>
      <c r="H307" s="2979">
        <v>94.740000000000009</v>
      </c>
      <c r="I307" s="2979" t="s">
        <v>3055</v>
      </c>
      <c r="J307" s="2974" t="s">
        <v>3144</v>
      </c>
      <c r="L307" s="2976"/>
      <c r="M307" s="2976"/>
      <c r="N307" s="2976"/>
      <c r="O307" s="2976"/>
      <c r="P307" s="2976"/>
      <c r="Q307" s="2976"/>
      <c r="R307" s="2976"/>
      <c r="S307" s="2976"/>
      <c r="T307" s="2976"/>
      <c r="U307" s="2976"/>
      <c r="V307" s="2976"/>
      <c r="W307" s="2976"/>
      <c r="X307" s="2976"/>
      <c r="Y307" s="2976"/>
      <c r="Z307" s="2976"/>
      <c r="AA307" s="2976"/>
      <c r="AB307" s="2976"/>
      <c r="AC307" s="2976"/>
      <c r="AD307" s="2976"/>
      <c r="AE307" s="2976"/>
      <c r="AF307" s="2976"/>
    </row>
    <row r="308" spans="1:32">
      <c r="A308" s="2972">
        <v>307</v>
      </c>
      <c r="B308" s="2974" t="s">
        <v>3229</v>
      </c>
      <c r="C308" s="2973" t="s">
        <v>3207</v>
      </c>
      <c r="D308" s="2981" t="s">
        <v>3215</v>
      </c>
      <c r="E308" s="2974">
        <v>102</v>
      </c>
      <c r="F308" s="2980">
        <v>56.66</v>
      </c>
      <c r="G308" s="2979">
        <v>12.9</v>
      </c>
      <c r="H308" s="2979">
        <v>69.56</v>
      </c>
      <c r="I308" s="2979" t="s">
        <v>3055</v>
      </c>
      <c r="J308" s="2974" t="s">
        <v>3144</v>
      </c>
      <c r="L308" s="2976"/>
      <c r="M308" s="2976"/>
      <c r="N308" s="2976"/>
      <c r="O308" s="2976"/>
      <c r="P308" s="2976"/>
      <c r="Q308" s="2976"/>
      <c r="R308" s="2976"/>
      <c r="S308" s="2976"/>
      <c r="T308" s="2976"/>
      <c r="U308" s="2976"/>
      <c r="V308" s="2976"/>
      <c r="W308" s="2976"/>
      <c r="X308" s="2976"/>
      <c r="Y308" s="2976"/>
      <c r="Z308" s="2976"/>
      <c r="AA308" s="2976"/>
      <c r="AB308" s="2976"/>
      <c r="AC308" s="2976"/>
      <c r="AD308" s="2976"/>
      <c r="AE308" s="2976"/>
      <c r="AF308" s="2976"/>
    </row>
    <row r="309" spans="1:32">
      <c r="A309" s="2972">
        <v>308</v>
      </c>
      <c r="B309" s="2974" t="s">
        <v>3229</v>
      </c>
      <c r="C309" s="2973" t="s">
        <v>3207</v>
      </c>
      <c r="D309" s="2981" t="s">
        <v>3215</v>
      </c>
      <c r="E309" s="2974">
        <v>103</v>
      </c>
      <c r="F309" s="2980">
        <v>56.79</v>
      </c>
      <c r="G309" s="2979">
        <v>12.93</v>
      </c>
      <c r="H309" s="2979">
        <v>69.72</v>
      </c>
      <c r="I309" s="2979" t="s">
        <v>3055</v>
      </c>
      <c r="J309" s="2974" t="s">
        <v>3144</v>
      </c>
      <c r="L309" s="2976"/>
      <c r="M309" s="2976"/>
      <c r="N309" s="2976"/>
      <c r="O309" s="2976"/>
      <c r="P309" s="2976"/>
      <c r="Q309" s="2976"/>
      <c r="R309" s="2976"/>
      <c r="S309" s="2976"/>
      <c r="T309" s="2976"/>
      <c r="U309" s="2976"/>
      <c r="V309" s="2976"/>
      <c r="W309" s="2976"/>
      <c r="X309" s="2976"/>
      <c r="Y309" s="2976"/>
      <c r="Z309" s="2976"/>
      <c r="AA309" s="2976"/>
      <c r="AB309" s="2976"/>
      <c r="AC309" s="2976"/>
      <c r="AD309" s="2976"/>
      <c r="AE309" s="2976"/>
      <c r="AF309" s="2976"/>
    </row>
    <row r="310" spans="1:32">
      <c r="A310" s="2972">
        <v>309</v>
      </c>
      <c r="B310" s="2974" t="s">
        <v>3229</v>
      </c>
      <c r="C310" s="2973" t="s">
        <v>3207</v>
      </c>
      <c r="D310" s="2981" t="s">
        <v>3215</v>
      </c>
      <c r="E310" s="2974">
        <v>105</v>
      </c>
      <c r="F310" s="2980">
        <v>56.66</v>
      </c>
      <c r="G310" s="2979">
        <v>12.9</v>
      </c>
      <c r="H310" s="2979">
        <v>69.56</v>
      </c>
      <c r="I310" s="2979" t="s">
        <v>3055</v>
      </c>
      <c r="J310" s="2974" t="s">
        <v>3144</v>
      </c>
      <c r="L310" s="2976"/>
      <c r="M310" s="2976"/>
      <c r="N310" s="2976"/>
      <c r="O310" s="2976"/>
      <c r="P310" s="2976"/>
      <c r="Q310" s="2976"/>
      <c r="R310" s="2976"/>
      <c r="S310" s="2976"/>
      <c r="T310" s="2976"/>
      <c r="U310" s="2976"/>
      <c r="V310" s="2976"/>
      <c r="W310" s="2976"/>
      <c r="X310" s="2976"/>
      <c r="Y310" s="2976"/>
      <c r="Z310" s="2976"/>
      <c r="AA310" s="2976"/>
      <c r="AB310" s="2976"/>
      <c r="AC310" s="2976"/>
      <c r="AD310" s="2976"/>
      <c r="AE310" s="2976"/>
      <c r="AF310" s="2976"/>
    </row>
    <row r="311" spans="1:32">
      <c r="A311" s="2972">
        <v>310</v>
      </c>
      <c r="B311" s="2974" t="s">
        <v>3229</v>
      </c>
      <c r="C311" s="2973" t="s">
        <v>3207</v>
      </c>
      <c r="D311" s="2981" t="s">
        <v>3215</v>
      </c>
      <c r="E311" s="2974">
        <v>106</v>
      </c>
      <c r="F311" s="2980">
        <v>53.82</v>
      </c>
      <c r="G311" s="2979">
        <v>12.25</v>
      </c>
      <c r="H311" s="2979">
        <v>66.069999999999993</v>
      </c>
      <c r="I311" s="2979" t="s">
        <v>3055</v>
      </c>
      <c r="J311" s="2974" t="s">
        <v>3143</v>
      </c>
      <c r="L311" s="2976"/>
      <c r="M311" s="2976"/>
      <c r="N311" s="2976"/>
      <c r="O311" s="2976"/>
      <c r="P311" s="2976"/>
      <c r="Q311" s="2976"/>
      <c r="R311" s="2976"/>
      <c r="S311" s="2976"/>
      <c r="T311" s="2976"/>
      <c r="U311" s="2976"/>
      <c r="V311" s="2976"/>
      <c r="W311" s="2976"/>
      <c r="X311" s="2976"/>
      <c r="Y311" s="2976"/>
      <c r="Z311" s="2976"/>
      <c r="AA311" s="2976"/>
      <c r="AB311" s="2976"/>
      <c r="AC311" s="2976"/>
      <c r="AD311" s="2976"/>
      <c r="AE311" s="2976"/>
      <c r="AF311" s="2976"/>
    </row>
    <row r="312" spans="1:32">
      <c r="A312" s="2972">
        <v>311</v>
      </c>
      <c r="B312" s="2974" t="s">
        <v>3229</v>
      </c>
      <c r="C312" s="2973" t="s">
        <v>3208</v>
      </c>
      <c r="D312" s="2981" t="s">
        <v>3213</v>
      </c>
      <c r="E312" s="2974">
        <v>201</v>
      </c>
      <c r="F312" s="2980">
        <v>53.82</v>
      </c>
      <c r="G312" s="2979">
        <v>12.25</v>
      </c>
      <c r="H312" s="2979">
        <v>66.069999999999993</v>
      </c>
      <c r="I312" s="2979" t="s">
        <v>3055</v>
      </c>
      <c r="J312" s="2974" t="s">
        <v>3143</v>
      </c>
      <c r="L312" s="2976"/>
      <c r="M312" s="2976"/>
      <c r="N312" s="2976"/>
      <c r="O312" s="2976"/>
      <c r="P312" s="2976"/>
      <c r="Q312" s="2976"/>
      <c r="R312" s="2976"/>
      <c r="S312" s="2976"/>
      <c r="T312" s="2976"/>
      <c r="U312" s="2976"/>
      <c r="V312" s="2976"/>
      <c r="W312" s="2976"/>
      <c r="X312" s="2976"/>
      <c r="Y312" s="2976"/>
      <c r="Z312" s="2976"/>
      <c r="AA312" s="2976"/>
      <c r="AB312" s="2976"/>
      <c r="AC312" s="2976"/>
      <c r="AD312" s="2976"/>
      <c r="AE312" s="2976"/>
      <c r="AF312" s="2976"/>
    </row>
    <row r="313" spans="1:32">
      <c r="A313" s="2972">
        <v>312</v>
      </c>
      <c r="B313" s="2974" t="s">
        <v>3229</v>
      </c>
      <c r="C313" s="2973" t="s">
        <v>3208</v>
      </c>
      <c r="D313" s="2981" t="s">
        <v>3213</v>
      </c>
      <c r="E313" s="2974">
        <v>203</v>
      </c>
      <c r="F313" s="2980">
        <v>56.81</v>
      </c>
      <c r="G313" s="2979">
        <v>12.94</v>
      </c>
      <c r="H313" s="2979">
        <v>69.75</v>
      </c>
      <c r="I313" s="2979" t="s">
        <v>3055</v>
      </c>
      <c r="J313" s="2974" t="s">
        <v>3144</v>
      </c>
      <c r="L313" s="2976"/>
      <c r="M313" s="2976"/>
      <c r="N313" s="2976"/>
      <c r="O313" s="2976"/>
      <c r="P313" s="2976"/>
      <c r="Q313" s="2976"/>
      <c r="R313" s="2976"/>
      <c r="S313" s="2976"/>
      <c r="T313" s="2976"/>
      <c r="U313" s="2976"/>
      <c r="V313" s="2976"/>
      <c r="W313" s="2976"/>
      <c r="X313" s="2976"/>
      <c r="Y313" s="2976"/>
      <c r="Z313" s="2976"/>
      <c r="AA313" s="2976"/>
      <c r="AB313" s="2976"/>
      <c r="AC313" s="2976"/>
      <c r="AD313" s="2976"/>
      <c r="AE313" s="2976"/>
      <c r="AF313" s="2976"/>
    </row>
    <row r="314" spans="1:32">
      <c r="A314" s="2972">
        <v>313</v>
      </c>
      <c r="B314" s="2974" t="s">
        <v>3229</v>
      </c>
      <c r="C314" s="2973" t="s">
        <v>3208</v>
      </c>
      <c r="D314" s="2981" t="s">
        <v>3213</v>
      </c>
      <c r="E314" s="2974">
        <v>205</v>
      </c>
      <c r="F314" s="2980">
        <v>56.81</v>
      </c>
      <c r="G314" s="2979">
        <v>12.94</v>
      </c>
      <c r="H314" s="2979">
        <v>69.75</v>
      </c>
      <c r="I314" s="2979" t="s">
        <v>3055</v>
      </c>
      <c r="J314" s="2974" t="s">
        <v>3144</v>
      </c>
      <c r="L314" s="2976"/>
      <c r="M314" s="2976"/>
      <c r="N314" s="2976"/>
      <c r="O314" s="2976"/>
      <c r="P314" s="2976"/>
      <c r="Q314" s="2976"/>
      <c r="R314" s="2976"/>
      <c r="S314" s="2976"/>
      <c r="T314" s="2976"/>
      <c r="U314" s="2976"/>
      <c r="V314" s="2976"/>
      <c r="W314" s="2976"/>
      <c r="X314" s="2976"/>
      <c r="Y314" s="2976"/>
      <c r="Z314" s="2976"/>
      <c r="AA314" s="2976"/>
      <c r="AB314" s="2976"/>
      <c r="AC314" s="2976"/>
      <c r="AD314" s="2976"/>
      <c r="AE314" s="2976"/>
      <c r="AF314" s="2976"/>
    </row>
    <row r="315" spans="1:32">
      <c r="A315" s="2972">
        <v>314</v>
      </c>
      <c r="B315" s="2974" t="s">
        <v>3229</v>
      </c>
      <c r="C315" s="2973" t="s">
        <v>3208</v>
      </c>
      <c r="D315" s="2981" t="s">
        <v>3213</v>
      </c>
      <c r="E315" s="2974">
        <v>207</v>
      </c>
      <c r="F315" s="2980">
        <v>77.17</v>
      </c>
      <c r="G315" s="2979">
        <v>17.57</v>
      </c>
      <c r="H315" s="2979">
        <v>94.740000000000009</v>
      </c>
      <c r="I315" s="2979" t="s">
        <v>3055</v>
      </c>
      <c r="J315" s="2974" t="s">
        <v>3144</v>
      </c>
      <c r="L315" s="2976"/>
      <c r="M315" s="2976"/>
      <c r="N315" s="2976"/>
      <c r="O315" s="2976"/>
      <c r="P315" s="2976"/>
      <c r="Q315" s="2976"/>
      <c r="R315" s="2976"/>
      <c r="S315" s="2976"/>
      <c r="T315" s="2976"/>
      <c r="U315" s="2976"/>
      <c r="V315" s="2976"/>
      <c r="W315" s="2976"/>
      <c r="X315" s="2976"/>
      <c r="Y315" s="2976"/>
      <c r="Z315" s="2976"/>
      <c r="AA315" s="2976"/>
      <c r="AB315" s="2976"/>
      <c r="AC315" s="2976"/>
      <c r="AD315" s="2976"/>
      <c r="AE315" s="2976"/>
      <c r="AF315" s="2976"/>
    </row>
    <row r="316" spans="1:32">
      <c r="A316" s="2972">
        <v>315</v>
      </c>
      <c r="B316" s="2974" t="s">
        <v>3229</v>
      </c>
      <c r="C316" s="2973" t="s">
        <v>3208</v>
      </c>
      <c r="D316" s="2981" t="s">
        <v>3215</v>
      </c>
      <c r="E316" s="2974">
        <v>203</v>
      </c>
      <c r="F316" s="2980">
        <v>56.81</v>
      </c>
      <c r="G316" s="2979">
        <v>12.94</v>
      </c>
      <c r="H316" s="2979">
        <v>69.75</v>
      </c>
      <c r="I316" s="2979" t="s">
        <v>3055</v>
      </c>
      <c r="J316" s="2974" t="s">
        <v>3144</v>
      </c>
      <c r="L316" s="2976"/>
      <c r="M316" s="2976"/>
      <c r="N316" s="2976"/>
      <c r="O316" s="2976"/>
      <c r="P316" s="2976"/>
      <c r="Q316" s="2976"/>
      <c r="R316" s="2976"/>
      <c r="S316" s="2976"/>
      <c r="T316" s="2976"/>
      <c r="U316" s="2976"/>
      <c r="V316" s="2976"/>
      <c r="W316" s="2976"/>
      <c r="X316" s="2976"/>
      <c r="Y316" s="2976"/>
      <c r="Z316" s="2976"/>
      <c r="AA316" s="2976"/>
      <c r="AB316" s="2976"/>
      <c r="AC316" s="2976"/>
      <c r="AD316" s="2976"/>
      <c r="AE316" s="2976"/>
      <c r="AF316" s="2976"/>
    </row>
    <row r="317" spans="1:32">
      <c r="A317" s="2972">
        <v>316</v>
      </c>
      <c r="B317" s="2974" t="s">
        <v>3229</v>
      </c>
      <c r="C317" s="2973" t="s">
        <v>3208</v>
      </c>
      <c r="D317" s="2981" t="s">
        <v>3215</v>
      </c>
      <c r="E317" s="2974">
        <v>207</v>
      </c>
      <c r="F317" s="2980">
        <v>53.82</v>
      </c>
      <c r="G317" s="2979">
        <v>12.25</v>
      </c>
      <c r="H317" s="2979">
        <v>66.069999999999993</v>
      </c>
      <c r="I317" s="2979" t="s">
        <v>3055</v>
      </c>
      <c r="J317" s="2974" t="s">
        <v>3143</v>
      </c>
      <c r="L317" s="2976"/>
      <c r="M317" s="2976"/>
      <c r="N317" s="2976"/>
      <c r="O317" s="2976"/>
      <c r="P317" s="2976"/>
      <c r="Q317" s="2976"/>
      <c r="R317" s="2976"/>
      <c r="S317" s="2976"/>
      <c r="T317" s="2976"/>
      <c r="U317" s="2976"/>
      <c r="V317" s="2976"/>
      <c r="W317" s="2976"/>
      <c r="X317" s="2976"/>
      <c r="Y317" s="2976"/>
      <c r="Z317" s="2976"/>
      <c r="AA317" s="2976"/>
      <c r="AB317" s="2976"/>
      <c r="AC317" s="2976"/>
      <c r="AD317" s="2976"/>
      <c r="AE317" s="2976"/>
      <c r="AF317" s="2976"/>
    </row>
    <row r="318" spans="1:32">
      <c r="A318" s="2972">
        <v>317</v>
      </c>
      <c r="B318" s="2974" t="s">
        <v>3229</v>
      </c>
      <c r="C318" s="2973" t="s">
        <v>3209</v>
      </c>
      <c r="D318" s="2981" t="s">
        <v>3213</v>
      </c>
      <c r="E318" s="2974">
        <v>303</v>
      </c>
      <c r="F318" s="2980">
        <v>56.81</v>
      </c>
      <c r="G318" s="2979">
        <v>12.94</v>
      </c>
      <c r="H318" s="2979">
        <v>69.75</v>
      </c>
      <c r="I318" s="2979" t="s">
        <v>3055</v>
      </c>
      <c r="J318" s="2974" t="s">
        <v>3144</v>
      </c>
      <c r="L318" s="2976"/>
      <c r="M318" s="2976"/>
      <c r="N318" s="2976"/>
      <c r="O318" s="2976"/>
      <c r="P318" s="2976"/>
      <c r="Q318" s="2976"/>
      <c r="R318" s="2976"/>
      <c r="S318" s="2976"/>
      <c r="T318" s="2976"/>
      <c r="U318" s="2976"/>
      <c r="V318" s="2976"/>
      <c r="W318" s="2976"/>
      <c r="X318" s="2976"/>
      <c r="Y318" s="2976"/>
      <c r="Z318" s="2976"/>
      <c r="AA318" s="2976"/>
      <c r="AB318" s="2976"/>
      <c r="AC318" s="2976"/>
      <c r="AD318" s="2976"/>
      <c r="AE318" s="2976"/>
      <c r="AF318" s="2976"/>
    </row>
    <row r="319" spans="1:32">
      <c r="A319" s="2972">
        <v>318</v>
      </c>
      <c r="B319" s="2974" t="s">
        <v>3229</v>
      </c>
      <c r="C319" s="2973" t="s">
        <v>3209</v>
      </c>
      <c r="D319" s="2981" t="s">
        <v>3213</v>
      </c>
      <c r="E319" s="2974">
        <v>305</v>
      </c>
      <c r="F319" s="2980">
        <v>56.81</v>
      </c>
      <c r="G319" s="2979">
        <v>12.94</v>
      </c>
      <c r="H319" s="2979">
        <v>69.75</v>
      </c>
      <c r="I319" s="2979" t="s">
        <v>3055</v>
      </c>
      <c r="J319" s="2974" t="s">
        <v>3144</v>
      </c>
      <c r="L319" s="2976"/>
      <c r="M319" s="2976"/>
      <c r="N319" s="2976"/>
      <c r="O319" s="2976"/>
      <c r="P319" s="2976"/>
      <c r="Q319" s="2976"/>
      <c r="R319" s="2976"/>
      <c r="S319" s="2976"/>
      <c r="T319" s="2976"/>
      <c r="U319" s="2976"/>
      <c r="V319" s="2976"/>
      <c r="W319" s="2976"/>
      <c r="X319" s="2976"/>
      <c r="Y319" s="2976"/>
      <c r="Z319" s="2976"/>
      <c r="AA319" s="2976"/>
      <c r="AB319" s="2976"/>
      <c r="AC319" s="2976"/>
      <c r="AD319" s="2976"/>
      <c r="AE319" s="2976"/>
      <c r="AF319" s="2976"/>
    </row>
    <row r="320" spans="1:32">
      <c r="A320" s="2972">
        <v>319</v>
      </c>
      <c r="B320" s="2974" t="s">
        <v>3229</v>
      </c>
      <c r="C320" s="2973" t="s">
        <v>3209</v>
      </c>
      <c r="D320" s="2981" t="s">
        <v>3213</v>
      </c>
      <c r="E320" s="2974">
        <v>306</v>
      </c>
      <c r="F320" s="2980">
        <v>56.66</v>
      </c>
      <c r="G320" s="2979">
        <v>12.9</v>
      </c>
      <c r="H320" s="2979">
        <v>69.56</v>
      </c>
      <c r="I320" s="2979" t="s">
        <v>3055</v>
      </c>
      <c r="J320" s="2974" t="s">
        <v>3144</v>
      </c>
      <c r="L320" s="2976"/>
      <c r="M320" s="2976"/>
      <c r="N320" s="2976"/>
      <c r="O320" s="2976"/>
      <c r="P320" s="2976"/>
      <c r="Q320" s="2976"/>
      <c r="R320" s="2976"/>
      <c r="S320" s="2976"/>
      <c r="T320" s="2976"/>
      <c r="U320" s="2976"/>
      <c r="V320" s="2976"/>
      <c r="W320" s="2976"/>
      <c r="X320" s="2976"/>
      <c r="Y320" s="2976"/>
      <c r="Z320" s="2976"/>
      <c r="AA320" s="2976"/>
      <c r="AB320" s="2976"/>
      <c r="AC320" s="2976"/>
      <c r="AD320" s="2976"/>
      <c r="AE320" s="2976"/>
      <c r="AF320" s="2976"/>
    </row>
    <row r="321" spans="1:32">
      <c r="A321" s="2972">
        <v>320</v>
      </c>
      <c r="B321" s="2974" t="s">
        <v>3229</v>
      </c>
      <c r="C321" s="2973" t="s">
        <v>3209</v>
      </c>
      <c r="D321" s="2981" t="s">
        <v>3215</v>
      </c>
      <c r="E321" s="2974">
        <v>303</v>
      </c>
      <c r="F321" s="2980">
        <v>56.81</v>
      </c>
      <c r="G321" s="2979">
        <v>12.94</v>
      </c>
      <c r="H321" s="2979">
        <v>69.75</v>
      </c>
      <c r="I321" s="2979" t="s">
        <v>3055</v>
      </c>
      <c r="J321" s="2974" t="s">
        <v>3144</v>
      </c>
      <c r="L321" s="2976"/>
      <c r="M321" s="2976"/>
      <c r="N321" s="2976"/>
      <c r="O321" s="2976"/>
      <c r="P321" s="2976"/>
      <c r="Q321" s="2976"/>
      <c r="R321" s="2976"/>
      <c r="S321" s="2976"/>
      <c r="T321" s="2976"/>
      <c r="U321" s="2976"/>
      <c r="V321" s="2976"/>
      <c r="W321" s="2976"/>
      <c r="X321" s="2976"/>
      <c r="Y321" s="2976"/>
      <c r="Z321" s="2976"/>
      <c r="AA321" s="2976"/>
      <c r="AB321" s="2976"/>
      <c r="AC321" s="2976"/>
      <c r="AD321" s="2976"/>
      <c r="AE321" s="2976"/>
      <c r="AF321" s="2976"/>
    </row>
    <row r="322" spans="1:32">
      <c r="A322" s="2972">
        <v>321</v>
      </c>
      <c r="B322" s="2974" t="s">
        <v>3229</v>
      </c>
      <c r="C322" s="2973" t="s">
        <v>3209</v>
      </c>
      <c r="D322" s="2981" t="s">
        <v>3215</v>
      </c>
      <c r="E322" s="2974">
        <v>307</v>
      </c>
      <c r="F322" s="2980">
        <v>53.82</v>
      </c>
      <c r="G322" s="2979">
        <v>12.25</v>
      </c>
      <c r="H322" s="2979">
        <v>66.069999999999993</v>
      </c>
      <c r="I322" s="2979" t="s">
        <v>3055</v>
      </c>
      <c r="J322" s="2974" t="s">
        <v>3143</v>
      </c>
      <c r="L322" s="2976"/>
      <c r="M322" s="2976"/>
      <c r="N322" s="2976"/>
      <c r="O322" s="2976"/>
      <c r="P322" s="2976"/>
      <c r="Q322" s="2976"/>
      <c r="R322" s="2976"/>
      <c r="S322" s="2976"/>
      <c r="T322" s="2976"/>
      <c r="U322" s="2976"/>
      <c r="V322" s="2976"/>
      <c r="W322" s="2976"/>
      <c r="X322" s="2976"/>
      <c r="Y322" s="2976"/>
      <c r="Z322" s="2976"/>
      <c r="AA322" s="2976"/>
      <c r="AB322" s="2976"/>
      <c r="AC322" s="2976"/>
      <c r="AD322" s="2976"/>
      <c r="AE322" s="2976"/>
      <c r="AF322" s="2976"/>
    </row>
    <row r="323" spans="1:32">
      <c r="A323" s="2972">
        <v>322</v>
      </c>
      <c r="B323" s="2974" t="s">
        <v>3229</v>
      </c>
      <c r="C323" s="2973" t="s">
        <v>3210</v>
      </c>
      <c r="D323" s="2981" t="s">
        <v>3213</v>
      </c>
      <c r="E323" s="2974" t="s">
        <v>3148</v>
      </c>
      <c r="F323" s="2980">
        <v>56.81</v>
      </c>
      <c r="G323" s="2979">
        <v>12.94</v>
      </c>
      <c r="H323" s="2979">
        <v>69.75</v>
      </c>
      <c r="I323" s="2979" t="s">
        <v>3055</v>
      </c>
      <c r="J323" s="2974" t="s">
        <v>3144</v>
      </c>
      <c r="L323" s="2976"/>
      <c r="M323" s="2976"/>
      <c r="N323" s="2976"/>
      <c r="O323" s="2976"/>
      <c r="P323" s="2976"/>
      <c r="Q323" s="2976"/>
      <c r="R323" s="2976"/>
      <c r="S323" s="2976"/>
      <c r="T323" s="2976"/>
      <c r="U323" s="2976"/>
      <c r="V323" s="2976"/>
      <c r="W323" s="2976"/>
      <c r="X323" s="2976"/>
      <c r="Y323" s="2976"/>
      <c r="Z323" s="2976"/>
      <c r="AA323" s="2976"/>
      <c r="AB323" s="2976"/>
      <c r="AC323" s="2976"/>
      <c r="AD323" s="2976"/>
      <c r="AE323" s="2976"/>
      <c r="AF323" s="2976"/>
    </row>
    <row r="324" spans="1:32">
      <c r="A324" s="2972">
        <v>323</v>
      </c>
      <c r="B324" s="2974" t="s">
        <v>3229</v>
      </c>
      <c r="C324" s="2973" t="s">
        <v>3210</v>
      </c>
      <c r="D324" s="2981" t="s">
        <v>3213</v>
      </c>
      <c r="E324" s="2974" t="s">
        <v>3150</v>
      </c>
      <c r="F324" s="2980">
        <v>77.17</v>
      </c>
      <c r="G324" s="2979">
        <v>17.57</v>
      </c>
      <c r="H324" s="2979">
        <v>94.740000000000009</v>
      </c>
      <c r="I324" s="2979" t="s">
        <v>3055</v>
      </c>
      <c r="J324" s="2974" t="s">
        <v>3144</v>
      </c>
      <c r="L324" s="2976"/>
      <c r="M324" s="2976"/>
      <c r="N324" s="2976"/>
      <c r="O324" s="2976"/>
      <c r="P324" s="2976"/>
      <c r="Q324" s="2976"/>
      <c r="R324" s="2976"/>
      <c r="S324" s="2976"/>
      <c r="T324" s="2976"/>
      <c r="U324" s="2976"/>
      <c r="V324" s="2976"/>
      <c r="W324" s="2976"/>
      <c r="X324" s="2976"/>
      <c r="Y324" s="2976"/>
      <c r="Z324" s="2976"/>
      <c r="AA324" s="2976"/>
      <c r="AB324" s="2976"/>
      <c r="AC324" s="2976"/>
      <c r="AD324" s="2976"/>
      <c r="AE324" s="2976"/>
      <c r="AF324" s="2976"/>
    </row>
    <row r="325" spans="1:32">
      <c r="A325" s="2972">
        <v>324</v>
      </c>
      <c r="B325" s="2974" t="s">
        <v>3229</v>
      </c>
      <c r="C325" s="2973" t="s">
        <v>3210</v>
      </c>
      <c r="D325" s="2981" t="s">
        <v>3215</v>
      </c>
      <c r="E325" s="2974" t="s">
        <v>3146</v>
      </c>
      <c r="F325" s="2980">
        <v>56.66</v>
      </c>
      <c r="G325" s="2979">
        <v>12.9</v>
      </c>
      <c r="H325" s="2979">
        <v>69.56</v>
      </c>
      <c r="I325" s="2979" t="s">
        <v>3055</v>
      </c>
      <c r="J325" s="2974" t="s">
        <v>3144</v>
      </c>
      <c r="L325" s="2976"/>
      <c r="M325" s="2976"/>
      <c r="N325" s="2976"/>
      <c r="O325" s="2976"/>
      <c r="P325" s="2976"/>
      <c r="Q325" s="2976"/>
      <c r="R325" s="2976"/>
      <c r="S325" s="2976"/>
      <c r="T325" s="2976"/>
      <c r="U325" s="2976"/>
      <c r="V325" s="2976"/>
      <c r="W325" s="2976"/>
      <c r="X325" s="2976"/>
      <c r="Y325" s="2976"/>
      <c r="Z325" s="2976"/>
      <c r="AA325" s="2976"/>
      <c r="AB325" s="2976"/>
      <c r="AC325" s="2976"/>
      <c r="AD325" s="2976"/>
      <c r="AE325" s="2976"/>
      <c r="AF325" s="2976"/>
    </row>
    <row r="326" spans="1:32">
      <c r="A326" s="2972">
        <v>325</v>
      </c>
      <c r="B326" s="2974" t="s">
        <v>3229</v>
      </c>
      <c r="C326" s="2973" t="s">
        <v>3210</v>
      </c>
      <c r="D326" s="2981" t="s">
        <v>3215</v>
      </c>
      <c r="E326" s="2974" t="s">
        <v>3147</v>
      </c>
      <c r="F326" s="2980">
        <v>56.81</v>
      </c>
      <c r="G326" s="2979">
        <v>12.94</v>
      </c>
      <c r="H326" s="2979">
        <v>69.75</v>
      </c>
      <c r="I326" s="2979" t="s">
        <v>3055</v>
      </c>
      <c r="J326" s="2974" t="s">
        <v>3144</v>
      </c>
      <c r="L326" s="2976"/>
      <c r="M326" s="2976"/>
      <c r="N326" s="2976"/>
      <c r="O326" s="2976"/>
      <c r="P326" s="2976"/>
      <c r="Q326" s="2976"/>
      <c r="R326" s="2976"/>
      <c r="S326" s="2976"/>
      <c r="T326" s="2976"/>
      <c r="U326" s="2976"/>
      <c r="V326" s="2976"/>
      <c r="W326" s="2976"/>
      <c r="X326" s="2976"/>
      <c r="Y326" s="2976"/>
      <c r="Z326" s="2976"/>
      <c r="AA326" s="2976"/>
      <c r="AB326" s="2976"/>
      <c r="AC326" s="2976"/>
      <c r="AD326" s="2976"/>
      <c r="AE326" s="2976"/>
      <c r="AF326" s="2976"/>
    </row>
    <row r="327" spans="1:32">
      <c r="A327" s="2972">
        <v>326</v>
      </c>
      <c r="B327" s="2974" t="s">
        <v>3229</v>
      </c>
      <c r="C327" s="2973" t="s">
        <v>3210</v>
      </c>
      <c r="D327" s="2981" t="s">
        <v>3215</v>
      </c>
      <c r="E327" s="2974" t="s">
        <v>3149</v>
      </c>
      <c r="F327" s="2980">
        <v>56.66</v>
      </c>
      <c r="G327" s="2979">
        <v>12.9</v>
      </c>
      <c r="H327" s="2979">
        <v>69.56</v>
      </c>
      <c r="I327" s="2979" t="s">
        <v>3055</v>
      </c>
      <c r="J327" s="2974" t="s">
        <v>3144</v>
      </c>
      <c r="L327" s="2976"/>
      <c r="M327" s="2976"/>
      <c r="N327" s="2976"/>
      <c r="O327" s="2976"/>
      <c r="P327" s="2976"/>
      <c r="Q327" s="2976"/>
      <c r="R327" s="2976"/>
      <c r="S327" s="2976"/>
      <c r="T327" s="2976"/>
      <c r="U327" s="2976"/>
      <c r="V327" s="2976"/>
      <c r="W327" s="2976"/>
      <c r="X327" s="2976"/>
      <c r="Y327" s="2976"/>
      <c r="Z327" s="2976"/>
      <c r="AA327" s="2976"/>
      <c r="AB327" s="2976"/>
      <c r="AC327" s="2976"/>
      <c r="AD327" s="2976"/>
      <c r="AE327" s="2976"/>
      <c r="AF327" s="2976"/>
    </row>
    <row r="328" spans="1:32">
      <c r="A328" s="2972">
        <v>327</v>
      </c>
      <c r="B328" s="2974" t="s">
        <v>3229</v>
      </c>
      <c r="C328" s="2973" t="s">
        <v>3211</v>
      </c>
      <c r="D328" s="2981" t="s">
        <v>3213</v>
      </c>
      <c r="E328" s="2974">
        <v>503</v>
      </c>
      <c r="F328" s="2980">
        <v>56.81</v>
      </c>
      <c r="G328" s="2979">
        <v>12.94</v>
      </c>
      <c r="H328" s="2979">
        <v>69.75</v>
      </c>
      <c r="I328" s="2979" t="s">
        <v>3055</v>
      </c>
      <c r="J328" s="2974" t="s">
        <v>3144</v>
      </c>
      <c r="L328" s="2976"/>
      <c r="M328" s="2976"/>
      <c r="N328" s="2976"/>
      <c r="O328" s="2976"/>
      <c r="P328" s="2976"/>
      <c r="Q328" s="2976"/>
      <c r="R328" s="2976"/>
      <c r="S328" s="2976"/>
      <c r="T328" s="2976"/>
      <c r="U328" s="2976"/>
      <c r="V328" s="2976"/>
      <c r="W328" s="2976"/>
      <c r="X328" s="2976"/>
      <c r="Y328" s="2976"/>
      <c r="Z328" s="2976"/>
      <c r="AA328" s="2976"/>
      <c r="AB328" s="2976"/>
      <c r="AC328" s="2976"/>
      <c r="AD328" s="2976"/>
      <c r="AE328" s="2976"/>
      <c r="AF328" s="2976"/>
    </row>
    <row r="329" spans="1:32">
      <c r="A329" s="2972">
        <v>328</v>
      </c>
      <c r="B329" s="2974" t="s">
        <v>3229</v>
      </c>
      <c r="C329" s="2973" t="s">
        <v>3211</v>
      </c>
      <c r="D329" s="2981" t="s">
        <v>3213</v>
      </c>
      <c r="E329" s="2974">
        <v>505</v>
      </c>
      <c r="F329" s="2980">
        <v>56.81</v>
      </c>
      <c r="G329" s="2979">
        <v>12.94</v>
      </c>
      <c r="H329" s="2979">
        <v>69.75</v>
      </c>
      <c r="I329" s="2979" t="s">
        <v>3055</v>
      </c>
      <c r="J329" s="2974" t="s">
        <v>3144</v>
      </c>
      <c r="L329" s="2976"/>
      <c r="M329" s="2976"/>
      <c r="N329" s="2976"/>
      <c r="O329" s="2976"/>
      <c r="P329" s="2976"/>
      <c r="Q329" s="2976"/>
      <c r="R329" s="2976"/>
      <c r="S329" s="2976"/>
      <c r="T329" s="2976"/>
      <c r="U329" s="2976"/>
      <c r="V329" s="2976"/>
      <c r="W329" s="2976"/>
      <c r="X329" s="2976"/>
      <c r="Y329" s="2976"/>
      <c r="Z329" s="2976"/>
      <c r="AA329" s="2976"/>
      <c r="AB329" s="2976"/>
      <c r="AC329" s="2976"/>
      <c r="AD329" s="2976"/>
      <c r="AE329" s="2976"/>
      <c r="AF329" s="2976"/>
    </row>
    <row r="330" spans="1:32">
      <c r="A330" s="2972">
        <v>329</v>
      </c>
      <c r="B330" s="2974" t="s">
        <v>3229</v>
      </c>
      <c r="C330" s="2973" t="s">
        <v>3211</v>
      </c>
      <c r="D330" s="2981" t="s">
        <v>3213</v>
      </c>
      <c r="E330" s="2974">
        <v>506</v>
      </c>
      <c r="F330" s="2980">
        <v>56.66</v>
      </c>
      <c r="G330" s="2979">
        <v>12.9</v>
      </c>
      <c r="H330" s="2979">
        <v>69.56</v>
      </c>
      <c r="I330" s="2979" t="s">
        <v>3055</v>
      </c>
      <c r="J330" s="2974" t="s">
        <v>3144</v>
      </c>
      <c r="L330" s="2976"/>
      <c r="M330" s="2976"/>
      <c r="N330" s="2976"/>
      <c r="O330" s="2976"/>
      <c r="P330" s="2976"/>
      <c r="Q330" s="2976"/>
      <c r="R330" s="2976"/>
      <c r="S330" s="2976"/>
      <c r="T330" s="2976"/>
      <c r="U330" s="2976"/>
      <c r="V330" s="2976"/>
      <c r="W330" s="2976"/>
      <c r="X330" s="2976"/>
      <c r="Y330" s="2976"/>
      <c r="Z330" s="2976"/>
      <c r="AA330" s="2976"/>
      <c r="AB330" s="2976"/>
      <c r="AC330" s="2976"/>
      <c r="AD330" s="2976"/>
      <c r="AE330" s="2976"/>
      <c r="AF330" s="2976"/>
    </row>
    <row r="331" spans="1:32">
      <c r="A331" s="2972">
        <v>330</v>
      </c>
      <c r="B331" s="2974" t="s">
        <v>3229</v>
      </c>
      <c r="C331" s="2973" t="s">
        <v>3211</v>
      </c>
      <c r="D331" s="2981" t="s">
        <v>3213</v>
      </c>
      <c r="E331" s="2974">
        <v>507</v>
      </c>
      <c r="F331" s="2980">
        <v>77.17</v>
      </c>
      <c r="G331" s="2979">
        <v>17.57</v>
      </c>
      <c r="H331" s="2979">
        <v>94.740000000000009</v>
      </c>
      <c r="I331" s="2979" t="s">
        <v>3055</v>
      </c>
      <c r="J331" s="2974" t="s">
        <v>3144</v>
      </c>
      <c r="L331" s="2976"/>
      <c r="M331" s="2976"/>
      <c r="N331" s="2976"/>
      <c r="O331" s="2976"/>
      <c r="P331" s="2976"/>
      <c r="Q331" s="2976"/>
      <c r="R331" s="2976"/>
      <c r="S331" s="2976"/>
      <c r="T331" s="2976"/>
      <c r="U331" s="2976"/>
      <c r="V331" s="2976"/>
      <c r="W331" s="2976"/>
      <c r="X331" s="2976"/>
      <c r="Y331" s="2976"/>
      <c r="Z331" s="2976"/>
      <c r="AA331" s="2976"/>
      <c r="AB331" s="2976"/>
      <c r="AC331" s="2976"/>
      <c r="AD331" s="2976"/>
      <c r="AE331" s="2976"/>
      <c r="AF331" s="2976"/>
    </row>
    <row r="332" spans="1:32">
      <c r="A332" s="2972">
        <v>331</v>
      </c>
      <c r="B332" s="2974" t="s">
        <v>3229</v>
      </c>
      <c r="C332" s="2973" t="s">
        <v>3211</v>
      </c>
      <c r="D332" s="2981" t="s">
        <v>3215</v>
      </c>
      <c r="E332" s="2974">
        <v>502</v>
      </c>
      <c r="F332" s="2980">
        <v>56.66</v>
      </c>
      <c r="G332" s="2979">
        <v>12.9</v>
      </c>
      <c r="H332" s="2979">
        <v>69.56</v>
      </c>
      <c r="I332" s="2979" t="s">
        <v>3055</v>
      </c>
      <c r="J332" s="2974" t="s">
        <v>3144</v>
      </c>
      <c r="L332" s="2976"/>
      <c r="M332" s="2976"/>
      <c r="N332" s="2976"/>
      <c r="O332" s="2976"/>
      <c r="P332" s="2976"/>
      <c r="Q332" s="2976"/>
      <c r="R332" s="2976"/>
      <c r="S332" s="2976"/>
      <c r="T332" s="2976"/>
      <c r="U332" s="2976"/>
      <c r="V332" s="2976"/>
      <c r="W332" s="2976"/>
      <c r="X332" s="2976"/>
      <c r="Y332" s="2976"/>
      <c r="Z332" s="2976"/>
      <c r="AA332" s="2976"/>
      <c r="AB332" s="2976"/>
      <c r="AC332" s="2976"/>
      <c r="AD332" s="2976"/>
      <c r="AE332" s="2976"/>
      <c r="AF332" s="2976"/>
    </row>
    <row r="333" spans="1:32">
      <c r="A333" s="2972">
        <v>332</v>
      </c>
      <c r="B333" s="2974" t="s">
        <v>3229</v>
      </c>
      <c r="C333" s="2973" t="s">
        <v>3211</v>
      </c>
      <c r="D333" s="2981" t="s">
        <v>3215</v>
      </c>
      <c r="E333" s="2974">
        <v>503</v>
      </c>
      <c r="F333" s="2980">
        <v>56.81</v>
      </c>
      <c r="G333" s="2979">
        <v>12.94</v>
      </c>
      <c r="H333" s="2979">
        <v>69.75</v>
      </c>
      <c r="I333" s="2979" t="s">
        <v>3055</v>
      </c>
      <c r="J333" s="2974" t="s">
        <v>3144</v>
      </c>
      <c r="L333" s="2976"/>
      <c r="M333" s="2976"/>
      <c r="N333" s="2976"/>
      <c r="O333" s="2976"/>
      <c r="P333" s="2976"/>
      <c r="Q333" s="2976"/>
      <c r="R333" s="2976"/>
      <c r="S333" s="2976"/>
      <c r="T333" s="2976"/>
      <c r="U333" s="2976"/>
      <c r="V333" s="2976"/>
      <c r="W333" s="2976"/>
      <c r="X333" s="2976"/>
      <c r="Y333" s="2976"/>
      <c r="Z333" s="2976"/>
      <c r="AA333" s="2976"/>
      <c r="AB333" s="2976"/>
      <c r="AC333" s="2976"/>
      <c r="AD333" s="2976"/>
      <c r="AE333" s="2976"/>
      <c r="AF333" s="2976"/>
    </row>
    <row r="334" spans="1:32">
      <c r="A334" s="2972">
        <v>333</v>
      </c>
      <c r="B334" s="2974" t="s">
        <v>3229</v>
      </c>
      <c r="C334" s="2973" t="s">
        <v>3211</v>
      </c>
      <c r="D334" s="2981" t="s">
        <v>3215</v>
      </c>
      <c r="E334" s="2974">
        <v>505</v>
      </c>
      <c r="F334" s="2980">
        <v>56.81</v>
      </c>
      <c r="G334" s="2979">
        <v>12.94</v>
      </c>
      <c r="H334" s="2979">
        <v>69.75</v>
      </c>
      <c r="I334" s="2979" t="s">
        <v>3055</v>
      </c>
      <c r="J334" s="2974" t="s">
        <v>3144</v>
      </c>
      <c r="L334" s="2976"/>
      <c r="M334" s="2976"/>
      <c r="N334" s="2976"/>
      <c r="O334" s="2976"/>
      <c r="P334" s="2976"/>
      <c r="Q334" s="2976"/>
      <c r="R334" s="2976"/>
      <c r="S334" s="2976"/>
      <c r="T334" s="2976"/>
      <c r="U334" s="2976"/>
      <c r="V334" s="2976"/>
      <c r="W334" s="2976"/>
      <c r="X334" s="2976"/>
      <c r="Y334" s="2976"/>
      <c r="Z334" s="2976"/>
      <c r="AA334" s="2976"/>
      <c r="AB334" s="2976"/>
      <c r="AC334" s="2976"/>
      <c r="AD334" s="2976"/>
      <c r="AE334" s="2976"/>
      <c r="AF334" s="2976"/>
    </row>
    <row r="335" spans="1:32">
      <c r="A335" s="2972">
        <v>334</v>
      </c>
      <c r="B335" s="2974" t="s">
        <v>3229</v>
      </c>
      <c r="C335" s="2973" t="s">
        <v>3211</v>
      </c>
      <c r="D335" s="2981" t="s">
        <v>3215</v>
      </c>
      <c r="E335" s="2974">
        <v>506</v>
      </c>
      <c r="F335" s="2980">
        <v>56.66</v>
      </c>
      <c r="G335" s="2979">
        <v>12.9</v>
      </c>
      <c r="H335" s="2979">
        <v>69.56</v>
      </c>
      <c r="I335" s="2979" t="s">
        <v>3055</v>
      </c>
      <c r="J335" s="2974" t="s">
        <v>3144</v>
      </c>
      <c r="L335" s="2976"/>
      <c r="M335" s="2976"/>
      <c r="N335" s="2976"/>
      <c r="O335" s="2976"/>
      <c r="P335" s="2976"/>
      <c r="Q335" s="2976"/>
      <c r="R335" s="2976"/>
      <c r="S335" s="2976"/>
      <c r="T335" s="2976"/>
      <c r="U335" s="2976"/>
      <c r="V335" s="2976"/>
      <c r="W335" s="2976"/>
      <c r="X335" s="2976"/>
      <c r="Y335" s="2976"/>
      <c r="Z335" s="2976"/>
      <c r="AA335" s="2976"/>
      <c r="AB335" s="2976"/>
      <c r="AC335" s="2976"/>
      <c r="AD335" s="2976"/>
      <c r="AE335" s="2976"/>
      <c r="AF335" s="2976"/>
    </row>
    <row r="336" spans="1:32">
      <c r="A336" s="2972">
        <v>335</v>
      </c>
      <c r="B336" s="2974" t="s">
        <v>3229</v>
      </c>
      <c r="C336" s="2973" t="s">
        <v>3211</v>
      </c>
      <c r="D336" s="2981" t="s">
        <v>3215</v>
      </c>
      <c r="E336" s="2974">
        <v>507</v>
      </c>
      <c r="F336" s="2980">
        <v>53.82</v>
      </c>
      <c r="G336" s="2979">
        <v>12.25</v>
      </c>
      <c r="H336" s="2979">
        <v>66.069999999999993</v>
      </c>
      <c r="I336" s="2979" t="s">
        <v>3055</v>
      </c>
      <c r="J336" s="2974" t="s">
        <v>3143</v>
      </c>
      <c r="L336" s="2976"/>
      <c r="M336" s="2976"/>
      <c r="N336" s="2976"/>
      <c r="O336" s="2976"/>
      <c r="P336" s="2976"/>
      <c r="Q336" s="2976"/>
      <c r="R336" s="2976"/>
      <c r="S336" s="2976"/>
      <c r="T336" s="2976"/>
      <c r="U336" s="2976"/>
      <c r="V336" s="2976"/>
      <c r="W336" s="2976"/>
      <c r="X336" s="2976"/>
      <c r="Y336" s="2976"/>
      <c r="Z336" s="2976"/>
      <c r="AA336" s="2976"/>
      <c r="AB336" s="2976"/>
      <c r="AC336" s="2976"/>
      <c r="AD336" s="2976"/>
      <c r="AE336" s="2976"/>
      <c r="AF336" s="2976"/>
    </row>
    <row r="337" spans="1:32">
      <c r="A337" s="2972">
        <v>336</v>
      </c>
      <c r="B337" s="2974" t="s">
        <v>3229</v>
      </c>
      <c r="C337" s="2973" t="s">
        <v>3212</v>
      </c>
      <c r="D337" s="2981" t="s">
        <v>3213</v>
      </c>
      <c r="E337" s="2974">
        <v>606</v>
      </c>
      <c r="F337" s="2980">
        <v>56.66</v>
      </c>
      <c r="G337" s="2979">
        <v>12.9</v>
      </c>
      <c r="H337" s="2979">
        <v>69.56</v>
      </c>
      <c r="I337" s="2979" t="s">
        <v>3055</v>
      </c>
      <c r="J337" s="2974" t="s">
        <v>3144</v>
      </c>
      <c r="L337" s="2976"/>
      <c r="M337" s="2976"/>
      <c r="N337" s="2976"/>
      <c r="O337" s="2976"/>
      <c r="P337" s="2976"/>
      <c r="Q337" s="2976"/>
      <c r="R337" s="2976"/>
      <c r="S337" s="2976"/>
      <c r="T337" s="2976"/>
      <c r="U337" s="2976"/>
      <c r="V337" s="2976"/>
      <c r="W337" s="2976"/>
      <c r="X337" s="2976"/>
      <c r="Y337" s="2976"/>
      <c r="Z337" s="2976"/>
      <c r="AA337" s="2976"/>
      <c r="AB337" s="2976"/>
      <c r="AC337" s="2976"/>
      <c r="AD337" s="2976"/>
      <c r="AE337" s="2976"/>
      <c r="AF337" s="2976"/>
    </row>
    <row r="338" spans="1:32">
      <c r="A338" s="2972">
        <v>337</v>
      </c>
      <c r="B338" s="2974" t="s">
        <v>3230</v>
      </c>
      <c r="C338" s="2973" t="s">
        <v>3207</v>
      </c>
      <c r="D338" s="2981" t="s">
        <v>3213</v>
      </c>
      <c r="E338" s="2974">
        <v>101</v>
      </c>
      <c r="F338" s="2980">
        <v>53.97</v>
      </c>
      <c r="G338" s="2979">
        <v>11.7</v>
      </c>
      <c r="H338" s="2979">
        <v>65.67</v>
      </c>
      <c r="I338" s="2979" t="s">
        <v>3055</v>
      </c>
      <c r="J338" s="2974" t="s">
        <v>3143</v>
      </c>
      <c r="L338" s="2976"/>
      <c r="M338" s="2976"/>
      <c r="N338" s="2976"/>
      <c r="O338" s="2976"/>
      <c r="P338" s="2976"/>
      <c r="Q338" s="2976"/>
      <c r="R338" s="2976"/>
      <c r="S338" s="2976"/>
      <c r="T338" s="2976"/>
      <c r="U338" s="2976"/>
      <c r="V338" s="2976"/>
      <c r="W338" s="2976"/>
      <c r="X338" s="2976"/>
      <c r="Y338" s="2976"/>
      <c r="Z338" s="2976"/>
      <c r="AA338" s="2976"/>
      <c r="AB338" s="2976"/>
      <c r="AC338" s="2976"/>
      <c r="AD338" s="2976"/>
      <c r="AE338" s="2976"/>
      <c r="AF338" s="2976"/>
    </row>
    <row r="339" spans="1:32">
      <c r="A339" s="2972">
        <v>338</v>
      </c>
      <c r="B339" s="2974" t="s">
        <v>3230</v>
      </c>
      <c r="C339" s="2973" t="s">
        <v>3207</v>
      </c>
      <c r="D339" s="2981" t="s">
        <v>3213</v>
      </c>
      <c r="E339" s="2974">
        <v>102</v>
      </c>
      <c r="F339" s="2980">
        <v>56.66</v>
      </c>
      <c r="G339" s="2979">
        <v>12.28</v>
      </c>
      <c r="H339" s="2979">
        <v>68.94</v>
      </c>
      <c r="I339" s="2979" t="s">
        <v>3055</v>
      </c>
      <c r="J339" s="2974" t="s">
        <v>3144</v>
      </c>
      <c r="L339" s="2976"/>
      <c r="M339" s="2976"/>
      <c r="N339" s="2976"/>
      <c r="O339" s="2976"/>
      <c r="P339" s="2976"/>
      <c r="Q339" s="2976"/>
      <c r="R339" s="2976"/>
      <c r="S339" s="2976"/>
      <c r="T339" s="2976"/>
      <c r="U339" s="2976"/>
      <c r="V339" s="2976"/>
      <c r="W339" s="2976"/>
      <c r="X339" s="2976"/>
      <c r="Y339" s="2976"/>
      <c r="Z339" s="2976"/>
      <c r="AA339" s="2976"/>
      <c r="AB339" s="2976"/>
      <c r="AC339" s="2976"/>
      <c r="AD339" s="2976"/>
      <c r="AE339" s="2976"/>
      <c r="AF339" s="2976"/>
    </row>
    <row r="340" spans="1:32">
      <c r="A340" s="2972">
        <v>339</v>
      </c>
      <c r="B340" s="2974" t="s">
        <v>3230</v>
      </c>
      <c r="C340" s="2973" t="s">
        <v>3207</v>
      </c>
      <c r="D340" s="2981" t="s">
        <v>3213</v>
      </c>
      <c r="E340" s="2974">
        <v>103</v>
      </c>
      <c r="F340" s="2980">
        <v>56.95</v>
      </c>
      <c r="G340" s="2979">
        <v>12.34</v>
      </c>
      <c r="H340" s="2979">
        <v>69.290000000000006</v>
      </c>
      <c r="I340" s="2979" t="s">
        <v>3055</v>
      </c>
      <c r="J340" s="2974" t="s">
        <v>3144</v>
      </c>
      <c r="L340" s="2976"/>
      <c r="M340" s="2976"/>
      <c r="N340" s="2976"/>
      <c r="O340" s="2976"/>
      <c r="P340" s="2976"/>
      <c r="Q340" s="2976"/>
      <c r="R340" s="2976"/>
      <c r="S340" s="2976"/>
      <c r="T340" s="2976"/>
      <c r="U340" s="2976"/>
      <c r="V340" s="2976"/>
      <c r="W340" s="2976"/>
      <c r="X340" s="2976"/>
      <c r="Y340" s="2976"/>
      <c r="Z340" s="2976"/>
      <c r="AA340" s="2976"/>
      <c r="AB340" s="2976"/>
      <c r="AC340" s="2976"/>
      <c r="AD340" s="2976"/>
      <c r="AE340" s="2976"/>
      <c r="AF340" s="2976"/>
    </row>
    <row r="341" spans="1:32">
      <c r="A341" s="2972">
        <v>340</v>
      </c>
      <c r="B341" s="2974" t="s">
        <v>3230</v>
      </c>
      <c r="C341" s="2973" t="s">
        <v>3207</v>
      </c>
      <c r="D341" s="2981" t="s">
        <v>3213</v>
      </c>
      <c r="E341" s="2974">
        <v>105</v>
      </c>
      <c r="F341" s="2980">
        <v>56.95</v>
      </c>
      <c r="G341" s="2979">
        <v>12.34</v>
      </c>
      <c r="H341" s="2979">
        <v>69.290000000000006</v>
      </c>
      <c r="I341" s="2979" t="s">
        <v>3055</v>
      </c>
      <c r="J341" s="2974" t="s">
        <v>3144</v>
      </c>
      <c r="L341" s="2976"/>
      <c r="M341" s="2976"/>
      <c r="N341" s="2976"/>
      <c r="O341" s="2976"/>
      <c r="P341" s="2976"/>
      <c r="Q341" s="2976"/>
      <c r="R341" s="2976"/>
      <c r="S341" s="2976"/>
      <c r="T341" s="2976"/>
      <c r="U341" s="2976"/>
      <c r="V341" s="2976"/>
      <c r="W341" s="2976"/>
      <c r="X341" s="2976"/>
      <c r="Y341" s="2976"/>
      <c r="Z341" s="2976"/>
      <c r="AA341" s="2976"/>
      <c r="AB341" s="2976"/>
      <c r="AC341" s="2976"/>
      <c r="AD341" s="2976"/>
      <c r="AE341" s="2976"/>
      <c r="AF341" s="2976"/>
    </row>
    <row r="342" spans="1:32">
      <c r="A342" s="2972">
        <v>341</v>
      </c>
      <c r="B342" s="2974" t="s">
        <v>3230</v>
      </c>
      <c r="C342" s="2973" t="s">
        <v>3207</v>
      </c>
      <c r="D342" s="2981" t="s">
        <v>3213</v>
      </c>
      <c r="E342" s="2974">
        <v>106</v>
      </c>
      <c r="F342" s="2980">
        <v>56.66</v>
      </c>
      <c r="G342" s="2979">
        <v>12.28</v>
      </c>
      <c r="H342" s="2979">
        <v>68.94</v>
      </c>
      <c r="I342" s="2979" t="s">
        <v>3055</v>
      </c>
      <c r="J342" s="2974" t="s">
        <v>3144</v>
      </c>
      <c r="L342" s="2976"/>
      <c r="M342" s="2976"/>
      <c r="N342" s="2976"/>
      <c r="O342" s="2976"/>
      <c r="P342" s="2976"/>
      <c r="Q342" s="2976"/>
      <c r="R342" s="2976"/>
      <c r="S342" s="2976"/>
      <c r="T342" s="2976"/>
      <c r="U342" s="2976"/>
      <c r="V342" s="2976"/>
      <c r="W342" s="2976"/>
      <c r="X342" s="2976"/>
      <c r="Y342" s="2976"/>
      <c r="Z342" s="2976"/>
      <c r="AA342" s="2976"/>
      <c r="AB342" s="2976"/>
      <c r="AC342" s="2976"/>
      <c r="AD342" s="2976"/>
      <c r="AE342" s="2976"/>
      <c r="AF342" s="2976"/>
    </row>
    <row r="343" spans="1:32">
      <c r="A343" s="2972">
        <v>342</v>
      </c>
      <c r="B343" s="2974" t="s">
        <v>3230</v>
      </c>
      <c r="C343" s="2973" t="s">
        <v>3207</v>
      </c>
      <c r="D343" s="2981" t="s">
        <v>3213</v>
      </c>
      <c r="E343" s="2974">
        <v>107</v>
      </c>
      <c r="F343" s="2980">
        <v>77.36</v>
      </c>
      <c r="G343" s="2979">
        <v>16.77</v>
      </c>
      <c r="H343" s="2979">
        <v>94.13</v>
      </c>
      <c r="I343" s="2979" t="s">
        <v>3055</v>
      </c>
      <c r="J343" s="2974" t="s">
        <v>3144</v>
      </c>
      <c r="L343" s="2976"/>
      <c r="M343" s="2976"/>
      <c r="N343" s="2976"/>
      <c r="O343" s="2976"/>
      <c r="P343" s="2976"/>
      <c r="Q343" s="2976"/>
      <c r="R343" s="2976"/>
      <c r="S343" s="2976"/>
      <c r="T343" s="2976"/>
      <c r="U343" s="2976"/>
      <c r="V343" s="2976"/>
      <c r="W343" s="2976"/>
      <c r="X343" s="2976"/>
      <c r="Y343" s="2976"/>
      <c r="Z343" s="2976"/>
      <c r="AA343" s="2976"/>
      <c r="AB343" s="2976"/>
      <c r="AC343" s="2976"/>
      <c r="AD343" s="2976"/>
      <c r="AE343" s="2976"/>
      <c r="AF343" s="2976"/>
    </row>
    <row r="344" spans="1:32">
      <c r="A344" s="2972">
        <v>343</v>
      </c>
      <c r="B344" s="2974" t="s">
        <v>3230</v>
      </c>
      <c r="C344" s="2973" t="s">
        <v>3207</v>
      </c>
      <c r="D344" s="2981" t="s">
        <v>3215</v>
      </c>
      <c r="E344" s="2974">
        <v>101</v>
      </c>
      <c r="F344" s="2980">
        <v>77.36</v>
      </c>
      <c r="G344" s="2979">
        <v>16.77</v>
      </c>
      <c r="H344" s="2979">
        <v>94.13</v>
      </c>
      <c r="I344" s="2979" t="s">
        <v>3055</v>
      </c>
      <c r="J344" s="2974" t="s">
        <v>3144</v>
      </c>
      <c r="L344" s="2976"/>
      <c r="M344" s="2976"/>
      <c r="N344" s="2976"/>
      <c r="O344" s="2976"/>
      <c r="P344" s="2976"/>
      <c r="Q344" s="2976"/>
      <c r="R344" s="2976"/>
      <c r="S344" s="2976"/>
      <c r="T344" s="2976"/>
      <c r="U344" s="2976"/>
      <c r="V344" s="2976"/>
      <c r="W344" s="2976"/>
      <c r="X344" s="2976"/>
      <c r="Y344" s="2976"/>
      <c r="Z344" s="2976"/>
      <c r="AA344" s="2976"/>
      <c r="AB344" s="2976"/>
      <c r="AC344" s="2976"/>
      <c r="AD344" s="2976"/>
      <c r="AE344" s="2976"/>
      <c r="AF344" s="2976"/>
    </row>
    <row r="345" spans="1:32">
      <c r="A345" s="2972">
        <v>344</v>
      </c>
      <c r="B345" s="2974" t="s">
        <v>3230</v>
      </c>
      <c r="C345" s="2973" t="s">
        <v>3207</v>
      </c>
      <c r="D345" s="2981" t="s">
        <v>3215</v>
      </c>
      <c r="E345" s="2974">
        <v>103</v>
      </c>
      <c r="F345" s="2980">
        <v>56.95</v>
      </c>
      <c r="G345" s="2979">
        <v>12.34</v>
      </c>
      <c r="H345" s="2979">
        <v>69.290000000000006</v>
      </c>
      <c r="I345" s="2979" t="s">
        <v>3055</v>
      </c>
      <c r="J345" s="2974" t="s">
        <v>3144</v>
      </c>
      <c r="L345" s="2976"/>
      <c r="M345" s="2976"/>
      <c r="N345" s="2976"/>
      <c r="O345" s="2976"/>
      <c r="P345" s="2976"/>
      <c r="Q345" s="2976"/>
      <c r="R345" s="2976"/>
      <c r="S345" s="2976"/>
      <c r="T345" s="2976"/>
      <c r="U345" s="2976"/>
      <c r="V345" s="2976"/>
      <c r="W345" s="2976"/>
      <c r="X345" s="2976"/>
      <c r="Y345" s="2976"/>
      <c r="Z345" s="2976"/>
      <c r="AA345" s="2976"/>
      <c r="AB345" s="2976"/>
      <c r="AC345" s="2976"/>
      <c r="AD345" s="2976"/>
      <c r="AE345" s="2976"/>
      <c r="AF345" s="2976"/>
    </row>
    <row r="346" spans="1:32">
      <c r="A346" s="2972">
        <v>345</v>
      </c>
      <c r="B346" s="2974" t="s">
        <v>3230</v>
      </c>
      <c r="C346" s="2973" t="s">
        <v>3207</v>
      </c>
      <c r="D346" s="2981" t="s">
        <v>3215</v>
      </c>
      <c r="E346" s="2974">
        <v>105</v>
      </c>
      <c r="F346" s="2980">
        <v>56.95</v>
      </c>
      <c r="G346" s="2979">
        <v>12.34</v>
      </c>
      <c r="H346" s="2979">
        <v>69.290000000000006</v>
      </c>
      <c r="I346" s="2979" t="s">
        <v>3055</v>
      </c>
      <c r="J346" s="2974" t="s">
        <v>3144</v>
      </c>
      <c r="L346" s="2976"/>
      <c r="M346" s="2976"/>
      <c r="N346" s="2976"/>
      <c r="O346" s="2976"/>
      <c r="P346" s="2976"/>
      <c r="Q346" s="2976"/>
      <c r="R346" s="2976"/>
      <c r="S346" s="2976"/>
      <c r="T346" s="2976"/>
      <c r="U346" s="2976"/>
      <c r="V346" s="2976"/>
      <c r="W346" s="2976"/>
      <c r="X346" s="2976"/>
      <c r="Y346" s="2976"/>
      <c r="Z346" s="2976"/>
      <c r="AA346" s="2976"/>
      <c r="AB346" s="2976"/>
      <c r="AC346" s="2976"/>
      <c r="AD346" s="2976"/>
      <c r="AE346" s="2976"/>
      <c r="AF346" s="2976"/>
    </row>
    <row r="347" spans="1:32">
      <c r="A347" s="2972">
        <v>346</v>
      </c>
      <c r="B347" s="2974" t="s">
        <v>3230</v>
      </c>
      <c r="C347" s="2973" t="s">
        <v>3207</v>
      </c>
      <c r="D347" s="2981" t="s">
        <v>3215</v>
      </c>
      <c r="E347" s="2974">
        <v>106</v>
      </c>
      <c r="F347" s="2980">
        <v>56.66</v>
      </c>
      <c r="G347" s="2979">
        <v>12.28</v>
      </c>
      <c r="H347" s="2979">
        <v>68.94</v>
      </c>
      <c r="I347" s="2979" t="s">
        <v>3055</v>
      </c>
      <c r="J347" s="2974" t="s">
        <v>3144</v>
      </c>
      <c r="L347" s="2976"/>
      <c r="M347" s="2976"/>
      <c r="N347" s="2976"/>
      <c r="O347" s="2976"/>
      <c r="P347" s="2976"/>
      <c r="Q347" s="2976"/>
      <c r="R347" s="2976"/>
      <c r="S347" s="2976"/>
      <c r="T347" s="2976"/>
      <c r="U347" s="2976"/>
      <c r="V347" s="2976"/>
      <c r="W347" s="2976"/>
      <c r="X347" s="2976"/>
      <c r="Y347" s="2976"/>
      <c r="Z347" s="2976"/>
      <c r="AA347" s="2976"/>
      <c r="AB347" s="2976"/>
      <c r="AC347" s="2976"/>
      <c r="AD347" s="2976"/>
      <c r="AE347" s="2976"/>
      <c r="AF347" s="2976"/>
    </row>
    <row r="348" spans="1:32">
      <c r="A348" s="2972">
        <v>347</v>
      </c>
      <c r="B348" s="2974" t="s">
        <v>3230</v>
      </c>
      <c r="C348" s="2973" t="s">
        <v>3207</v>
      </c>
      <c r="D348" s="2981" t="s">
        <v>3215</v>
      </c>
      <c r="E348" s="2974">
        <v>107</v>
      </c>
      <c r="F348" s="2980">
        <v>53.97</v>
      </c>
      <c r="G348" s="2979">
        <v>11.7</v>
      </c>
      <c r="H348" s="2979">
        <v>65.67</v>
      </c>
      <c r="I348" s="2979" t="s">
        <v>3055</v>
      </c>
      <c r="J348" s="2974" t="s">
        <v>3143</v>
      </c>
      <c r="L348" s="2976"/>
      <c r="M348" s="2976"/>
      <c r="N348" s="2976"/>
      <c r="O348" s="2976"/>
      <c r="P348" s="2976"/>
      <c r="Q348" s="2976"/>
      <c r="R348" s="2976"/>
      <c r="S348" s="2976"/>
      <c r="T348" s="2976"/>
      <c r="U348" s="2976"/>
      <c r="V348" s="2976"/>
      <c r="W348" s="2976"/>
      <c r="X348" s="2976"/>
      <c r="Y348" s="2976"/>
      <c r="Z348" s="2976"/>
      <c r="AA348" s="2976"/>
      <c r="AB348" s="2976"/>
      <c r="AC348" s="2976"/>
      <c r="AD348" s="2976"/>
      <c r="AE348" s="2976"/>
      <c r="AF348" s="2976"/>
    </row>
    <row r="349" spans="1:32">
      <c r="A349" s="2972">
        <v>348</v>
      </c>
      <c r="B349" s="2974" t="s">
        <v>3230</v>
      </c>
      <c r="C349" s="2973" t="s">
        <v>3208</v>
      </c>
      <c r="D349" s="2981" t="s">
        <v>3213</v>
      </c>
      <c r="E349" s="2974">
        <v>201</v>
      </c>
      <c r="F349" s="2980">
        <v>53.84</v>
      </c>
      <c r="G349" s="2979">
        <v>11.67</v>
      </c>
      <c r="H349" s="2979">
        <v>65.510000000000005</v>
      </c>
      <c r="I349" s="2979" t="s">
        <v>3055</v>
      </c>
      <c r="J349" s="2974" t="s">
        <v>3143</v>
      </c>
      <c r="L349" s="2976"/>
      <c r="M349" s="2976"/>
      <c r="N349" s="2976"/>
      <c r="O349" s="2976"/>
      <c r="P349" s="2976"/>
      <c r="Q349" s="2976"/>
      <c r="R349" s="2976"/>
      <c r="S349" s="2976"/>
      <c r="T349" s="2976"/>
      <c r="U349" s="2976"/>
      <c r="V349" s="2976"/>
      <c r="W349" s="2976"/>
      <c r="X349" s="2976"/>
      <c r="Y349" s="2976"/>
      <c r="Z349" s="2976"/>
      <c r="AA349" s="2976"/>
      <c r="AB349" s="2976"/>
      <c r="AC349" s="2976"/>
      <c r="AD349" s="2976"/>
      <c r="AE349" s="2976"/>
      <c r="AF349" s="2976"/>
    </row>
    <row r="350" spans="1:32">
      <c r="A350" s="2972">
        <v>349</v>
      </c>
      <c r="B350" s="2974" t="s">
        <v>3230</v>
      </c>
      <c r="C350" s="2973" t="s">
        <v>3208</v>
      </c>
      <c r="D350" s="2981" t="s">
        <v>3215</v>
      </c>
      <c r="E350" s="2974">
        <v>207</v>
      </c>
      <c r="F350" s="2980">
        <v>53.84</v>
      </c>
      <c r="G350" s="2979">
        <v>11.67</v>
      </c>
      <c r="H350" s="2979">
        <v>65.510000000000005</v>
      </c>
      <c r="I350" s="2979" t="s">
        <v>3055</v>
      </c>
      <c r="J350" s="2974" t="s">
        <v>3143</v>
      </c>
      <c r="L350" s="2976"/>
      <c r="M350" s="2976"/>
      <c r="N350" s="2976"/>
      <c r="O350" s="2976"/>
      <c r="P350" s="2976"/>
      <c r="Q350" s="2976"/>
      <c r="R350" s="2976"/>
      <c r="S350" s="2976"/>
      <c r="T350" s="2976"/>
      <c r="U350" s="2976"/>
      <c r="V350" s="2976"/>
      <c r="W350" s="2976"/>
      <c r="X350" s="2976"/>
      <c r="Y350" s="2976"/>
      <c r="Z350" s="2976"/>
      <c r="AA350" s="2976"/>
      <c r="AB350" s="2976"/>
      <c r="AC350" s="2976"/>
      <c r="AD350" s="2976"/>
      <c r="AE350" s="2976"/>
      <c r="AF350" s="2976"/>
    </row>
    <row r="351" spans="1:32">
      <c r="A351" s="2972">
        <v>350</v>
      </c>
      <c r="B351" s="2974" t="s">
        <v>3230</v>
      </c>
      <c r="C351" s="2973" t="s">
        <v>3209</v>
      </c>
      <c r="D351" s="2981" t="s">
        <v>3213</v>
      </c>
      <c r="E351" s="2974">
        <v>301</v>
      </c>
      <c r="F351" s="2980">
        <v>53.84</v>
      </c>
      <c r="G351" s="2979">
        <v>11.67</v>
      </c>
      <c r="H351" s="2979">
        <v>65.510000000000005</v>
      </c>
      <c r="I351" s="2979" t="s">
        <v>3055</v>
      </c>
      <c r="J351" s="2974" t="s">
        <v>3143</v>
      </c>
      <c r="L351" s="2976"/>
      <c r="M351" s="2976"/>
      <c r="N351" s="2976"/>
      <c r="O351" s="2976"/>
      <c r="P351" s="2976"/>
      <c r="Q351" s="2976"/>
      <c r="R351" s="2976"/>
      <c r="S351" s="2976"/>
      <c r="T351" s="2976"/>
      <c r="U351" s="2976"/>
      <c r="V351" s="2976"/>
      <c r="W351" s="2976"/>
      <c r="X351" s="2976"/>
      <c r="Y351" s="2976"/>
      <c r="Z351" s="2976"/>
      <c r="AA351" s="2976"/>
      <c r="AB351" s="2976"/>
      <c r="AC351" s="2976"/>
      <c r="AD351" s="2976"/>
      <c r="AE351" s="2976"/>
      <c r="AF351" s="2976"/>
    </row>
    <row r="352" spans="1:32">
      <c r="A352" s="2972">
        <v>351</v>
      </c>
      <c r="B352" s="2974" t="s">
        <v>3230</v>
      </c>
      <c r="C352" s="2973" t="s">
        <v>3209</v>
      </c>
      <c r="D352" s="2981" t="s">
        <v>3213</v>
      </c>
      <c r="E352" s="2974">
        <v>302</v>
      </c>
      <c r="F352" s="2980">
        <v>56.66</v>
      </c>
      <c r="G352" s="2979">
        <v>12.28</v>
      </c>
      <c r="H352" s="2979">
        <v>68.94</v>
      </c>
      <c r="I352" s="2979" t="s">
        <v>3055</v>
      </c>
      <c r="J352" s="2974" t="s">
        <v>3144</v>
      </c>
      <c r="L352" s="2976"/>
      <c r="M352" s="2976"/>
      <c r="N352" s="2976"/>
      <c r="O352" s="2976"/>
      <c r="P352" s="2976"/>
      <c r="Q352" s="2976"/>
      <c r="R352" s="2976"/>
      <c r="S352" s="2976"/>
      <c r="T352" s="2976"/>
      <c r="U352" s="2976"/>
      <c r="V352" s="2976"/>
      <c r="W352" s="2976"/>
      <c r="X352" s="2976"/>
      <c r="Y352" s="2976"/>
      <c r="Z352" s="2976"/>
      <c r="AA352" s="2976"/>
      <c r="AB352" s="2976"/>
      <c r="AC352" s="2976"/>
      <c r="AD352" s="2976"/>
      <c r="AE352" s="2976"/>
      <c r="AF352" s="2976"/>
    </row>
    <row r="353" spans="1:32">
      <c r="A353" s="2972">
        <v>352</v>
      </c>
      <c r="B353" s="2974" t="s">
        <v>3230</v>
      </c>
      <c r="C353" s="2973" t="s">
        <v>3209</v>
      </c>
      <c r="D353" s="2981" t="s">
        <v>3215</v>
      </c>
      <c r="E353" s="2974">
        <v>306</v>
      </c>
      <c r="F353" s="2980">
        <v>56.66</v>
      </c>
      <c r="G353" s="2979">
        <v>12.28</v>
      </c>
      <c r="H353" s="2979">
        <v>68.94</v>
      </c>
      <c r="I353" s="2979" t="s">
        <v>3055</v>
      </c>
      <c r="J353" s="2974" t="s">
        <v>3144</v>
      </c>
      <c r="L353" s="2976"/>
      <c r="M353" s="2976"/>
      <c r="N353" s="2976"/>
      <c r="O353" s="2976"/>
      <c r="P353" s="2976"/>
      <c r="Q353" s="2976"/>
      <c r="R353" s="2976"/>
      <c r="S353" s="2976"/>
      <c r="T353" s="2976"/>
      <c r="U353" s="2976"/>
      <c r="V353" s="2976"/>
      <c r="W353" s="2976"/>
      <c r="X353" s="2976"/>
      <c r="Y353" s="2976"/>
      <c r="Z353" s="2976"/>
      <c r="AA353" s="2976"/>
      <c r="AB353" s="2976"/>
      <c r="AC353" s="2976"/>
      <c r="AD353" s="2976"/>
      <c r="AE353" s="2976"/>
      <c r="AF353" s="2976"/>
    </row>
    <row r="354" spans="1:32">
      <c r="A354" s="2972">
        <v>353</v>
      </c>
      <c r="B354" s="2974" t="s">
        <v>3230</v>
      </c>
      <c r="C354" s="2973" t="s">
        <v>3210</v>
      </c>
      <c r="D354" s="2981" t="s">
        <v>3213</v>
      </c>
      <c r="E354" s="2974" t="s">
        <v>3150</v>
      </c>
      <c r="F354" s="2980">
        <v>77.180000000000007</v>
      </c>
      <c r="G354" s="2979">
        <v>16.73</v>
      </c>
      <c r="H354" s="2979">
        <v>93.910000000000011</v>
      </c>
      <c r="I354" s="2979" t="s">
        <v>3055</v>
      </c>
      <c r="J354" s="2974" t="s">
        <v>3144</v>
      </c>
      <c r="L354" s="2976"/>
      <c r="M354" s="2976"/>
      <c r="N354" s="2976"/>
      <c r="O354" s="2976"/>
      <c r="P354" s="2976"/>
      <c r="Q354" s="2976"/>
      <c r="R354" s="2976"/>
      <c r="S354" s="2976"/>
      <c r="T354" s="2976"/>
      <c r="U354" s="2976"/>
      <c r="V354" s="2976"/>
      <c r="W354" s="2976"/>
      <c r="X354" s="2976"/>
      <c r="Y354" s="2976"/>
      <c r="Z354" s="2976"/>
      <c r="AA354" s="2976"/>
      <c r="AB354" s="2976"/>
      <c r="AC354" s="2976"/>
      <c r="AD354" s="2976"/>
      <c r="AE354" s="2976"/>
      <c r="AF354" s="2976"/>
    </row>
    <row r="355" spans="1:32">
      <c r="A355" s="2972">
        <v>354</v>
      </c>
      <c r="B355" s="2974" t="s">
        <v>3230</v>
      </c>
      <c r="C355" s="2973" t="s">
        <v>3210</v>
      </c>
      <c r="D355" s="2981" t="s">
        <v>3215</v>
      </c>
      <c r="E355" s="2974" t="s">
        <v>3150</v>
      </c>
      <c r="F355" s="2980">
        <v>53.84</v>
      </c>
      <c r="G355" s="2979">
        <v>11.67</v>
      </c>
      <c r="H355" s="2979">
        <v>65.510000000000005</v>
      </c>
      <c r="I355" s="2979" t="s">
        <v>3055</v>
      </c>
      <c r="J355" s="2974" t="s">
        <v>3143</v>
      </c>
      <c r="L355" s="2976"/>
      <c r="M355" s="2976"/>
      <c r="N355" s="2976"/>
      <c r="O355" s="2976"/>
      <c r="P355" s="2976"/>
      <c r="Q355" s="2976"/>
      <c r="R355" s="2976"/>
      <c r="S355" s="2976"/>
      <c r="T355" s="2976"/>
      <c r="U355" s="2976"/>
      <c r="V355" s="2976"/>
      <c r="W355" s="2976"/>
      <c r="X355" s="2976"/>
      <c r="Y355" s="2976"/>
      <c r="Z355" s="2976"/>
      <c r="AA355" s="2976"/>
      <c r="AB355" s="2976"/>
      <c r="AC355" s="2976"/>
      <c r="AD355" s="2976"/>
      <c r="AE355" s="2976"/>
      <c r="AF355" s="2976"/>
    </row>
    <row r="356" spans="1:32">
      <c r="A356" s="2972">
        <v>355</v>
      </c>
      <c r="B356" s="2974" t="s">
        <v>3230</v>
      </c>
      <c r="C356" s="2973" t="s">
        <v>3211</v>
      </c>
      <c r="D356" s="2981" t="s">
        <v>3213</v>
      </c>
      <c r="E356" s="2974">
        <v>507</v>
      </c>
      <c r="F356" s="2980">
        <v>77.180000000000007</v>
      </c>
      <c r="G356" s="2979">
        <v>16.73</v>
      </c>
      <c r="H356" s="2979">
        <v>93.910000000000011</v>
      </c>
      <c r="I356" s="2979" t="s">
        <v>3055</v>
      </c>
      <c r="J356" s="2974" t="s">
        <v>3144</v>
      </c>
      <c r="L356" s="2976"/>
      <c r="M356" s="2976"/>
      <c r="N356" s="2976"/>
      <c r="O356" s="2976"/>
      <c r="P356" s="2976"/>
      <c r="Q356" s="2976"/>
      <c r="R356" s="2976"/>
      <c r="S356" s="2976"/>
      <c r="T356" s="2976"/>
      <c r="U356" s="2976"/>
      <c r="V356" s="2976"/>
      <c r="W356" s="2976"/>
      <c r="X356" s="2976"/>
      <c r="Y356" s="2976"/>
      <c r="Z356" s="2976"/>
      <c r="AA356" s="2976"/>
      <c r="AB356" s="2976"/>
      <c r="AC356" s="2976"/>
      <c r="AD356" s="2976"/>
      <c r="AE356" s="2976"/>
      <c r="AF356" s="2976"/>
    </row>
    <row r="357" spans="1:32">
      <c r="A357" s="2972">
        <v>356</v>
      </c>
      <c r="B357" s="2974" t="s">
        <v>3230</v>
      </c>
      <c r="C357" s="2973" t="s">
        <v>3211</v>
      </c>
      <c r="D357" s="2981" t="s">
        <v>3215</v>
      </c>
      <c r="E357" s="2974">
        <v>501</v>
      </c>
      <c r="F357" s="2980">
        <v>77.180000000000007</v>
      </c>
      <c r="G357" s="2979">
        <v>16.73</v>
      </c>
      <c r="H357" s="2979">
        <v>93.910000000000011</v>
      </c>
      <c r="I357" s="2979" t="s">
        <v>3055</v>
      </c>
      <c r="J357" s="2974" t="s">
        <v>3144</v>
      </c>
      <c r="L357" s="2976"/>
      <c r="M357" s="2976"/>
      <c r="N357" s="2976"/>
      <c r="O357" s="2976"/>
      <c r="P357" s="2976"/>
      <c r="Q357" s="2976"/>
      <c r="R357" s="2976"/>
      <c r="S357" s="2976"/>
      <c r="T357" s="2976"/>
      <c r="U357" s="2976"/>
      <c r="V357" s="2976"/>
      <c r="W357" s="2976"/>
      <c r="X357" s="2976"/>
      <c r="Y357" s="2976"/>
      <c r="Z357" s="2976"/>
      <c r="AA357" s="2976"/>
      <c r="AB357" s="2976"/>
      <c r="AC357" s="2976"/>
      <c r="AD357" s="2976"/>
      <c r="AE357" s="2976"/>
      <c r="AF357" s="2976"/>
    </row>
    <row r="358" spans="1:32">
      <c r="A358" s="2972">
        <v>357</v>
      </c>
      <c r="B358" s="2974" t="s">
        <v>3230</v>
      </c>
      <c r="C358" s="2973" t="s">
        <v>3211</v>
      </c>
      <c r="D358" s="2981" t="s">
        <v>3215</v>
      </c>
      <c r="E358" s="2974">
        <v>506</v>
      </c>
      <c r="F358" s="2980">
        <v>56.66</v>
      </c>
      <c r="G358" s="2979">
        <v>12.28</v>
      </c>
      <c r="H358" s="2979">
        <v>68.94</v>
      </c>
      <c r="I358" s="2979" t="s">
        <v>3055</v>
      </c>
      <c r="J358" s="2974" t="s">
        <v>3144</v>
      </c>
      <c r="L358" s="2976"/>
      <c r="M358" s="2976"/>
      <c r="N358" s="2976"/>
      <c r="O358" s="2976"/>
      <c r="P358" s="2976"/>
      <c r="Q358" s="2976"/>
      <c r="R358" s="2976"/>
      <c r="S358" s="2976"/>
      <c r="T358" s="2976"/>
      <c r="U358" s="2976"/>
      <c r="V358" s="2976"/>
      <c r="W358" s="2976"/>
      <c r="X358" s="2976"/>
      <c r="Y358" s="2976"/>
      <c r="Z358" s="2976"/>
      <c r="AA358" s="2976"/>
      <c r="AB358" s="2976"/>
      <c r="AC358" s="2976"/>
      <c r="AD358" s="2976"/>
      <c r="AE358" s="2976"/>
      <c r="AF358" s="2976"/>
    </row>
    <row r="359" spans="1:32">
      <c r="A359" s="2972">
        <v>358</v>
      </c>
      <c r="B359" s="2974" t="s">
        <v>3230</v>
      </c>
      <c r="C359" s="2973" t="s">
        <v>3211</v>
      </c>
      <c r="D359" s="2981" t="s">
        <v>3215</v>
      </c>
      <c r="E359" s="2974">
        <v>507</v>
      </c>
      <c r="F359" s="2980">
        <v>53.84</v>
      </c>
      <c r="G359" s="2979">
        <v>11.67</v>
      </c>
      <c r="H359" s="2979">
        <v>65.510000000000005</v>
      </c>
      <c r="I359" s="2979" t="s">
        <v>3055</v>
      </c>
      <c r="J359" s="2974" t="s">
        <v>3143</v>
      </c>
      <c r="L359" s="2976"/>
      <c r="M359" s="2976"/>
      <c r="N359" s="2976"/>
      <c r="O359" s="2976"/>
      <c r="P359" s="2976"/>
      <c r="Q359" s="2976"/>
      <c r="R359" s="2976"/>
      <c r="S359" s="2976"/>
      <c r="T359" s="2976"/>
      <c r="U359" s="2976"/>
      <c r="V359" s="2976"/>
      <c r="W359" s="2976"/>
      <c r="X359" s="2976"/>
      <c r="Y359" s="2976"/>
      <c r="Z359" s="2976"/>
      <c r="AA359" s="2976"/>
      <c r="AB359" s="2976"/>
      <c r="AC359" s="2976"/>
      <c r="AD359" s="2976"/>
      <c r="AE359" s="2976"/>
      <c r="AF359" s="2976"/>
    </row>
    <row r="360" spans="1:32">
      <c r="A360" s="2972">
        <v>359</v>
      </c>
      <c r="B360" s="2974" t="s">
        <v>3230</v>
      </c>
      <c r="C360" s="2973" t="s">
        <v>3212</v>
      </c>
      <c r="D360" s="2981" t="s">
        <v>3213</v>
      </c>
      <c r="E360" s="2974">
        <v>602</v>
      </c>
      <c r="F360" s="2980">
        <v>56.66</v>
      </c>
      <c r="G360" s="2979">
        <v>12.28</v>
      </c>
      <c r="H360" s="2979">
        <v>68.94</v>
      </c>
      <c r="I360" s="2979" t="s">
        <v>3055</v>
      </c>
      <c r="J360" s="2974" t="s">
        <v>3144</v>
      </c>
      <c r="L360" s="2976"/>
      <c r="M360" s="2976"/>
      <c r="N360" s="2976"/>
      <c r="O360" s="2976"/>
      <c r="P360" s="2976"/>
      <c r="Q360" s="2976"/>
      <c r="R360" s="2976"/>
      <c r="S360" s="2976"/>
      <c r="T360" s="2976"/>
      <c r="U360" s="2976"/>
      <c r="V360" s="2976"/>
      <c r="W360" s="2976"/>
      <c r="X360" s="2976"/>
      <c r="Y360" s="2976"/>
      <c r="Z360" s="2976"/>
      <c r="AA360" s="2976"/>
      <c r="AB360" s="2976"/>
      <c r="AC360" s="2976"/>
      <c r="AD360" s="2976"/>
      <c r="AE360" s="2976"/>
      <c r="AF360" s="2976"/>
    </row>
    <row r="361" spans="1:32">
      <c r="A361" s="2972">
        <v>360</v>
      </c>
      <c r="B361" s="2974" t="s">
        <v>3230</v>
      </c>
      <c r="C361" s="2973" t="s">
        <v>3212</v>
      </c>
      <c r="D361" s="2981" t="s">
        <v>3213</v>
      </c>
      <c r="E361" s="2974">
        <v>603</v>
      </c>
      <c r="F361" s="2980">
        <v>56.95</v>
      </c>
      <c r="G361" s="2979">
        <v>12.34</v>
      </c>
      <c r="H361" s="2979">
        <v>69.290000000000006</v>
      </c>
      <c r="I361" s="2979" t="s">
        <v>3055</v>
      </c>
      <c r="J361" s="2974" t="s">
        <v>3144</v>
      </c>
      <c r="L361" s="2976"/>
      <c r="M361" s="2976"/>
      <c r="N361" s="2976"/>
      <c r="O361" s="2976"/>
      <c r="P361" s="2976"/>
      <c r="Q361" s="2976"/>
      <c r="R361" s="2976"/>
      <c r="S361" s="2976"/>
      <c r="T361" s="2976"/>
      <c r="U361" s="2976"/>
      <c r="V361" s="2976"/>
      <c r="W361" s="2976"/>
      <c r="X361" s="2976"/>
      <c r="Y361" s="2976"/>
      <c r="Z361" s="2976"/>
      <c r="AA361" s="2976"/>
      <c r="AB361" s="2976"/>
      <c r="AC361" s="2976"/>
      <c r="AD361" s="2976"/>
      <c r="AE361" s="2976"/>
      <c r="AF361" s="2976"/>
    </row>
    <row r="362" spans="1:32">
      <c r="A362" s="2972">
        <v>361</v>
      </c>
      <c r="B362" s="2974" t="s">
        <v>3230</v>
      </c>
      <c r="C362" s="2973" t="s">
        <v>3212</v>
      </c>
      <c r="D362" s="2981" t="s">
        <v>3213</v>
      </c>
      <c r="E362" s="2974">
        <v>605</v>
      </c>
      <c r="F362" s="2980">
        <v>56.95</v>
      </c>
      <c r="G362" s="2979">
        <v>12.34</v>
      </c>
      <c r="H362" s="2979">
        <v>69.290000000000006</v>
      </c>
      <c r="I362" s="2979" t="s">
        <v>3055</v>
      </c>
      <c r="J362" s="2974" t="s">
        <v>3144</v>
      </c>
      <c r="L362" s="2976"/>
      <c r="M362" s="2976"/>
      <c r="N362" s="2976"/>
      <c r="O362" s="2976"/>
      <c r="P362" s="2976"/>
      <c r="Q362" s="2976"/>
      <c r="R362" s="2976"/>
      <c r="S362" s="2976"/>
      <c r="T362" s="2976"/>
      <c r="U362" s="2976"/>
      <c r="V362" s="2976"/>
      <c r="W362" s="2976"/>
      <c r="X362" s="2976"/>
      <c r="Y362" s="2976"/>
      <c r="Z362" s="2976"/>
      <c r="AA362" s="2976"/>
      <c r="AB362" s="2976"/>
      <c r="AC362" s="2976"/>
      <c r="AD362" s="2976"/>
      <c r="AE362" s="2976"/>
      <c r="AF362" s="2976"/>
    </row>
    <row r="363" spans="1:32">
      <c r="A363" s="2972">
        <v>362</v>
      </c>
      <c r="B363" s="2974" t="s">
        <v>3230</v>
      </c>
      <c r="C363" s="2973" t="s">
        <v>3212</v>
      </c>
      <c r="D363" s="2981" t="s">
        <v>3215</v>
      </c>
      <c r="E363" s="2974">
        <v>602</v>
      </c>
      <c r="F363" s="2980">
        <v>56.66</v>
      </c>
      <c r="G363" s="2979">
        <v>12.28</v>
      </c>
      <c r="H363" s="2979">
        <v>68.94</v>
      </c>
      <c r="I363" s="2979" t="s">
        <v>3055</v>
      </c>
      <c r="J363" s="2974" t="s">
        <v>3144</v>
      </c>
      <c r="L363" s="2976"/>
      <c r="M363" s="2976"/>
      <c r="N363" s="2976"/>
      <c r="O363" s="2976"/>
      <c r="P363" s="2976"/>
      <c r="Q363" s="2976"/>
      <c r="R363" s="2976"/>
      <c r="S363" s="2976"/>
      <c r="T363" s="2976"/>
      <c r="U363" s="2976"/>
      <c r="V363" s="2976"/>
      <c r="W363" s="2976"/>
      <c r="X363" s="2976"/>
      <c r="Y363" s="2976"/>
      <c r="Z363" s="2976"/>
      <c r="AA363" s="2976"/>
      <c r="AB363" s="2976"/>
      <c r="AC363" s="2976"/>
      <c r="AD363" s="2976"/>
      <c r="AE363" s="2976"/>
      <c r="AF363" s="2976"/>
    </row>
    <row r="364" spans="1:32">
      <c r="A364" s="2972">
        <v>363</v>
      </c>
      <c r="B364" s="2974" t="s">
        <v>3230</v>
      </c>
      <c r="C364" s="2973" t="s">
        <v>3212</v>
      </c>
      <c r="D364" s="2981" t="s">
        <v>3215</v>
      </c>
      <c r="E364" s="2974">
        <v>603</v>
      </c>
      <c r="F364" s="2980">
        <v>56.95</v>
      </c>
      <c r="G364" s="2979">
        <v>12.34</v>
      </c>
      <c r="H364" s="2979">
        <v>69.290000000000006</v>
      </c>
      <c r="I364" s="2979" t="s">
        <v>3055</v>
      </c>
      <c r="J364" s="2974" t="s">
        <v>3144</v>
      </c>
      <c r="L364" s="2976"/>
      <c r="M364" s="2976"/>
      <c r="N364" s="2976"/>
      <c r="O364" s="2976"/>
      <c r="P364" s="2976"/>
      <c r="Q364" s="2976"/>
      <c r="R364" s="2976"/>
      <c r="S364" s="2976"/>
      <c r="T364" s="2976"/>
      <c r="U364" s="2976"/>
      <c r="V364" s="2976"/>
      <c r="W364" s="2976"/>
      <c r="X364" s="2976"/>
      <c r="Y364" s="2976"/>
      <c r="Z364" s="2976"/>
      <c r="AA364" s="2976"/>
      <c r="AB364" s="2976"/>
      <c r="AC364" s="2976"/>
      <c r="AD364" s="2976"/>
      <c r="AE364" s="2976"/>
      <c r="AF364" s="2976"/>
    </row>
    <row r="365" spans="1:32">
      <c r="A365" s="2972">
        <v>364</v>
      </c>
      <c r="B365" s="2974" t="s">
        <v>3230</v>
      </c>
      <c r="C365" s="2973" t="s">
        <v>3212</v>
      </c>
      <c r="D365" s="2981" t="s">
        <v>3215</v>
      </c>
      <c r="E365" s="2974">
        <v>605</v>
      </c>
      <c r="F365" s="2980">
        <v>56.95</v>
      </c>
      <c r="G365" s="2979">
        <v>12.34</v>
      </c>
      <c r="H365" s="2979">
        <v>69.290000000000006</v>
      </c>
      <c r="I365" s="2979" t="s">
        <v>3055</v>
      </c>
      <c r="J365" s="2974" t="s">
        <v>3144</v>
      </c>
      <c r="L365" s="2976"/>
      <c r="M365" s="2976"/>
      <c r="N365" s="2976"/>
      <c r="O365" s="2976"/>
      <c r="P365" s="2976"/>
      <c r="Q365" s="2976"/>
      <c r="R365" s="2976"/>
      <c r="S365" s="2976"/>
      <c r="T365" s="2976"/>
      <c r="U365" s="2976"/>
      <c r="V365" s="2976"/>
      <c r="W365" s="2976"/>
      <c r="X365" s="2976"/>
      <c r="Y365" s="2976"/>
      <c r="Z365" s="2976"/>
      <c r="AA365" s="2976"/>
      <c r="AB365" s="2976"/>
      <c r="AC365" s="2976"/>
      <c r="AD365" s="2976"/>
      <c r="AE365" s="2976"/>
      <c r="AF365" s="2976"/>
    </row>
    <row r="366" spans="1:32">
      <c r="A366" s="2972">
        <v>365</v>
      </c>
      <c r="B366" s="2974" t="s">
        <v>3230</v>
      </c>
      <c r="C366" s="2973" t="s">
        <v>3212</v>
      </c>
      <c r="D366" s="2981" t="s">
        <v>3215</v>
      </c>
      <c r="E366" s="2974">
        <v>606</v>
      </c>
      <c r="F366" s="2980">
        <v>56.66</v>
      </c>
      <c r="G366" s="2979">
        <v>12.28</v>
      </c>
      <c r="H366" s="2979">
        <v>68.94</v>
      </c>
      <c r="I366" s="2979" t="s">
        <v>3055</v>
      </c>
      <c r="J366" s="2974" t="s">
        <v>3144</v>
      </c>
      <c r="L366" s="2976"/>
      <c r="M366" s="2976"/>
      <c r="N366" s="2976"/>
      <c r="O366" s="2976"/>
      <c r="P366" s="2976"/>
      <c r="Q366" s="2976"/>
      <c r="R366" s="2976"/>
      <c r="S366" s="2976"/>
      <c r="T366" s="2976"/>
      <c r="U366" s="2976"/>
      <c r="V366" s="2976"/>
      <c r="W366" s="2976"/>
      <c r="X366" s="2976"/>
      <c r="Y366" s="2976"/>
      <c r="Z366" s="2976"/>
      <c r="AA366" s="2976"/>
      <c r="AB366" s="2976"/>
      <c r="AC366" s="2976"/>
      <c r="AD366" s="2976"/>
      <c r="AE366" s="2976"/>
      <c r="AF366" s="2976"/>
    </row>
    <row r="367" spans="1:32">
      <c r="A367" s="2972">
        <v>366</v>
      </c>
      <c r="B367" s="2974" t="s">
        <v>3231</v>
      </c>
      <c r="C367" s="2973" t="s">
        <v>3207</v>
      </c>
      <c r="D367" s="2972" t="s">
        <v>3183</v>
      </c>
      <c r="E367" s="2974">
        <v>101</v>
      </c>
      <c r="F367" s="2980">
        <v>77.180000000000007</v>
      </c>
      <c r="G367" s="2979">
        <v>16.75</v>
      </c>
      <c r="H367" s="2979">
        <v>93.93</v>
      </c>
      <c r="I367" s="2979" t="s">
        <v>3055</v>
      </c>
      <c r="J367" s="2974" t="s">
        <v>3144</v>
      </c>
      <c r="L367" s="2976"/>
      <c r="M367" s="2976"/>
      <c r="N367" s="2976"/>
      <c r="O367" s="2976"/>
      <c r="P367" s="2976"/>
      <c r="Q367" s="2976"/>
      <c r="R367" s="2976"/>
      <c r="S367" s="2976"/>
      <c r="T367" s="2976"/>
      <c r="U367" s="2976"/>
      <c r="V367" s="2976"/>
      <c r="W367" s="2976"/>
      <c r="X367" s="2976"/>
      <c r="Y367" s="2976"/>
      <c r="Z367" s="2976"/>
      <c r="AA367" s="2976"/>
      <c r="AB367" s="2976"/>
      <c r="AC367" s="2976"/>
      <c r="AD367" s="2976"/>
      <c r="AE367" s="2976"/>
      <c r="AF367" s="2976"/>
    </row>
    <row r="368" spans="1:32">
      <c r="A368" s="2972">
        <v>367</v>
      </c>
      <c r="B368" s="2974" t="s">
        <v>3231</v>
      </c>
      <c r="C368" s="2973" t="s">
        <v>3207</v>
      </c>
      <c r="D368" s="2972" t="s">
        <v>3183</v>
      </c>
      <c r="E368" s="2974">
        <v>102</v>
      </c>
      <c r="F368" s="2980">
        <v>56.84</v>
      </c>
      <c r="G368" s="2979">
        <v>12.33</v>
      </c>
      <c r="H368" s="2979">
        <v>69.17</v>
      </c>
      <c r="I368" s="2979" t="s">
        <v>3055</v>
      </c>
      <c r="J368" s="2974" t="s">
        <v>3144</v>
      </c>
      <c r="L368" s="2976"/>
      <c r="M368" s="2976"/>
      <c r="N368" s="2976"/>
      <c r="O368" s="2976"/>
      <c r="P368" s="2976"/>
      <c r="Q368" s="2976"/>
      <c r="R368" s="2976"/>
      <c r="S368" s="2976"/>
      <c r="T368" s="2976"/>
      <c r="U368" s="2976"/>
      <c r="V368" s="2976"/>
      <c r="W368" s="2976"/>
      <c r="X368" s="2976"/>
      <c r="Y368" s="2976"/>
      <c r="Z368" s="2976"/>
      <c r="AA368" s="2976"/>
      <c r="AB368" s="2976"/>
      <c r="AC368" s="2976"/>
      <c r="AD368" s="2976"/>
      <c r="AE368" s="2976"/>
      <c r="AF368" s="2976"/>
    </row>
    <row r="369" spans="1:32">
      <c r="A369" s="2972">
        <v>368</v>
      </c>
      <c r="B369" s="2974" t="s">
        <v>3231</v>
      </c>
      <c r="C369" s="2973" t="s">
        <v>3207</v>
      </c>
      <c r="D369" s="2972" t="s">
        <v>3183</v>
      </c>
      <c r="E369" s="2974">
        <v>103</v>
      </c>
      <c r="F369" s="2980">
        <v>56.92</v>
      </c>
      <c r="G369" s="2979">
        <v>12.35</v>
      </c>
      <c r="H369" s="2979">
        <v>69.27</v>
      </c>
      <c r="I369" s="2979" t="s">
        <v>3055</v>
      </c>
      <c r="J369" s="2974" t="s">
        <v>3144</v>
      </c>
      <c r="L369" s="2976"/>
      <c r="M369" s="2976"/>
      <c r="N369" s="2976"/>
      <c r="O369" s="2976"/>
      <c r="P369" s="2976"/>
      <c r="Q369" s="2976"/>
      <c r="R369" s="2976"/>
      <c r="S369" s="2976"/>
      <c r="T369" s="2976"/>
      <c r="U369" s="2976"/>
      <c r="V369" s="2976"/>
      <c r="W369" s="2976"/>
      <c r="X369" s="2976"/>
      <c r="Y369" s="2976"/>
      <c r="Z369" s="2976"/>
      <c r="AA369" s="2976"/>
      <c r="AB369" s="2976"/>
      <c r="AC369" s="2976"/>
      <c r="AD369" s="2976"/>
      <c r="AE369" s="2976"/>
      <c r="AF369" s="2976"/>
    </row>
    <row r="370" spans="1:32">
      <c r="A370" s="2972">
        <v>369</v>
      </c>
      <c r="B370" s="2974" t="s">
        <v>3231</v>
      </c>
      <c r="C370" s="2973" t="s">
        <v>3207</v>
      </c>
      <c r="D370" s="2972" t="s">
        <v>3183</v>
      </c>
      <c r="E370" s="2974">
        <v>105</v>
      </c>
      <c r="F370" s="2980">
        <v>56.92</v>
      </c>
      <c r="G370" s="2979">
        <v>12.35</v>
      </c>
      <c r="H370" s="2979">
        <v>69.27</v>
      </c>
      <c r="I370" s="2979" t="s">
        <v>3055</v>
      </c>
      <c r="J370" s="2974" t="s">
        <v>3144</v>
      </c>
      <c r="L370" s="2976"/>
      <c r="M370" s="2976"/>
      <c r="N370" s="2976"/>
      <c r="O370" s="2976"/>
      <c r="P370" s="2976"/>
      <c r="Q370" s="2976"/>
      <c r="R370" s="2976"/>
      <c r="S370" s="2976"/>
      <c r="T370" s="2976"/>
      <c r="U370" s="2976"/>
      <c r="V370" s="2976"/>
      <c r="W370" s="2976"/>
      <c r="X370" s="2976"/>
      <c r="Y370" s="2976"/>
      <c r="Z370" s="2976"/>
      <c r="AA370" s="2976"/>
      <c r="AB370" s="2976"/>
      <c r="AC370" s="2976"/>
      <c r="AD370" s="2976"/>
      <c r="AE370" s="2976"/>
      <c r="AF370" s="2976"/>
    </row>
    <row r="371" spans="1:32">
      <c r="A371" s="2972">
        <v>370</v>
      </c>
      <c r="B371" s="2974" t="s">
        <v>3231</v>
      </c>
      <c r="C371" s="2973" t="s">
        <v>3207</v>
      </c>
      <c r="D371" s="2972" t="s">
        <v>3183</v>
      </c>
      <c r="E371" s="2974">
        <v>106</v>
      </c>
      <c r="F371" s="2980">
        <v>56.66</v>
      </c>
      <c r="G371" s="2979">
        <v>12.29</v>
      </c>
      <c r="H371" s="2979">
        <v>68.949999999999989</v>
      </c>
      <c r="I371" s="2979" t="s">
        <v>3055</v>
      </c>
      <c r="J371" s="2974" t="s">
        <v>3144</v>
      </c>
      <c r="L371" s="2976"/>
      <c r="M371" s="2976"/>
      <c r="N371" s="2976"/>
      <c r="O371" s="2976"/>
      <c r="P371" s="2976"/>
      <c r="Q371" s="2976"/>
      <c r="R371" s="2976"/>
      <c r="S371" s="2976"/>
      <c r="T371" s="2976"/>
      <c r="U371" s="2976"/>
      <c r="V371" s="2976"/>
      <c r="W371" s="2976"/>
      <c r="X371" s="2976"/>
      <c r="Y371" s="2976"/>
      <c r="Z371" s="2976"/>
      <c r="AA371" s="2976"/>
      <c r="AB371" s="2976"/>
      <c r="AC371" s="2976"/>
      <c r="AD371" s="2976"/>
      <c r="AE371" s="2976"/>
      <c r="AF371" s="2976"/>
    </row>
    <row r="372" spans="1:32">
      <c r="A372" s="2972">
        <v>371</v>
      </c>
      <c r="B372" s="2974" t="s">
        <v>3231</v>
      </c>
      <c r="C372" s="2973" t="s">
        <v>3207</v>
      </c>
      <c r="D372" s="2972" t="s">
        <v>3183</v>
      </c>
      <c r="E372" s="2974">
        <v>107</v>
      </c>
      <c r="F372" s="2980">
        <v>53.84</v>
      </c>
      <c r="G372" s="2979">
        <v>11.68</v>
      </c>
      <c r="H372" s="2979">
        <v>65.52000000000001</v>
      </c>
      <c r="I372" s="2979" t="s">
        <v>3055</v>
      </c>
      <c r="J372" s="2974" t="s">
        <v>3143</v>
      </c>
      <c r="L372" s="2976"/>
      <c r="M372" s="2976"/>
      <c r="N372" s="2976"/>
      <c r="O372" s="2976"/>
      <c r="P372" s="2976"/>
      <c r="Q372" s="2976"/>
      <c r="R372" s="2976"/>
      <c r="S372" s="2976"/>
      <c r="T372" s="2976"/>
      <c r="U372" s="2976"/>
      <c r="V372" s="2976"/>
      <c r="W372" s="2976"/>
      <c r="X372" s="2976"/>
      <c r="Y372" s="2976"/>
      <c r="Z372" s="2976"/>
      <c r="AA372" s="2976"/>
      <c r="AB372" s="2976"/>
      <c r="AC372" s="2976"/>
      <c r="AD372" s="2976"/>
      <c r="AE372" s="2976"/>
      <c r="AF372" s="2976"/>
    </row>
    <row r="373" spans="1:32">
      <c r="A373" s="2972">
        <v>372</v>
      </c>
      <c r="B373" s="2974" t="s">
        <v>3231</v>
      </c>
      <c r="C373" s="2973" t="s">
        <v>3209</v>
      </c>
      <c r="D373" s="2972" t="s">
        <v>3183</v>
      </c>
      <c r="E373" s="2974">
        <v>307</v>
      </c>
      <c r="F373" s="2980">
        <v>53.84</v>
      </c>
      <c r="G373" s="2979">
        <v>11.68</v>
      </c>
      <c r="H373" s="2979">
        <v>65.52000000000001</v>
      </c>
      <c r="I373" s="2979" t="s">
        <v>3055</v>
      </c>
      <c r="J373" s="2974" t="s">
        <v>3143</v>
      </c>
      <c r="L373" s="2976"/>
      <c r="M373" s="2976"/>
      <c r="N373" s="2976"/>
      <c r="O373" s="2976"/>
      <c r="P373" s="2976"/>
      <c r="Q373" s="2976"/>
      <c r="R373" s="2976"/>
      <c r="S373" s="2976"/>
      <c r="T373" s="2976"/>
      <c r="U373" s="2976"/>
      <c r="V373" s="2976"/>
      <c r="W373" s="2976"/>
      <c r="X373" s="2976"/>
      <c r="Y373" s="2976"/>
      <c r="Z373" s="2976"/>
      <c r="AA373" s="2976"/>
      <c r="AB373" s="2976"/>
      <c r="AC373" s="2976"/>
      <c r="AD373" s="2976"/>
      <c r="AE373" s="2976"/>
      <c r="AF373" s="2976"/>
    </row>
    <row r="374" spans="1:32">
      <c r="A374" s="2972">
        <v>373</v>
      </c>
      <c r="B374" s="2974" t="s">
        <v>3231</v>
      </c>
      <c r="C374" s="2973" t="s">
        <v>3210</v>
      </c>
      <c r="D374" s="2972" t="s">
        <v>3183</v>
      </c>
      <c r="E374" s="2974" t="s">
        <v>3150</v>
      </c>
      <c r="F374" s="2980">
        <v>53.84</v>
      </c>
      <c r="G374" s="2979">
        <v>11.68</v>
      </c>
      <c r="H374" s="2979">
        <v>65.52000000000001</v>
      </c>
      <c r="I374" s="2979" t="s">
        <v>3055</v>
      </c>
      <c r="J374" s="2974" t="s">
        <v>3143</v>
      </c>
      <c r="L374" s="2976"/>
      <c r="M374" s="2976"/>
      <c r="N374" s="2976"/>
      <c r="O374" s="2976"/>
      <c r="P374" s="2976"/>
      <c r="Q374" s="2976"/>
      <c r="R374" s="2976"/>
      <c r="S374" s="2976"/>
      <c r="T374" s="2976"/>
      <c r="U374" s="2976"/>
      <c r="V374" s="2976"/>
      <c r="W374" s="2976"/>
      <c r="X374" s="2976"/>
      <c r="Y374" s="2976"/>
      <c r="Z374" s="2976"/>
      <c r="AA374" s="2976"/>
      <c r="AB374" s="2976"/>
      <c r="AC374" s="2976"/>
      <c r="AD374" s="2976"/>
      <c r="AE374" s="2976"/>
      <c r="AF374" s="2976"/>
    </row>
    <row r="375" spans="1:32">
      <c r="A375" s="2972">
        <v>374</v>
      </c>
      <c r="B375" s="2974" t="s">
        <v>3231</v>
      </c>
      <c r="C375" s="2973" t="s">
        <v>3212</v>
      </c>
      <c r="D375" s="2972" t="s">
        <v>3183</v>
      </c>
      <c r="E375" s="2974">
        <v>602</v>
      </c>
      <c r="F375" s="2980">
        <v>56.66</v>
      </c>
      <c r="G375" s="2979">
        <v>12.29</v>
      </c>
      <c r="H375" s="2979">
        <v>68.949999999999989</v>
      </c>
      <c r="I375" s="2979" t="s">
        <v>3055</v>
      </c>
      <c r="J375" s="2974" t="s">
        <v>3144</v>
      </c>
      <c r="L375" s="2976"/>
      <c r="M375" s="2976"/>
      <c r="N375" s="2976"/>
      <c r="O375" s="2976"/>
      <c r="P375" s="2976"/>
      <c r="Q375" s="2976"/>
      <c r="R375" s="2976"/>
      <c r="S375" s="2976"/>
      <c r="T375" s="2976"/>
      <c r="U375" s="2976"/>
      <c r="V375" s="2976"/>
      <c r="W375" s="2976"/>
      <c r="X375" s="2976"/>
      <c r="Y375" s="2976"/>
      <c r="Z375" s="2976"/>
      <c r="AA375" s="2976"/>
      <c r="AB375" s="2976"/>
      <c r="AC375" s="2976"/>
      <c r="AD375" s="2976"/>
      <c r="AE375" s="2976"/>
      <c r="AF375" s="2976"/>
    </row>
    <row r="376" spans="1:32">
      <c r="A376" s="2972">
        <v>375</v>
      </c>
      <c r="B376" s="2974" t="s">
        <v>3231</v>
      </c>
      <c r="C376" s="2973" t="s">
        <v>3212</v>
      </c>
      <c r="D376" s="2972" t="s">
        <v>3183</v>
      </c>
      <c r="E376" s="2974">
        <v>603</v>
      </c>
      <c r="F376" s="2980">
        <v>56.74</v>
      </c>
      <c r="G376" s="2979">
        <v>12.31</v>
      </c>
      <c r="H376" s="2979">
        <v>69.05</v>
      </c>
      <c r="I376" s="2979" t="s">
        <v>3055</v>
      </c>
      <c r="J376" s="2974" t="s">
        <v>3144</v>
      </c>
      <c r="L376" s="2976"/>
      <c r="M376" s="2976"/>
      <c r="N376" s="2976"/>
      <c r="O376" s="2976"/>
      <c r="P376" s="2976"/>
      <c r="Q376" s="2976"/>
      <c r="R376" s="2976"/>
      <c r="S376" s="2976"/>
      <c r="T376" s="2976"/>
      <c r="U376" s="2976"/>
      <c r="V376" s="2976"/>
      <c r="W376" s="2976"/>
      <c r="X376" s="2976"/>
      <c r="Y376" s="2976"/>
      <c r="Z376" s="2976"/>
      <c r="AA376" s="2976"/>
      <c r="AB376" s="2976"/>
      <c r="AC376" s="2976"/>
      <c r="AD376" s="2976"/>
      <c r="AE376" s="2976"/>
      <c r="AF376" s="2976"/>
    </row>
    <row r="377" spans="1:32">
      <c r="A377" s="2972">
        <v>376</v>
      </c>
      <c r="B377" s="2974" t="s">
        <v>3231</v>
      </c>
      <c r="C377" s="2973" t="s">
        <v>3212</v>
      </c>
      <c r="D377" s="2972" t="s">
        <v>3183</v>
      </c>
      <c r="E377" s="2974">
        <v>605</v>
      </c>
      <c r="F377" s="2980">
        <v>56.74</v>
      </c>
      <c r="G377" s="2979">
        <v>12.31</v>
      </c>
      <c r="H377" s="2979">
        <v>69.05</v>
      </c>
      <c r="I377" s="2979" t="s">
        <v>3055</v>
      </c>
      <c r="J377" s="2974" t="s">
        <v>3144</v>
      </c>
      <c r="L377" s="2976"/>
      <c r="M377" s="2976"/>
      <c r="N377" s="2976"/>
      <c r="O377" s="2976"/>
      <c r="P377" s="2976"/>
      <c r="Q377" s="2976"/>
      <c r="R377" s="2976"/>
      <c r="S377" s="2976"/>
      <c r="T377" s="2976"/>
      <c r="U377" s="2976"/>
      <c r="V377" s="2976"/>
      <c r="W377" s="2976"/>
      <c r="X377" s="2976"/>
      <c r="Y377" s="2976"/>
      <c r="Z377" s="2976"/>
      <c r="AA377" s="2976"/>
      <c r="AB377" s="2976"/>
      <c r="AC377" s="2976"/>
      <c r="AD377" s="2976"/>
      <c r="AE377" s="2976"/>
      <c r="AF377" s="2976"/>
    </row>
    <row r="378" spans="1:32">
      <c r="A378" s="2972">
        <v>377</v>
      </c>
      <c r="B378" s="2974" t="s">
        <v>3231</v>
      </c>
      <c r="C378" s="2973" t="s">
        <v>3212</v>
      </c>
      <c r="D378" s="2972" t="s">
        <v>3183</v>
      </c>
      <c r="E378" s="2974">
        <v>606</v>
      </c>
      <c r="F378" s="2980">
        <v>56.66</v>
      </c>
      <c r="G378" s="2979">
        <v>12.29</v>
      </c>
      <c r="H378" s="2979">
        <v>68.949999999999989</v>
      </c>
      <c r="I378" s="2979" t="s">
        <v>3055</v>
      </c>
      <c r="J378" s="2974" t="s">
        <v>3144</v>
      </c>
      <c r="L378" s="2976"/>
      <c r="M378" s="2976"/>
      <c r="N378" s="2976"/>
      <c r="O378" s="2976"/>
      <c r="P378" s="2976"/>
      <c r="Q378" s="2976"/>
      <c r="R378" s="2976"/>
      <c r="S378" s="2976"/>
      <c r="T378" s="2976"/>
      <c r="U378" s="2976"/>
      <c r="V378" s="2976"/>
      <c r="W378" s="2976"/>
      <c r="X378" s="2976"/>
      <c r="Y378" s="2976"/>
      <c r="Z378" s="2976"/>
      <c r="AA378" s="2976"/>
      <c r="AB378" s="2976"/>
      <c r="AC378" s="2976"/>
      <c r="AD378" s="2976"/>
      <c r="AE378" s="2976"/>
      <c r="AF378" s="2976"/>
    </row>
    <row r="379" spans="1:32">
      <c r="A379" s="2972">
        <v>378</v>
      </c>
      <c r="B379" s="2974" t="s">
        <v>3232</v>
      </c>
      <c r="C379" s="2973" t="s">
        <v>3207</v>
      </c>
      <c r="D379" s="2972" t="s">
        <v>3183</v>
      </c>
      <c r="E379" s="2974">
        <v>101</v>
      </c>
      <c r="F379" s="2980">
        <v>77.180000000000007</v>
      </c>
      <c r="G379" s="2979">
        <v>17.45</v>
      </c>
      <c r="H379" s="2979">
        <v>94.63000000000001</v>
      </c>
      <c r="I379" s="2979" t="s">
        <v>3055</v>
      </c>
      <c r="J379" s="2974" t="s">
        <v>3144</v>
      </c>
      <c r="L379" s="2976"/>
      <c r="M379" s="2976"/>
      <c r="N379" s="2976"/>
      <c r="O379" s="2976"/>
      <c r="P379" s="2976"/>
      <c r="Q379" s="2976"/>
      <c r="R379" s="2976"/>
      <c r="S379" s="2976"/>
      <c r="T379" s="2976"/>
      <c r="U379" s="2976"/>
      <c r="V379" s="2976"/>
      <c r="W379" s="2976"/>
      <c r="X379" s="2976"/>
      <c r="Y379" s="2976"/>
      <c r="Z379" s="2976"/>
      <c r="AA379" s="2976"/>
      <c r="AB379" s="2976"/>
      <c r="AC379" s="2976"/>
      <c r="AD379" s="2976"/>
      <c r="AE379" s="2976"/>
      <c r="AF379" s="2976"/>
    </row>
    <row r="380" spans="1:32">
      <c r="A380" s="2972">
        <v>379</v>
      </c>
      <c r="B380" s="2974" t="s">
        <v>3232</v>
      </c>
      <c r="C380" s="2973" t="s">
        <v>3207</v>
      </c>
      <c r="D380" s="2972" t="s">
        <v>3183</v>
      </c>
      <c r="E380" s="2974">
        <v>102</v>
      </c>
      <c r="F380" s="2980">
        <v>56.66</v>
      </c>
      <c r="G380" s="2979">
        <v>12.81</v>
      </c>
      <c r="H380" s="2979">
        <v>69.47</v>
      </c>
      <c r="I380" s="2979" t="s">
        <v>3055</v>
      </c>
      <c r="J380" s="2974" t="s">
        <v>3144</v>
      </c>
      <c r="L380" s="2976"/>
      <c r="M380" s="2976"/>
      <c r="N380" s="2976"/>
      <c r="O380" s="2976"/>
      <c r="P380" s="2976"/>
      <c r="Q380" s="2976"/>
      <c r="R380" s="2976"/>
      <c r="S380" s="2976"/>
      <c r="T380" s="2976"/>
      <c r="U380" s="2976"/>
      <c r="V380" s="2976"/>
      <c r="W380" s="2976"/>
      <c r="X380" s="2976"/>
      <c r="Y380" s="2976"/>
      <c r="Z380" s="2976"/>
      <c r="AA380" s="2976"/>
      <c r="AB380" s="2976"/>
      <c r="AC380" s="2976"/>
      <c r="AD380" s="2976"/>
      <c r="AE380" s="2976"/>
      <c r="AF380" s="2976"/>
    </row>
    <row r="381" spans="1:32">
      <c r="A381" s="2972">
        <v>380</v>
      </c>
      <c r="B381" s="2974" t="s">
        <v>3232</v>
      </c>
      <c r="C381" s="2973" t="s">
        <v>3207</v>
      </c>
      <c r="D381" s="2972" t="s">
        <v>3183</v>
      </c>
      <c r="E381" s="2974">
        <v>103</v>
      </c>
      <c r="F381" s="2980">
        <v>56.74</v>
      </c>
      <c r="G381" s="2979">
        <v>12.83</v>
      </c>
      <c r="H381" s="2979">
        <v>69.570000000000007</v>
      </c>
      <c r="I381" s="2979" t="s">
        <v>3055</v>
      </c>
      <c r="J381" s="2974" t="s">
        <v>3144</v>
      </c>
      <c r="L381" s="2976"/>
      <c r="M381" s="2976"/>
      <c r="N381" s="2976"/>
      <c r="O381" s="2976"/>
      <c r="P381" s="2976"/>
      <c r="Q381" s="2976"/>
      <c r="R381" s="2976"/>
      <c r="S381" s="2976"/>
      <c r="T381" s="2976"/>
      <c r="U381" s="2976"/>
      <c r="V381" s="2976"/>
      <c r="W381" s="2976"/>
      <c r="X381" s="2976"/>
      <c r="Y381" s="2976"/>
      <c r="Z381" s="2976"/>
      <c r="AA381" s="2976"/>
      <c r="AB381" s="2976"/>
      <c r="AC381" s="2976"/>
      <c r="AD381" s="2976"/>
      <c r="AE381" s="2976"/>
      <c r="AF381" s="2976"/>
    </row>
    <row r="382" spans="1:32">
      <c r="A382" s="2972">
        <v>381</v>
      </c>
      <c r="B382" s="2974" t="s">
        <v>3232</v>
      </c>
      <c r="C382" s="2973" t="s">
        <v>3207</v>
      </c>
      <c r="D382" s="2972" t="s">
        <v>3183</v>
      </c>
      <c r="E382" s="2974">
        <v>105</v>
      </c>
      <c r="F382" s="2980">
        <v>56.66</v>
      </c>
      <c r="G382" s="2979">
        <v>12.81</v>
      </c>
      <c r="H382" s="2979">
        <v>69.47</v>
      </c>
      <c r="I382" s="2979" t="s">
        <v>3055</v>
      </c>
      <c r="J382" s="2974" t="s">
        <v>3144</v>
      </c>
      <c r="L382" s="2976"/>
      <c r="M382" s="2976"/>
      <c r="N382" s="2976"/>
      <c r="O382" s="2976"/>
      <c r="P382" s="2976"/>
      <c r="Q382" s="2976"/>
      <c r="R382" s="2976"/>
      <c r="S382" s="2976"/>
      <c r="T382" s="2976"/>
      <c r="U382" s="2976"/>
      <c r="V382" s="2976"/>
      <c r="W382" s="2976"/>
      <c r="X382" s="2976"/>
      <c r="Y382" s="2976"/>
      <c r="Z382" s="2976"/>
      <c r="AA382" s="2976"/>
      <c r="AB382" s="2976"/>
      <c r="AC382" s="2976"/>
      <c r="AD382" s="2976"/>
      <c r="AE382" s="2976"/>
      <c r="AF382" s="2976"/>
    </row>
    <row r="383" spans="1:32">
      <c r="A383" s="2972">
        <v>382</v>
      </c>
      <c r="B383" s="2974" t="s">
        <v>3232</v>
      </c>
      <c r="C383" s="2973" t="s">
        <v>3207</v>
      </c>
      <c r="D383" s="2972" t="s">
        <v>3183</v>
      </c>
      <c r="E383" s="2974">
        <v>106</v>
      </c>
      <c r="F383" s="2980">
        <v>53.84</v>
      </c>
      <c r="G383" s="2979">
        <v>12.17</v>
      </c>
      <c r="H383" s="2979">
        <v>66.010000000000005</v>
      </c>
      <c r="I383" s="2979" t="s">
        <v>3055</v>
      </c>
      <c r="J383" s="2974" t="s">
        <v>3143</v>
      </c>
      <c r="L383" s="2976"/>
      <c r="M383" s="2976"/>
      <c r="N383" s="2976"/>
      <c r="O383" s="2976"/>
      <c r="P383" s="2976"/>
      <c r="Q383" s="2976"/>
      <c r="R383" s="2976"/>
      <c r="S383" s="2976"/>
      <c r="T383" s="2976"/>
      <c r="U383" s="2976"/>
      <c r="V383" s="2976"/>
      <c r="W383" s="2976"/>
      <c r="X383" s="2976"/>
      <c r="Y383" s="2976"/>
      <c r="Z383" s="2976"/>
      <c r="AA383" s="2976"/>
      <c r="AB383" s="2976"/>
      <c r="AC383" s="2976"/>
      <c r="AD383" s="2976"/>
      <c r="AE383" s="2976"/>
      <c r="AF383" s="2976"/>
    </row>
    <row r="384" spans="1:32">
      <c r="A384" s="2972">
        <v>383</v>
      </c>
      <c r="B384" s="2974" t="s">
        <v>3232</v>
      </c>
      <c r="C384" s="2973" t="s">
        <v>3208</v>
      </c>
      <c r="D384" s="2972" t="s">
        <v>3183</v>
      </c>
      <c r="E384" s="2974">
        <v>201</v>
      </c>
      <c r="F384" s="2980">
        <v>77.180000000000007</v>
      </c>
      <c r="G384" s="2979">
        <v>17.45</v>
      </c>
      <c r="H384" s="2979">
        <v>94.63000000000001</v>
      </c>
      <c r="I384" s="2979" t="s">
        <v>3055</v>
      </c>
      <c r="J384" s="2974" t="s">
        <v>3144</v>
      </c>
      <c r="L384" s="2976"/>
      <c r="M384" s="2976"/>
      <c r="N384" s="2976"/>
      <c r="O384" s="2976"/>
      <c r="P384" s="2976"/>
      <c r="Q384" s="2976"/>
      <c r="R384" s="2976"/>
      <c r="S384" s="2976"/>
      <c r="T384" s="2976"/>
      <c r="U384" s="2976"/>
      <c r="V384" s="2976"/>
      <c r="W384" s="2976"/>
      <c r="X384" s="2976"/>
      <c r="Y384" s="2976"/>
      <c r="Z384" s="2976"/>
      <c r="AA384" s="2976"/>
      <c r="AB384" s="2976"/>
      <c r="AC384" s="2976"/>
      <c r="AD384" s="2976"/>
      <c r="AE384" s="2976"/>
      <c r="AF384" s="2976"/>
    </row>
    <row r="385" spans="1:32">
      <c r="A385" s="2972">
        <v>384</v>
      </c>
      <c r="B385" s="2974" t="s">
        <v>3232</v>
      </c>
      <c r="C385" s="2973" t="s">
        <v>3208</v>
      </c>
      <c r="D385" s="2972" t="s">
        <v>3183</v>
      </c>
      <c r="E385" s="2974">
        <v>202</v>
      </c>
      <c r="F385" s="2980">
        <v>56.66</v>
      </c>
      <c r="G385" s="2979">
        <v>12.81</v>
      </c>
      <c r="H385" s="2979">
        <v>69.47</v>
      </c>
      <c r="I385" s="2979" t="s">
        <v>3055</v>
      </c>
      <c r="J385" s="2974" t="s">
        <v>3144</v>
      </c>
      <c r="L385" s="2976"/>
      <c r="M385" s="2976"/>
      <c r="N385" s="2976"/>
      <c r="O385" s="2976"/>
      <c r="P385" s="2976"/>
      <c r="Q385" s="2976"/>
      <c r="R385" s="2976"/>
      <c r="S385" s="2976"/>
      <c r="T385" s="2976"/>
      <c r="U385" s="2976"/>
      <c r="V385" s="2976"/>
      <c r="W385" s="2976"/>
      <c r="X385" s="2976"/>
      <c r="Y385" s="2976"/>
      <c r="Z385" s="2976"/>
      <c r="AA385" s="2976"/>
      <c r="AB385" s="2976"/>
      <c r="AC385" s="2976"/>
      <c r="AD385" s="2976"/>
      <c r="AE385" s="2976"/>
      <c r="AF385" s="2976"/>
    </row>
    <row r="386" spans="1:32">
      <c r="A386" s="2972">
        <v>385</v>
      </c>
      <c r="B386" s="2974" t="s">
        <v>3232</v>
      </c>
      <c r="C386" s="2973" t="s">
        <v>3208</v>
      </c>
      <c r="D386" s="2972" t="s">
        <v>3183</v>
      </c>
      <c r="E386" s="2974">
        <v>203</v>
      </c>
      <c r="F386" s="2980">
        <v>56.74</v>
      </c>
      <c r="G386" s="2979">
        <v>12.83</v>
      </c>
      <c r="H386" s="2979">
        <v>69.570000000000007</v>
      </c>
      <c r="I386" s="2979" t="s">
        <v>3055</v>
      </c>
      <c r="J386" s="2974" t="s">
        <v>3144</v>
      </c>
      <c r="L386" s="2976"/>
      <c r="M386" s="2976"/>
      <c r="N386" s="2976"/>
      <c r="O386" s="2976"/>
      <c r="P386" s="2976"/>
      <c r="Q386" s="2976"/>
      <c r="R386" s="2976"/>
      <c r="S386" s="2976"/>
      <c r="T386" s="2976"/>
      <c r="U386" s="2976"/>
      <c r="V386" s="2976"/>
      <c r="W386" s="2976"/>
      <c r="X386" s="2976"/>
      <c r="Y386" s="2976"/>
      <c r="Z386" s="2976"/>
      <c r="AA386" s="2976"/>
      <c r="AB386" s="2976"/>
      <c r="AC386" s="2976"/>
      <c r="AD386" s="2976"/>
      <c r="AE386" s="2976"/>
      <c r="AF386" s="2976"/>
    </row>
    <row r="387" spans="1:32">
      <c r="A387" s="2972">
        <v>386</v>
      </c>
      <c r="B387" s="2974" t="s">
        <v>3232</v>
      </c>
      <c r="C387" s="2973" t="s">
        <v>3208</v>
      </c>
      <c r="D387" s="2972" t="s">
        <v>3183</v>
      </c>
      <c r="E387" s="2974">
        <v>205</v>
      </c>
      <c r="F387" s="2980">
        <v>56.74</v>
      </c>
      <c r="G387" s="2979">
        <v>12.83</v>
      </c>
      <c r="H387" s="2979">
        <v>69.570000000000007</v>
      </c>
      <c r="I387" s="2979" t="s">
        <v>3055</v>
      </c>
      <c r="J387" s="2974" t="s">
        <v>3144</v>
      </c>
      <c r="L387" s="2976"/>
      <c r="M387" s="2976"/>
      <c r="N387" s="2976"/>
      <c r="O387" s="2976"/>
      <c r="P387" s="2976"/>
      <c r="Q387" s="2976"/>
      <c r="R387" s="2976"/>
      <c r="S387" s="2976"/>
      <c r="T387" s="2976"/>
      <c r="U387" s="2976"/>
      <c r="V387" s="2976"/>
      <c r="W387" s="2976"/>
      <c r="X387" s="2976"/>
      <c r="Y387" s="2976"/>
      <c r="Z387" s="2976"/>
      <c r="AA387" s="2976"/>
      <c r="AB387" s="2976"/>
      <c r="AC387" s="2976"/>
      <c r="AD387" s="2976"/>
      <c r="AE387" s="2976"/>
      <c r="AF387" s="2976"/>
    </row>
    <row r="388" spans="1:32">
      <c r="A388" s="2972">
        <v>387</v>
      </c>
      <c r="B388" s="2974" t="s">
        <v>3232</v>
      </c>
      <c r="C388" s="2973" t="s">
        <v>3208</v>
      </c>
      <c r="D388" s="2972" t="s">
        <v>3183</v>
      </c>
      <c r="E388" s="2974">
        <v>206</v>
      </c>
      <c r="F388" s="2980">
        <v>56.66</v>
      </c>
      <c r="G388" s="2979">
        <v>12.81</v>
      </c>
      <c r="H388" s="2979">
        <v>69.47</v>
      </c>
      <c r="I388" s="2979" t="s">
        <v>3055</v>
      </c>
      <c r="J388" s="2974" t="s">
        <v>3144</v>
      </c>
      <c r="L388" s="2976"/>
      <c r="M388" s="2976"/>
      <c r="N388" s="2976"/>
      <c r="O388" s="2976"/>
      <c r="P388" s="2976"/>
      <c r="Q388" s="2976"/>
      <c r="R388" s="2976"/>
      <c r="S388" s="2976"/>
      <c r="T388" s="2976"/>
      <c r="U388" s="2976"/>
      <c r="V388" s="2976"/>
      <c r="W388" s="2976"/>
      <c r="X388" s="2976"/>
      <c r="Y388" s="2976"/>
      <c r="Z388" s="2976"/>
      <c r="AA388" s="2976"/>
      <c r="AB388" s="2976"/>
      <c r="AC388" s="2976"/>
      <c r="AD388" s="2976"/>
      <c r="AE388" s="2976"/>
      <c r="AF388" s="2976"/>
    </row>
    <row r="389" spans="1:32">
      <c r="A389" s="2972">
        <v>388</v>
      </c>
      <c r="B389" s="2974" t="s">
        <v>3232</v>
      </c>
      <c r="C389" s="2973" t="s">
        <v>3208</v>
      </c>
      <c r="D389" s="2972" t="s">
        <v>3183</v>
      </c>
      <c r="E389" s="2974">
        <v>207</v>
      </c>
      <c r="F389" s="2980">
        <v>53.84</v>
      </c>
      <c r="G389" s="2979">
        <v>12.17</v>
      </c>
      <c r="H389" s="2979">
        <v>66.010000000000005</v>
      </c>
      <c r="I389" s="2979" t="s">
        <v>3055</v>
      </c>
      <c r="J389" s="2974" t="s">
        <v>3143</v>
      </c>
      <c r="L389" s="2976"/>
      <c r="M389" s="2976"/>
      <c r="N389" s="2976"/>
      <c r="O389" s="2976"/>
      <c r="P389" s="2976"/>
      <c r="Q389" s="2976"/>
      <c r="R389" s="2976"/>
      <c r="S389" s="2976"/>
      <c r="T389" s="2976"/>
      <c r="U389" s="2976"/>
      <c r="V389" s="2976"/>
      <c r="W389" s="2976"/>
      <c r="X389" s="2976"/>
      <c r="Y389" s="2976"/>
      <c r="Z389" s="2976"/>
      <c r="AA389" s="2976"/>
      <c r="AB389" s="2976"/>
      <c r="AC389" s="2976"/>
      <c r="AD389" s="2976"/>
      <c r="AE389" s="2976"/>
      <c r="AF389" s="2976"/>
    </row>
    <row r="390" spans="1:32">
      <c r="A390" s="2972">
        <v>389</v>
      </c>
      <c r="B390" s="2974" t="s">
        <v>3232</v>
      </c>
      <c r="C390" s="2973" t="s">
        <v>3209</v>
      </c>
      <c r="D390" s="2972" t="s">
        <v>3183</v>
      </c>
      <c r="E390" s="2974">
        <v>301</v>
      </c>
      <c r="F390" s="2980">
        <v>77.180000000000007</v>
      </c>
      <c r="G390" s="2979">
        <v>17.45</v>
      </c>
      <c r="H390" s="2979">
        <v>94.63000000000001</v>
      </c>
      <c r="I390" s="2979" t="s">
        <v>3055</v>
      </c>
      <c r="J390" s="2974" t="s">
        <v>3144</v>
      </c>
      <c r="L390" s="2976"/>
      <c r="M390" s="2976"/>
      <c r="N390" s="2976"/>
      <c r="O390" s="2976"/>
      <c r="P390" s="2976"/>
      <c r="Q390" s="2976"/>
      <c r="R390" s="2976"/>
      <c r="S390" s="2976"/>
      <c r="T390" s="2976"/>
      <c r="U390" s="2976"/>
      <c r="V390" s="2976"/>
      <c r="W390" s="2976"/>
      <c r="X390" s="2976"/>
      <c r="Y390" s="2976"/>
      <c r="Z390" s="2976"/>
      <c r="AA390" s="2976"/>
      <c r="AB390" s="2976"/>
      <c r="AC390" s="2976"/>
      <c r="AD390" s="2976"/>
      <c r="AE390" s="2976"/>
      <c r="AF390" s="2976"/>
    </row>
    <row r="391" spans="1:32">
      <c r="A391" s="2972">
        <v>390</v>
      </c>
      <c r="B391" s="2974" t="s">
        <v>3232</v>
      </c>
      <c r="C391" s="2973" t="s">
        <v>3209</v>
      </c>
      <c r="D391" s="2972" t="s">
        <v>3183</v>
      </c>
      <c r="E391" s="2974">
        <v>303</v>
      </c>
      <c r="F391" s="2980">
        <v>56.74</v>
      </c>
      <c r="G391" s="2979">
        <v>12.83</v>
      </c>
      <c r="H391" s="2979">
        <v>69.570000000000007</v>
      </c>
      <c r="I391" s="2979" t="s">
        <v>3055</v>
      </c>
      <c r="J391" s="2974" t="s">
        <v>3144</v>
      </c>
      <c r="L391" s="2976"/>
      <c r="M391" s="2976"/>
      <c r="N391" s="2976"/>
      <c r="O391" s="2976"/>
      <c r="P391" s="2976"/>
      <c r="Q391" s="2976"/>
      <c r="R391" s="2976"/>
      <c r="S391" s="2976"/>
      <c r="T391" s="2976"/>
      <c r="U391" s="2976"/>
      <c r="V391" s="2976"/>
      <c r="W391" s="2976"/>
      <c r="X391" s="2976"/>
      <c r="Y391" s="2976"/>
      <c r="Z391" s="2976"/>
      <c r="AA391" s="2976"/>
      <c r="AB391" s="2976"/>
      <c r="AC391" s="2976"/>
      <c r="AD391" s="2976"/>
      <c r="AE391" s="2976"/>
      <c r="AF391" s="2976"/>
    </row>
    <row r="392" spans="1:32">
      <c r="A392" s="2972">
        <v>391</v>
      </c>
      <c r="B392" s="2974" t="s">
        <v>3232</v>
      </c>
      <c r="C392" s="2973" t="s">
        <v>3209</v>
      </c>
      <c r="D392" s="2972" t="s">
        <v>3183</v>
      </c>
      <c r="E392" s="2974">
        <v>305</v>
      </c>
      <c r="F392" s="2980">
        <v>56.74</v>
      </c>
      <c r="G392" s="2979">
        <v>12.83</v>
      </c>
      <c r="H392" s="2979">
        <v>69.570000000000007</v>
      </c>
      <c r="I392" s="2979" t="s">
        <v>3055</v>
      </c>
      <c r="J392" s="2974" t="s">
        <v>3144</v>
      </c>
      <c r="L392" s="2976"/>
      <c r="M392" s="2976"/>
      <c r="N392" s="2976"/>
      <c r="O392" s="2976"/>
      <c r="P392" s="2976"/>
      <c r="Q392" s="2976"/>
      <c r="R392" s="2976"/>
      <c r="S392" s="2976"/>
      <c r="T392" s="2976"/>
      <c r="U392" s="2976"/>
      <c r="V392" s="2976"/>
      <c r="W392" s="2976"/>
      <c r="X392" s="2976"/>
      <c r="Y392" s="2976"/>
      <c r="Z392" s="2976"/>
      <c r="AA392" s="2976"/>
      <c r="AB392" s="2976"/>
      <c r="AC392" s="2976"/>
      <c r="AD392" s="2976"/>
      <c r="AE392" s="2976"/>
      <c r="AF392" s="2976"/>
    </row>
    <row r="393" spans="1:32">
      <c r="A393" s="2972">
        <v>392</v>
      </c>
      <c r="B393" s="2974" t="s">
        <v>3232</v>
      </c>
      <c r="C393" s="2973" t="s">
        <v>3209</v>
      </c>
      <c r="D393" s="2972" t="s">
        <v>3183</v>
      </c>
      <c r="E393" s="2974">
        <v>306</v>
      </c>
      <c r="F393" s="2980">
        <v>56.66</v>
      </c>
      <c r="G393" s="2979">
        <v>12.81</v>
      </c>
      <c r="H393" s="2979">
        <v>69.47</v>
      </c>
      <c r="I393" s="2979" t="s">
        <v>3055</v>
      </c>
      <c r="J393" s="2974" t="s">
        <v>3144</v>
      </c>
      <c r="L393" s="2976"/>
      <c r="M393" s="2976"/>
      <c r="N393" s="2976"/>
      <c r="O393" s="2976"/>
      <c r="P393" s="2976"/>
      <c r="Q393" s="2976"/>
      <c r="R393" s="2976"/>
      <c r="S393" s="2976"/>
      <c r="T393" s="2976"/>
      <c r="U393" s="2976"/>
      <c r="V393" s="2976"/>
      <c r="W393" s="2976"/>
      <c r="X393" s="2976"/>
      <c r="Y393" s="2976"/>
      <c r="Z393" s="2976"/>
      <c r="AA393" s="2976"/>
      <c r="AB393" s="2976"/>
      <c r="AC393" s="2976"/>
      <c r="AD393" s="2976"/>
      <c r="AE393" s="2976"/>
      <c r="AF393" s="2976"/>
    </row>
    <row r="394" spans="1:32">
      <c r="A394" s="2972">
        <v>393</v>
      </c>
      <c r="B394" s="2974" t="s">
        <v>3232</v>
      </c>
      <c r="C394" s="2973" t="s">
        <v>3209</v>
      </c>
      <c r="D394" s="2972" t="s">
        <v>3183</v>
      </c>
      <c r="E394" s="2974">
        <v>307</v>
      </c>
      <c r="F394" s="2980">
        <v>53.84</v>
      </c>
      <c r="G394" s="2979">
        <v>12.17</v>
      </c>
      <c r="H394" s="2979">
        <v>66.010000000000005</v>
      </c>
      <c r="I394" s="2979" t="s">
        <v>3055</v>
      </c>
      <c r="J394" s="2974" t="s">
        <v>3143</v>
      </c>
      <c r="L394" s="2976"/>
      <c r="M394" s="2976"/>
      <c r="N394" s="2976"/>
      <c r="O394" s="2976"/>
      <c r="P394" s="2976"/>
      <c r="Q394" s="2976"/>
      <c r="R394" s="2976"/>
      <c r="S394" s="2976"/>
      <c r="T394" s="2976"/>
      <c r="U394" s="2976"/>
      <c r="V394" s="2976"/>
      <c r="W394" s="2976"/>
      <c r="X394" s="2976"/>
      <c r="Y394" s="2976"/>
      <c r="Z394" s="2976"/>
      <c r="AA394" s="2976"/>
      <c r="AB394" s="2976"/>
      <c r="AC394" s="2976"/>
      <c r="AD394" s="2976"/>
      <c r="AE394" s="2976"/>
      <c r="AF394" s="2976"/>
    </row>
    <row r="395" spans="1:32">
      <c r="A395" s="2972">
        <v>394</v>
      </c>
      <c r="B395" s="2974" t="s">
        <v>3232</v>
      </c>
      <c r="C395" s="2973" t="s">
        <v>3210</v>
      </c>
      <c r="D395" s="2972" t="s">
        <v>3183</v>
      </c>
      <c r="E395" s="2974" t="s">
        <v>3146</v>
      </c>
      <c r="F395" s="2980">
        <v>56.66</v>
      </c>
      <c r="G395" s="2979">
        <v>12.81</v>
      </c>
      <c r="H395" s="2979">
        <v>69.47</v>
      </c>
      <c r="I395" s="2979" t="s">
        <v>3055</v>
      </c>
      <c r="J395" s="2974" t="s">
        <v>3144</v>
      </c>
      <c r="L395" s="2976"/>
      <c r="M395" s="2976"/>
      <c r="N395" s="2976"/>
      <c r="O395" s="2976"/>
      <c r="P395" s="2976"/>
      <c r="Q395" s="2976"/>
      <c r="R395" s="2976"/>
      <c r="S395" s="2976"/>
      <c r="T395" s="2976"/>
      <c r="U395" s="2976"/>
      <c r="V395" s="2976"/>
      <c r="W395" s="2976"/>
      <c r="X395" s="2976"/>
      <c r="Y395" s="2976"/>
      <c r="Z395" s="2976"/>
      <c r="AA395" s="2976"/>
      <c r="AB395" s="2976"/>
      <c r="AC395" s="2976"/>
      <c r="AD395" s="2976"/>
      <c r="AE395" s="2976"/>
      <c r="AF395" s="2976"/>
    </row>
    <row r="396" spans="1:32">
      <c r="A396" s="2972">
        <v>395</v>
      </c>
      <c r="B396" s="2974" t="s">
        <v>3232</v>
      </c>
      <c r="C396" s="2973" t="s">
        <v>3210</v>
      </c>
      <c r="D396" s="2972" t="s">
        <v>3183</v>
      </c>
      <c r="E396" s="2974" t="s">
        <v>3147</v>
      </c>
      <c r="F396" s="2980">
        <v>56.74</v>
      </c>
      <c r="G396" s="2979">
        <v>12.83</v>
      </c>
      <c r="H396" s="2979">
        <v>69.570000000000007</v>
      </c>
      <c r="I396" s="2979" t="s">
        <v>3055</v>
      </c>
      <c r="J396" s="2974" t="s">
        <v>3144</v>
      </c>
      <c r="L396" s="2976"/>
      <c r="M396" s="2976"/>
      <c r="N396" s="2976"/>
      <c r="O396" s="2976"/>
      <c r="P396" s="2976"/>
      <c r="Q396" s="2976"/>
      <c r="R396" s="2976"/>
      <c r="S396" s="2976"/>
      <c r="T396" s="2976"/>
      <c r="U396" s="2976"/>
      <c r="V396" s="2976"/>
      <c r="W396" s="2976"/>
      <c r="X396" s="2976"/>
      <c r="Y396" s="2976"/>
      <c r="Z396" s="2976"/>
      <c r="AA396" s="2976"/>
      <c r="AB396" s="2976"/>
      <c r="AC396" s="2976"/>
      <c r="AD396" s="2976"/>
      <c r="AE396" s="2976"/>
      <c r="AF396" s="2976"/>
    </row>
    <row r="397" spans="1:32">
      <c r="A397" s="2972">
        <v>396</v>
      </c>
      <c r="B397" s="2974" t="s">
        <v>3232</v>
      </c>
      <c r="C397" s="2973" t="s">
        <v>3210</v>
      </c>
      <c r="D397" s="2972" t="s">
        <v>3183</v>
      </c>
      <c r="E397" s="2974" t="s">
        <v>3148</v>
      </c>
      <c r="F397" s="2980">
        <v>56.74</v>
      </c>
      <c r="G397" s="2979">
        <v>12.83</v>
      </c>
      <c r="H397" s="2979">
        <v>69.570000000000007</v>
      </c>
      <c r="I397" s="2979" t="s">
        <v>3055</v>
      </c>
      <c r="J397" s="2974" t="s">
        <v>3144</v>
      </c>
      <c r="L397" s="2976"/>
      <c r="M397" s="2976"/>
      <c r="N397" s="2976"/>
      <c r="O397" s="2976"/>
      <c r="P397" s="2976"/>
      <c r="Q397" s="2976"/>
      <c r="R397" s="2976"/>
      <c r="S397" s="2976"/>
      <c r="T397" s="2976"/>
      <c r="U397" s="2976"/>
      <c r="V397" s="2976"/>
      <c r="W397" s="2976"/>
      <c r="X397" s="2976"/>
      <c r="Y397" s="2976"/>
      <c r="Z397" s="2976"/>
      <c r="AA397" s="2976"/>
      <c r="AB397" s="2976"/>
      <c r="AC397" s="2976"/>
      <c r="AD397" s="2976"/>
      <c r="AE397" s="2976"/>
      <c r="AF397" s="2976"/>
    </row>
    <row r="398" spans="1:32">
      <c r="A398" s="2972">
        <v>397</v>
      </c>
      <c r="B398" s="2974" t="s">
        <v>3232</v>
      </c>
      <c r="C398" s="2973" t="s">
        <v>3210</v>
      </c>
      <c r="D398" s="2972" t="s">
        <v>3183</v>
      </c>
      <c r="E398" s="2974" t="s">
        <v>3150</v>
      </c>
      <c r="F398" s="2980">
        <v>53.84</v>
      </c>
      <c r="G398" s="2979">
        <v>12.17</v>
      </c>
      <c r="H398" s="2979">
        <v>66.010000000000005</v>
      </c>
      <c r="I398" s="2979" t="s">
        <v>3055</v>
      </c>
      <c r="J398" s="2974" t="s">
        <v>3143</v>
      </c>
      <c r="L398" s="2976"/>
      <c r="M398" s="2976"/>
      <c r="N398" s="2976"/>
      <c r="O398" s="2976"/>
      <c r="P398" s="2976"/>
      <c r="Q398" s="2976"/>
      <c r="R398" s="2976"/>
      <c r="S398" s="2976"/>
      <c r="T398" s="2976"/>
      <c r="U398" s="2976"/>
      <c r="V398" s="2976"/>
      <c r="W398" s="2976"/>
      <c r="X398" s="2976"/>
      <c r="Y398" s="2976"/>
      <c r="Z398" s="2976"/>
      <c r="AA398" s="2976"/>
      <c r="AB398" s="2976"/>
      <c r="AC398" s="2976"/>
      <c r="AD398" s="2976"/>
      <c r="AE398" s="2976"/>
      <c r="AF398" s="2976"/>
    </row>
    <row r="399" spans="1:32">
      <c r="A399" s="2972">
        <v>398</v>
      </c>
      <c r="B399" s="2974" t="s">
        <v>3232</v>
      </c>
      <c r="C399" s="2973" t="s">
        <v>3211</v>
      </c>
      <c r="D399" s="2972" t="s">
        <v>3183</v>
      </c>
      <c r="E399" s="2974">
        <v>502</v>
      </c>
      <c r="F399" s="2980">
        <v>56.66</v>
      </c>
      <c r="G399" s="2979">
        <v>12.81</v>
      </c>
      <c r="H399" s="2979">
        <v>69.47</v>
      </c>
      <c r="I399" s="2979" t="s">
        <v>3055</v>
      </c>
      <c r="J399" s="2974" t="s">
        <v>3144</v>
      </c>
      <c r="L399" s="2976"/>
      <c r="M399" s="2976"/>
      <c r="N399" s="2976"/>
      <c r="O399" s="2976"/>
      <c r="P399" s="2976"/>
      <c r="Q399" s="2976"/>
      <c r="R399" s="2976"/>
      <c r="S399" s="2976"/>
      <c r="T399" s="2976"/>
      <c r="U399" s="2976"/>
      <c r="V399" s="2976"/>
      <c r="W399" s="2976"/>
      <c r="X399" s="2976"/>
      <c r="Y399" s="2976"/>
      <c r="Z399" s="2976"/>
      <c r="AA399" s="2976"/>
      <c r="AB399" s="2976"/>
      <c r="AC399" s="2976"/>
      <c r="AD399" s="2976"/>
      <c r="AE399" s="2976"/>
      <c r="AF399" s="2976"/>
    </row>
    <row r="400" spans="1:32">
      <c r="A400" s="2972">
        <v>399</v>
      </c>
      <c r="B400" s="2974" t="s">
        <v>3232</v>
      </c>
      <c r="C400" s="2973" t="s">
        <v>3211</v>
      </c>
      <c r="D400" s="2972" t="s">
        <v>3183</v>
      </c>
      <c r="E400" s="2974">
        <v>503</v>
      </c>
      <c r="F400" s="2980">
        <v>56.74</v>
      </c>
      <c r="G400" s="2979">
        <v>12.83</v>
      </c>
      <c r="H400" s="2979">
        <v>69.570000000000007</v>
      </c>
      <c r="I400" s="2979" t="s">
        <v>3055</v>
      </c>
      <c r="J400" s="2974" t="s">
        <v>3144</v>
      </c>
      <c r="L400" s="2976"/>
      <c r="M400" s="2976"/>
      <c r="N400" s="2976"/>
      <c r="O400" s="2976"/>
      <c r="P400" s="2976"/>
      <c r="Q400" s="2976"/>
      <c r="R400" s="2976"/>
      <c r="S400" s="2976"/>
      <c r="T400" s="2976"/>
      <c r="U400" s="2976"/>
      <c r="V400" s="2976"/>
      <c r="W400" s="2976"/>
      <c r="X400" s="2976"/>
      <c r="Y400" s="2976"/>
      <c r="Z400" s="2976"/>
      <c r="AA400" s="2976"/>
      <c r="AB400" s="2976"/>
      <c r="AC400" s="2976"/>
      <c r="AD400" s="2976"/>
      <c r="AE400" s="2976"/>
      <c r="AF400" s="2976"/>
    </row>
    <row r="401" spans="1:32">
      <c r="A401" s="2972">
        <v>400</v>
      </c>
      <c r="B401" s="2974" t="s">
        <v>3232</v>
      </c>
      <c r="C401" s="2973" t="s">
        <v>3211</v>
      </c>
      <c r="D401" s="2972" t="s">
        <v>3183</v>
      </c>
      <c r="E401" s="2974">
        <v>505</v>
      </c>
      <c r="F401" s="2980">
        <v>56.74</v>
      </c>
      <c r="G401" s="2979">
        <v>12.83</v>
      </c>
      <c r="H401" s="2979">
        <v>69.570000000000007</v>
      </c>
      <c r="I401" s="2979" t="s">
        <v>3055</v>
      </c>
      <c r="J401" s="2974" t="s">
        <v>3144</v>
      </c>
      <c r="L401" s="2976"/>
      <c r="M401" s="2976"/>
      <c r="N401" s="2976"/>
      <c r="O401" s="2976"/>
      <c r="P401" s="2976"/>
      <c r="Q401" s="2976"/>
      <c r="R401" s="2976"/>
      <c r="S401" s="2976"/>
      <c r="T401" s="2976"/>
      <c r="U401" s="2976"/>
      <c r="V401" s="2976"/>
      <c r="W401" s="2976"/>
      <c r="X401" s="2976"/>
      <c r="Y401" s="2976"/>
      <c r="Z401" s="2976"/>
      <c r="AA401" s="2976"/>
      <c r="AB401" s="2976"/>
      <c r="AC401" s="2976"/>
      <c r="AD401" s="2976"/>
      <c r="AE401" s="2976"/>
      <c r="AF401" s="2976"/>
    </row>
    <row r="402" spans="1:32">
      <c r="A402" s="2972">
        <v>401</v>
      </c>
      <c r="B402" s="2974" t="s">
        <v>3232</v>
      </c>
      <c r="C402" s="2973" t="s">
        <v>3211</v>
      </c>
      <c r="D402" s="2972" t="s">
        <v>3183</v>
      </c>
      <c r="E402" s="2974">
        <v>506</v>
      </c>
      <c r="F402" s="2980">
        <v>56.66</v>
      </c>
      <c r="G402" s="2979">
        <v>12.81</v>
      </c>
      <c r="H402" s="2979">
        <v>69.47</v>
      </c>
      <c r="I402" s="2979" t="s">
        <v>3055</v>
      </c>
      <c r="J402" s="2974" t="s">
        <v>3144</v>
      </c>
      <c r="L402" s="2976"/>
      <c r="M402" s="2976"/>
      <c r="N402" s="2976"/>
      <c r="O402" s="2976"/>
      <c r="P402" s="2976"/>
      <c r="Q402" s="2976"/>
      <c r="R402" s="2976"/>
      <c r="S402" s="2976"/>
      <c r="T402" s="2976"/>
      <c r="U402" s="2976"/>
      <c r="V402" s="2976"/>
      <c r="W402" s="2976"/>
      <c r="X402" s="2976"/>
      <c r="Y402" s="2976"/>
      <c r="Z402" s="2976"/>
      <c r="AA402" s="2976"/>
      <c r="AB402" s="2976"/>
      <c r="AC402" s="2976"/>
      <c r="AD402" s="2976"/>
      <c r="AE402" s="2976"/>
      <c r="AF402" s="2976"/>
    </row>
    <row r="403" spans="1:32">
      <c r="A403" s="2972">
        <v>402</v>
      </c>
      <c r="B403" s="2974" t="s">
        <v>3232</v>
      </c>
      <c r="C403" s="2973" t="s">
        <v>3211</v>
      </c>
      <c r="D403" s="2972" t="s">
        <v>3183</v>
      </c>
      <c r="E403" s="2974">
        <v>507</v>
      </c>
      <c r="F403" s="2980">
        <v>53.84</v>
      </c>
      <c r="G403" s="2979">
        <v>12.17</v>
      </c>
      <c r="H403" s="2979">
        <v>66.010000000000005</v>
      </c>
      <c r="I403" s="2979" t="s">
        <v>3055</v>
      </c>
      <c r="J403" s="2974" t="s">
        <v>3143</v>
      </c>
      <c r="L403" s="2976"/>
      <c r="M403" s="2976"/>
      <c r="N403" s="2976"/>
      <c r="O403" s="2976"/>
      <c r="P403" s="2976"/>
      <c r="Q403" s="2976"/>
      <c r="R403" s="2976"/>
      <c r="S403" s="2976"/>
      <c r="T403" s="2976"/>
      <c r="U403" s="2976"/>
      <c r="V403" s="2976"/>
      <c r="W403" s="2976"/>
      <c r="X403" s="2976"/>
      <c r="Y403" s="2976"/>
      <c r="Z403" s="2976"/>
      <c r="AA403" s="2976"/>
      <c r="AB403" s="2976"/>
      <c r="AC403" s="2976"/>
      <c r="AD403" s="2976"/>
      <c r="AE403" s="2976"/>
      <c r="AF403" s="2976"/>
    </row>
    <row r="404" spans="1:32">
      <c r="A404" s="2972">
        <v>403</v>
      </c>
      <c r="B404" s="2974" t="s">
        <v>3232</v>
      </c>
      <c r="C404" s="2973" t="s">
        <v>3212</v>
      </c>
      <c r="D404" s="2972" t="s">
        <v>3183</v>
      </c>
      <c r="E404" s="2974">
        <v>601</v>
      </c>
      <c r="F404" s="2980">
        <v>77.180000000000007</v>
      </c>
      <c r="G404" s="2979">
        <v>17.45</v>
      </c>
      <c r="H404" s="2979">
        <v>94.63000000000001</v>
      </c>
      <c r="I404" s="2979" t="s">
        <v>3055</v>
      </c>
      <c r="J404" s="2974" t="s">
        <v>3144</v>
      </c>
      <c r="L404" s="2976"/>
      <c r="M404" s="2976"/>
      <c r="N404" s="2976"/>
      <c r="O404" s="2976"/>
      <c r="P404" s="2976"/>
      <c r="Q404" s="2976"/>
      <c r="R404" s="2976"/>
      <c r="S404" s="2976"/>
      <c r="T404" s="2976"/>
      <c r="U404" s="2976"/>
      <c r="V404" s="2976"/>
      <c r="W404" s="2976"/>
      <c r="X404" s="2976"/>
      <c r="Y404" s="2976"/>
      <c r="Z404" s="2976"/>
      <c r="AA404" s="2976"/>
      <c r="AB404" s="2976"/>
      <c r="AC404" s="2976"/>
      <c r="AD404" s="2976"/>
      <c r="AE404" s="2976"/>
      <c r="AF404" s="2976"/>
    </row>
    <row r="405" spans="1:32">
      <c r="A405" s="2972">
        <v>404</v>
      </c>
      <c r="B405" s="2974" t="s">
        <v>3232</v>
      </c>
      <c r="C405" s="2973" t="s">
        <v>3212</v>
      </c>
      <c r="D405" s="2972" t="s">
        <v>3183</v>
      </c>
      <c r="E405" s="2974">
        <v>602</v>
      </c>
      <c r="F405" s="2980">
        <v>56.66</v>
      </c>
      <c r="G405" s="2979">
        <v>12.81</v>
      </c>
      <c r="H405" s="2979">
        <v>69.47</v>
      </c>
      <c r="I405" s="2979" t="s">
        <v>3055</v>
      </c>
      <c r="J405" s="2974" t="s">
        <v>3144</v>
      </c>
      <c r="L405" s="2976"/>
      <c r="M405" s="2976"/>
      <c r="N405" s="2976"/>
      <c r="O405" s="2976"/>
      <c r="P405" s="2976"/>
      <c r="Q405" s="2976"/>
      <c r="R405" s="2976"/>
      <c r="S405" s="2976"/>
      <c r="T405" s="2976"/>
      <c r="U405" s="2976"/>
      <c r="V405" s="2976"/>
      <c r="W405" s="2976"/>
      <c r="X405" s="2976"/>
      <c r="Y405" s="2976"/>
      <c r="Z405" s="2976"/>
      <c r="AA405" s="2976"/>
      <c r="AB405" s="2976"/>
      <c r="AC405" s="2976"/>
      <c r="AD405" s="2976"/>
      <c r="AE405" s="2976"/>
      <c r="AF405" s="2976"/>
    </row>
    <row r="406" spans="1:32">
      <c r="A406" s="2972">
        <v>405</v>
      </c>
      <c r="B406" s="2974" t="s">
        <v>3232</v>
      </c>
      <c r="C406" s="2973" t="s">
        <v>3212</v>
      </c>
      <c r="D406" s="2972" t="s">
        <v>3183</v>
      </c>
      <c r="E406" s="2974">
        <v>603</v>
      </c>
      <c r="F406" s="2980">
        <v>56.74</v>
      </c>
      <c r="G406" s="2979">
        <v>12.83</v>
      </c>
      <c r="H406" s="2979">
        <v>69.570000000000007</v>
      </c>
      <c r="I406" s="2979" t="s">
        <v>3055</v>
      </c>
      <c r="J406" s="2974" t="s">
        <v>3144</v>
      </c>
      <c r="L406" s="2976"/>
      <c r="M406" s="2976"/>
      <c r="N406" s="2976"/>
      <c r="O406" s="2976"/>
      <c r="P406" s="2976"/>
      <c r="Q406" s="2976"/>
      <c r="R406" s="2976"/>
      <c r="S406" s="2976"/>
      <c r="T406" s="2976"/>
      <c r="U406" s="2976"/>
      <c r="V406" s="2976"/>
      <c r="W406" s="2976"/>
      <c r="X406" s="2976"/>
      <c r="Y406" s="2976"/>
      <c r="Z406" s="2976"/>
      <c r="AA406" s="2976"/>
      <c r="AB406" s="2976"/>
      <c r="AC406" s="2976"/>
      <c r="AD406" s="2976"/>
      <c r="AE406" s="2976"/>
      <c r="AF406" s="2976"/>
    </row>
    <row r="407" spans="1:32">
      <c r="A407" s="2972">
        <v>406</v>
      </c>
      <c r="B407" s="2974" t="s">
        <v>3232</v>
      </c>
      <c r="C407" s="2973" t="s">
        <v>3212</v>
      </c>
      <c r="D407" s="2972" t="s">
        <v>3183</v>
      </c>
      <c r="E407" s="2974">
        <v>605</v>
      </c>
      <c r="F407" s="2980">
        <v>56.74</v>
      </c>
      <c r="G407" s="2979">
        <v>12.83</v>
      </c>
      <c r="H407" s="2979">
        <v>69.570000000000007</v>
      </c>
      <c r="I407" s="2979" t="s">
        <v>3055</v>
      </c>
      <c r="J407" s="2974" t="s">
        <v>3144</v>
      </c>
      <c r="L407" s="2976"/>
      <c r="M407" s="2976"/>
      <c r="N407" s="2976"/>
      <c r="O407" s="2976"/>
      <c r="P407" s="2976"/>
      <c r="Q407" s="2976"/>
      <c r="R407" s="2976"/>
      <c r="S407" s="2976"/>
      <c r="T407" s="2976"/>
      <c r="U407" s="2976"/>
      <c r="V407" s="2976"/>
      <c r="W407" s="2976"/>
      <c r="X407" s="2976"/>
      <c r="Y407" s="2976"/>
      <c r="Z407" s="2976"/>
      <c r="AA407" s="2976"/>
      <c r="AB407" s="2976"/>
      <c r="AC407" s="2976"/>
      <c r="AD407" s="2976"/>
      <c r="AE407" s="2976"/>
      <c r="AF407" s="2976"/>
    </row>
    <row r="408" spans="1:32">
      <c r="A408" s="2972">
        <v>407</v>
      </c>
      <c r="B408" s="2974" t="s">
        <v>3232</v>
      </c>
      <c r="C408" s="2973" t="s">
        <v>3212</v>
      </c>
      <c r="D408" s="2972" t="s">
        <v>3183</v>
      </c>
      <c r="E408" s="2974">
        <v>606</v>
      </c>
      <c r="F408" s="2980">
        <v>56.66</v>
      </c>
      <c r="G408" s="2979">
        <v>12.81</v>
      </c>
      <c r="H408" s="2979">
        <v>69.47</v>
      </c>
      <c r="I408" s="2979" t="s">
        <v>3055</v>
      </c>
      <c r="J408" s="2974" t="s">
        <v>3144</v>
      </c>
      <c r="L408" s="2976"/>
      <c r="M408" s="2976"/>
      <c r="N408" s="2976"/>
      <c r="O408" s="2976"/>
      <c r="P408" s="2976"/>
      <c r="Q408" s="2976"/>
      <c r="R408" s="2976"/>
      <c r="S408" s="2976"/>
      <c r="T408" s="2976"/>
      <c r="U408" s="2976"/>
      <c r="V408" s="2976"/>
      <c r="W408" s="2976"/>
      <c r="X408" s="2976"/>
      <c r="Y408" s="2976"/>
      <c r="Z408" s="2976"/>
      <c r="AA408" s="2976"/>
      <c r="AB408" s="2976"/>
      <c r="AC408" s="2976"/>
      <c r="AD408" s="2976"/>
      <c r="AE408" s="2976"/>
      <c r="AF408" s="2976"/>
    </row>
    <row r="409" spans="1:32">
      <c r="A409" s="2972">
        <v>408</v>
      </c>
      <c r="B409" s="2974" t="s">
        <v>3232</v>
      </c>
      <c r="C409" s="2973" t="s">
        <v>3212</v>
      </c>
      <c r="D409" s="2972" t="s">
        <v>3183</v>
      </c>
      <c r="E409" s="2974">
        <v>607</v>
      </c>
      <c r="F409" s="2980">
        <v>53.84</v>
      </c>
      <c r="G409" s="2979">
        <v>12.17</v>
      </c>
      <c r="H409" s="2979">
        <v>66.010000000000005</v>
      </c>
      <c r="I409" s="2979" t="s">
        <v>3055</v>
      </c>
      <c r="J409" s="2974" t="s">
        <v>3143</v>
      </c>
      <c r="L409" s="2976"/>
      <c r="M409" s="2976"/>
      <c r="N409" s="2976"/>
      <c r="O409" s="2976"/>
      <c r="P409" s="2976"/>
      <c r="Q409" s="2976"/>
      <c r="R409" s="2976"/>
      <c r="S409" s="2976"/>
      <c r="T409" s="2976"/>
      <c r="U409" s="2976"/>
      <c r="V409" s="2976"/>
      <c r="W409" s="2976"/>
      <c r="X409" s="2976"/>
      <c r="Y409" s="2976"/>
      <c r="Z409" s="2976"/>
      <c r="AA409" s="2976"/>
      <c r="AB409" s="2976"/>
      <c r="AC409" s="2976"/>
      <c r="AD409" s="2976"/>
      <c r="AE409" s="2976"/>
      <c r="AF409" s="2976"/>
    </row>
    <row r="410" spans="1:32">
      <c r="A410" s="2972">
        <v>409</v>
      </c>
      <c r="B410" s="2974" t="s">
        <v>3233</v>
      </c>
      <c r="C410" s="2973" t="s">
        <v>3207</v>
      </c>
      <c r="D410" s="2981" t="s">
        <v>3213</v>
      </c>
      <c r="E410" s="2974">
        <v>101</v>
      </c>
      <c r="F410" s="2980">
        <v>53.82</v>
      </c>
      <c r="G410" s="2979">
        <v>12.25</v>
      </c>
      <c r="H410" s="2979">
        <v>66.069999999999993</v>
      </c>
      <c r="I410" s="2979" t="s">
        <v>3055</v>
      </c>
      <c r="J410" s="2974" t="s">
        <v>3143</v>
      </c>
      <c r="L410" s="2976"/>
      <c r="M410" s="2976"/>
      <c r="N410" s="2976"/>
      <c r="O410" s="2976"/>
      <c r="P410" s="2976"/>
      <c r="Q410" s="2976"/>
      <c r="R410" s="2976"/>
      <c r="S410" s="2976"/>
      <c r="T410" s="2976"/>
      <c r="U410" s="2976"/>
      <c r="V410" s="2976"/>
      <c r="W410" s="2976"/>
      <c r="X410" s="2976"/>
      <c r="Y410" s="2976"/>
      <c r="Z410" s="2976"/>
      <c r="AA410" s="2976"/>
      <c r="AB410" s="2976"/>
      <c r="AC410" s="2976"/>
      <c r="AD410" s="2976"/>
      <c r="AE410" s="2976"/>
      <c r="AF410" s="2976"/>
    </row>
    <row r="411" spans="1:32">
      <c r="A411" s="2972">
        <v>410</v>
      </c>
      <c r="B411" s="2974" t="s">
        <v>3233</v>
      </c>
      <c r="C411" s="2973" t="s">
        <v>3207</v>
      </c>
      <c r="D411" s="2981" t="s">
        <v>3213</v>
      </c>
      <c r="E411" s="2974">
        <v>102</v>
      </c>
      <c r="F411" s="2980">
        <v>56.66</v>
      </c>
      <c r="G411" s="2979">
        <v>12.9</v>
      </c>
      <c r="H411" s="2979">
        <v>69.56</v>
      </c>
      <c r="I411" s="2979" t="s">
        <v>3055</v>
      </c>
      <c r="J411" s="2974" t="s">
        <v>3144</v>
      </c>
      <c r="L411" s="2976"/>
      <c r="M411" s="2976"/>
      <c r="N411" s="2976"/>
      <c r="O411" s="2976"/>
      <c r="P411" s="2976"/>
      <c r="Q411" s="2976"/>
      <c r="R411" s="2976"/>
      <c r="S411" s="2976"/>
      <c r="T411" s="2976"/>
      <c r="U411" s="2976"/>
      <c r="V411" s="2976"/>
      <c r="W411" s="2976"/>
      <c r="X411" s="2976"/>
      <c r="Y411" s="2976"/>
      <c r="Z411" s="2976"/>
      <c r="AA411" s="2976"/>
      <c r="AB411" s="2976"/>
      <c r="AC411" s="2976"/>
      <c r="AD411" s="2976"/>
      <c r="AE411" s="2976"/>
      <c r="AF411" s="2976"/>
    </row>
    <row r="412" spans="1:32">
      <c r="A412" s="2972">
        <v>411</v>
      </c>
      <c r="B412" s="2974" t="s">
        <v>3233</v>
      </c>
      <c r="C412" s="2973" t="s">
        <v>3207</v>
      </c>
      <c r="D412" s="2981" t="s">
        <v>3213</v>
      </c>
      <c r="E412" s="2974">
        <v>103</v>
      </c>
      <c r="F412" s="2980">
        <v>56.79</v>
      </c>
      <c r="G412" s="2979">
        <v>12.93</v>
      </c>
      <c r="H412" s="2979">
        <v>69.72</v>
      </c>
      <c r="I412" s="2979" t="s">
        <v>3055</v>
      </c>
      <c r="J412" s="2974" t="s">
        <v>3144</v>
      </c>
      <c r="L412" s="2976"/>
      <c r="M412" s="2976"/>
      <c r="N412" s="2976"/>
      <c r="O412" s="2976"/>
      <c r="P412" s="2976"/>
      <c r="Q412" s="2976"/>
      <c r="R412" s="2976"/>
      <c r="S412" s="2976"/>
      <c r="T412" s="2976"/>
      <c r="U412" s="2976"/>
      <c r="V412" s="2976"/>
      <c r="W412" s="2976"/>
      <c r="X412" s="2976"/>
      <c r="Y412" s="2976"/>
      <c r="Z412" s="2976"/>
      <c r="AA412" s="2976"/>
      <c r="AB412" s="2976"/>
      <c r="AC412" s="2976"/>
      <c r="AD412" s="2976"/>
      <c r="AE412" s="2976"/>
      <c r="AF412" s="2976"/>
    </row>
    <row r="413" spans="1:32">
      <c r="A413" s="2972">
        <v>412</v>
      </c>
      <c r="B413" s="2974" t="s">
        <v>3233</v>
      </c>
      <c r="C413" s="2973" t="s">
        <v>3207</v>
      </c>
      <c r="D413" s="2981" t="s">
        <v>3213</v>
      </c>
      <c r="E413" s="2974">
        <v>105</v>
      </c>
      <c r="F413" s="2980">
        <v>56.66</v>
      </c>
      <c r="G413" s="2979">
        <v>12.9</v>
      </c>
      <c r="H413" s="2979">
        <v>69.56</v>
      </c>
      <c r="I413" s="2979" t="s">
        <v>3055</v>
      </c>
      <c r="J413" s="2974" t="s">
        <v>3144</v>
      </c>
      <c r="L413" s="2976"/>
      <c r="M413" s="2976"/>
      <c r="N413" s="2976"/>
      <c r="O413" s="2976"/>
      <c r="P413" s="2976"/>
      <c r="Q413" s="2976"/>
      <c r="R413" s="2976"/>
      <c r="S413" s="2976"/>
      <c r="T413" s="2976"/>
      <c r="U413" s="2976"/>
      <c r="V413" s="2976"/>
      <c r="W413" s="2976"/>
      <c r="X413" s="2976"/>
      <c r="Y413" s="2976"/>
      <c r="Z413" s="2976"/>
      <c r="AA413" s="2976"/>
      <c r="AB413" s="2976"/>
      <c r="AC413" s="2976"/>
      <c r="AD413" s="2976"/>
      <c r="AE413" s="2976"/>
      <c r="AF413" s="2976"/>
    </row>
    <row r="414" spans="1:32">
      <c r="A414" s="2972">
        <v>413</v>
      </c>
      <c r="B414" s="2974" t="s">
        <v>3233</v>
      </c>
      <c r="C414" s="2973" t="s">
        <v>3207</v>
      </c>
      <c r="D414" s="2981" t="s">
        <v>3213</v>
      </c>
      <c r="E414" s="2974">
        <v>106</v>
      </c>
      <c r="F414" s="2980">
        <v>77.17</v>
      </c>
      <c r="G414" s="2979">
        <v>17.57</v>
      </c>
      <c r="H414" s="2979">
        <v>94.740000000000009</v>
      </c>
      <c r="I414" s="2979" t="s">
        <v>3055</v>
      </c>
      <c r="J414" s="2974" t="s">
        <v>3144</v>
      </c>
      <c r="L414" s="2976"/>
      <c r="M414" s="2976"/>
      <c r="N414" s="2976"/>
      <c r="O414" s="2976"/>
      <c r="P414" s="2976"/>
      <c r="Q414" s="2976"/>
      <c r="R414" s="2976"/>
      <c r="S414" s="2976"/>
      <c r="T414" s="2976"/>
      <c r="U414" s="2976"/>
      <c r="V414" s="2976"/>
      <c r="W414" s="2976"/>
      <c r="X414" s="2976"/>
      <c r="Y414" s="2976"/>
      <c r="Z414" s="2976"/>
      <c r="AA414" s="2976"/>
      <c r="AB414" s="2976"/>
      <c r="AC414" s="2976"/>
      <c r="AD414" s="2976"/>
      <c r="AE414" s="2976"/>
      <c r="AF414" s="2976"/>
    </row>
    <row r="415" spans="1:32">
      <c r="A415" s="2972">
        <v>414</v>
      </c>
      <c r="B415" s="2974" t="s">
        <v>3233</v>
      </c>
      <c r="C415" s="2973" t="s">
        <v>3207</v>
      </c>
      <c r="D415" s="2981" t="s">
        <v>3215</v>
      </c>
      <c r="E415" s="2974">
        <v>101</v>
      </c>
      <c r="F415" s="2980">
        <v>77.17</v>
      </c>
      <c r="G415" s="2979">
        <v>17.57</v>
      </c>
      <c r="H415" s="2979">
        <v>94.740000000000009</v>
      </c>
      <c r="I415" s="2979" t="s">
        <v>3055</v>
      </c>
      <c r="J415" s="2974" t="s">
        <v>3144</v>
      </c>
      <c r="L415" s="2976"/>
      <c r="M415" s="2976"/>
      <c r="N415" s="2976"/>
      <c r="O415" s="2976"/>
      <c r="P415" s="2976"/>
      <c r="Q415" s="2976"/>
      <c r="R415" s="2976"/>
      <c r="S415" s="2976"/>
      <c r="T415" s="2976"/>
      <c r="U415" s="2976"/>
      <c r="V415" s="2976"/>
      <c r="W415" s="2976"/>
      <c r="X415" s="2976"/>
      <c r="Y415" s="2976"/>
      <c r="Z415" s="2976"/>
      <c r="AA415" s="2976"/>
      <c r="AB415" s="2976"/>
      <c r="AC415" s="2976"/>
      <c r="AD415" s="2976"/>
      <c r="AE415" s="2976"/>
      <c r="AF415" s="2976"/>
    </row>
    <row r="416" spans="1:32">
      <c r="A416" s="2972">
        <v>415</v>
      </c>
      <c r="B416" s="2974" t="s">
        <v>3233</v>
      </c>
      <c r="C416" s="2973" t="s">
        <v>3207</v>
      </c>
      <c r="D416" s="2981" t="s">
        <v>3215</v>
      </c>
      <c r="E416" s="2974">
        <v>102</v>
      </c>
      <c r="F416" s="2980">
        <v>56.66</v>
      </c>
      <c r="G416" s="2979">
        <v>12.9</v>
      </c>
      <c r="H416" s="2979">
        <v>69.56</v>
      </c>
      <c r="I416" s="2979" t="s">
        <v>3055</v>
      </c>
      <c r="J416" s="2974" t="s">
        <v>3144</v>
      </c>
      <c r="L416" s="2976"/>
      <c r="M416" s="2976"/>
      <c r="N416" s="2976"/>
      <c r="O416" s="2976"/>
      <c r="P416" s="2976"/>
      <c r="Q416" s="2976"/>
      <c r="R416" s="2976"/>
      <c r="S416" s="2976"/>
      <c r="T416" s="2976"/>
      <c r="U416" s="2976"/>
      <c r="V416" s="2976"/>
      <c r="W416" s="2976"/>
      <c r="X416" s="2976"/>
      <c r="Y416" s="2976"/>
      <c r="Z416" s="2976"/>
      <c r="AA416" s="2976"/>
      <c r="AB416" s="2976"/>
      <c r="AC416" s="2976"/>
      <c r="AD416" s="2976"/>
      <c r="AE416" s="2976"/>
      <c r="AF416" s="2976"/>
    </row>
    <row r="417" spans="1:32">
      <c r="A417" s="2972">
        <v>416</v>
      </c>
      <c r="B417" s="2974" t="s">
        <v>3233</v>
      </c>
      <c r="C417" s="2973" t="s">
        <v>3207</v>
      </c>
      <c r="D417" s="2981" t="s">
        <v>3215</v>
      </c>
      <c r="E417" s="2974">
        <v>103</v>
      </c>
      <c r="F417" s="2980">
        <v>56.79</v>
      </c>
      <c r="G417" s="2979">
        <v>12.93</v>
      </c>
      <c r="H417" s="2979">
        <v>69.72</v>
      </c>
      <c r="I417" s="2979" t="s">
        <v>3055</v>
      </c>
      <c r="J417" s="2974" t="s">
        <v>3144</v>
      </c>
      <c r="L417" s="2976"/>
      <c r="M417" s="2976"/>
      <c r="N417" s="2976"/>
      <c r="O417" s="2976"/>
      <c r="P417" s="2976"/>
      <c r="Q417" s="2976"/>
      <c r="R417" s="2976"/>
      <c r="S417" s="2976"/>
      <c r="T417" s="2976"/>
      <c r="U417" s="2976"/>
      <c r="V417" s="2976"/>
      <c r="W417" s="2976"/>
      <c r="X417" s="2976"/>
      <c r="Y417" s="2976"/>
      <c r="Z417" s="2976"/>
      <c r="AA417" s="2976"/>
      <c r="AB417" s="2976"/>
      <c r="AC417" s="2976"/>
      <c r="AD417" s="2976"/>
      <c r="AE417" s="2976"/>
      <c r="AF417" s="2976"/>
    </row>
    <row r="418" spans="1:32">
      <c r="A418" s="2972">
        <v>417</v>
      </c>
      <c r="B418" s="2974" t="s">
        <v>3233</v>
      </c>
      <c r="C418" s="2973" t="s">
        <v>3207</v>
      </c>
      <c r="D418" s="2981" t="s">
        <v>3215</v>
      </c>
      <c r="E418" s="2974">
        <v>105</v>
      </c>
      <c r="F418" s="2980">
        <v>56.66</v>
      </c>
      <c r="G418" s="2979">
        <v>12.9</v>
      </c>
      <c r="H418" s="2979">
        <v>69.56</v>
      </c>
      <c r="I418" s="2979" t="s">
        <v>3055</v>
      </c>
      <c r="J418" s="2974" t="s">
        <v>3144</v>
      </c>
      <c r="L418" s="2976"/>
      <c r="M418" s="2976"/>
      <c r="N418" s="2976"/>
      <c r="O418" s="2976"/>
      <c r="P418" s="2976"/>
      <c r="Q418" s="2976"/>
      <c r="R418" s="2976"/>
      <c r="S418" s="2976"/>
      <c r="T418" s="2976"/>
      <c r="U418" s="2976"/>
      <c r="V418" s="2976"/>
      <c r="W418" s="2976"/>
      <c r="X418" s="2976"/>
      <c r="Y418" s="2976"/>
      <c r="Z418" s="2976"/>
      <c r="AA418" s="2976"/>
      <c r="AB418" s="2976"/>
      <c r="AC418" s="2976"/>
      <c r="AD418" s="2976"/>
      <c r="AE418" s="2976"/>
      <c r="AF418" s="2976"/>
    </row>
    <row r="419" spans="1:32">
      <c r="A419" s="2972">
        <v>418</v>
      </c>
      <c r="B419" s="2974" t="s">
        <v>3233</v>
      </c>
      <c r="C419" s="2973" t="s">
        <v>3207</v>
      </c>
      <c r="D419" s="2981" t="s">
        <v>3215</v>
      </c>
      <c r="E419" s="2974">
        <v>106</v>
      </c>
      <c r="F419" s="2980">
        <v>53.82</v>
      </c>
      <c r="G419" s="2979">
        <v>12.25</v>
      </c>
      <c r="H419" s="2979">
        <v>66.069999999999993</v>
      </c>
      <c r="I419" s="2979" t="s">
        <v>3055</v>
      </c>
      <c r="J419" s="2974" t="s">
        <v>3143</v>
      </c>
      <c r="L419" s="2976"/>
      <c r="M419" s="2976"/>
      <c r="N419" s="2976"/>
      <c r="O419" s="2976"/>
      <c r="P419" s="2976"/>
      <c r="Q419" s="2976"/>
      <c r="R419" s="2976"/>
      <c r="S419" s="2976"/>
      <c r="T419" s="2976"/>
      <c r="U419" s="2976"/>
      <c r="V419" s="2976"/>
      <c r="W419" s="2976"/>
      <c r="X419" s="2976"/>
      <c r="Y419" s="2976"/>
      <c r="Z419" s="2976"/>
      <c r="AA419" s="2976"/>
      <c r="AB419" s="2976"/>
      <c r="AC419" s="2976"/>
      <c r="AD419" s="2976"/>
      <c r="AE419" s="2976"/>
      <c r="AF419" s="2976"/>
    </row>
    <row r="420" spans="1:32">
      <c r="A420" s="2972">
        <v>419</v>
      </c>
      <c r="B420" s="2974" t="s">
        <v>3233</v>
      </c>
      <c r="C420" s="2973" t="s">
        <v>3208</v>
      </c>
      <c r="D420" s="2981" t="s">
        <v>3213</v>
      </c>
      <c r="E420" s="2974">
        <v>201</v>
      </c>
      <c r="F420" s="2980">
        <v>53.82</v>
      </c>
      <c r="G420" s="2979">
        <v>12.25</v>
      </c>
      <c r="H420" s="2979">
        <v>66.069999999999993</v>
      </c>
      <c r="I420" s="2979" t="s">
        <v>3055</v>
      </c>
      <c r="J420" s="2974" t="s">
        <v>3143</v>
      </c>
      <c r="L420" s="2976"/>
      <c r="M420" s="2976"/>
      <c r="N420" s="2976"/>
      <c r="O420" s="2976"/>
      <c r="P420" s="2976"/>
      <c r="Q420" s="2976"/>
      <c r="R420" s="2976"/>
      <c r="S420" s="2976"/>
      <c r="T420" s="2976"/>
      <c r="U420" s="2976"/>
      <c r="V420" s="2976"/>
      <c r="W420" s="2976"/>
      <c r="X420" s="2976"/>
      <c r="Y420" s="2976"/>
      <c r="Z420" s="2976"/>
      <c r="AA420" s="2976"/>
      <c r="AB420" s="2976"/>
      <c r="AC420" s="2976"/>
      <c r="AD420" s="2976"/>
      <c r="AE420" s="2976"/>
      <c r="AF420" s="2976"/>
    </row>
    <row r="421" spans="1:32">
      <c r="A421" s="2972">
        <v>420</v>
      </c>
      <c r="B421" s="2974" t="s">
        <v>3233</v>
      </c>
      <c r="C421" s="2973" t="s">
        <v>3208</v>
      </c>
      <c r="D421" s="2981" t="s">
        <v>3213</v>
      </c>
      <c r="E421" s="2974">
        <v>207</v>
      </c>
      <c r="F421" s="2980">
        <v>77.17</v>
      </c>
      <c r="G421" s="2979">
        <v>17.57</v>
      </c>
      <c r="H421" s="2979">
        <v>94.740000000000009</v>
      </c>
      <c r="I421" s="2979" t="s">
        <v>3055</v>
      </c>
      <c r="J421" s="2974" t="s">
        <v>3144</v>
      </c>
      <c r="L421" s="2976"/>
      <c r="M421" s="2976"/>
      <c r="N421" s="2976"/>
      <c r="O421" s="2976"/>
      <c r="P421" s="2976"/>
      <c r="Q421" s="2976"/>
      <c r="R421" s="2976"/>
      <c r="S421" s="2976"/>
      <c r="T421" s="2976"/>
      <c r="U421" s="2976"/>
      <c r="V421" s="2976"/>
      <c r="W421" s="2976"/>
      <c r="X421" s="2976"/>
      <c r="Y421" s="2976"/>
      <c r="Z421" s="2976"/>
      <c r="AA421" s="2976"/>
      <c r="AB421" s="2976"/>
      <c r="AC421" s="2976"/>
      <c r="AD421" s="2976"/>
      <c r="AE421" s="2976"/>
      <c r="AF421" s="2976"/>
    </row>
    <row r="422" spans="1:32">
      <c r="A422" s="2972">
        <v>421</v>
      </c>
      <c r="B422" s="2974" t="s">
        <v>3233</v>
      </c>
      <c r="C422" s="2973" t="s">
        <v>3208</v>
      </c>
      <c r="D422" s="2981" t="s">
        <v>3215</v>
      </c>
      <c r="E422" s="2974">
        <v>206</v>
      </c>
      <c r="F422" s="2980">
        <v>56.66</v>
      </c>
      <c r="G422" s="2979">
        <v>12.9</v>
      </c>
      <c r="H422" s="2979">
        <v>69.56</v>
      </c>
      <c r="I422" s="2979" t="s">
        <v>3055</v>
      </c>
      <c r="J422" s="2974" t="s">
        <v>3144</v>
      </c>
      <c r="L422" s="2976"/>
      <c r="M422" s="2976"/>
      <c r="N422" s="2976"/>
      <c r="O422" s="2976"/>
      <c r="P422" s="2976"/>
      <c r="Q422" s="2976"/>
      <c r="R422" s="2976"/>
      <c r="S422" s="2976"/>
      <c r="T422" s="2976"/>
      <c r="U422" s="2976"/>
      <c r="V422" s="2976"/>
      <c r="W422" s="2976"/>
      <c r="X422" s="2976"/>
      <c r="Y422" s="2976"/>
      <c r="Z422" s="2976"/>
      <c r="AA422" s="2976"/>
      <c r="AB422" s="2976"/>
      <c r="AC422" s="2976"/>
      <c r="AD422" s="2976"/>
      <c r="AE422" s="2976"/>
      <c r="AF422" s="2976"/>
    </row>
    <row r="423" spans="1:32">
      <c r="A423" s="2972">
        <v>422</v>
      </c>
      <c r="B423" s="2974" t="s">
        <v>3233</v>
      </c>
      <c r="C423" s="2973" t="s">
        <v>3208</v>
      </c>
      <c r="D423" s="2981" t="s">
        <v>3215</v>
      </c>
      <c r="E423" s="2974">
        <v>207</v>
      </c>
      <c r="F423" s="2980">
        <v>53.82</v>
      </c>
      <c r="G423" s="2979">
        <v>12.25</v>
      </c>
      <c r="H423" s="2979">
        <v>66.069999999999993</v>
      </c>
      <c r="I423" s="2979" t="s">
        <v>3055</v>
      </c>
      <c r="J423" s="2974" t="s">
        <v>3143</v>
      </c>
      <c r="L423" s="2976"/>
      <c r="M423" s="2976"/>
      <c r="N423" s="2976"/>
      <c r="O423" s="2976"/>
      <c r="P423" s="2976"/>
      <c r="Q423" s="2976"/>
      <c r="R423" s="2976"/>
      <c r="S423" s="2976"/>
      <c r="T423" s="2976"/>
      <c r="U423" s="2976"/>
      <c r="V423" s="2976"/>
      <c r="W423" s="2976"/>
      <c r="X423" s="2976"/>
      <c r="Y423" s="2976"/>
      <c r="Z423" s="2976"/>
      <c r="AA423" s="2976"/>
      <c r="AB423" s="2976"/>
      <c r="AC423" s="2976"/>
      <c r="AD423" s="2976"/>
      <c r="AE423" s="2976"/>
      <c r="AF423" s="2976"/>
    </row>
    <row r="424" spans="1:32">
      <c r="A424" s="2972">
        <v>423</v>
      </c>
      <c r="B424" s="2974" t="s">
        <v>3233</v>
      </c>
      <c r="C424" s="2973" t="s">
        <v>3209</v>
      </c>
      <c r="D424" s="2981" t="s">
        <v>3213</v>
      </c>
      <c r="E424" s="2974">
        <v>301</v>
      </c>
      <c r="F424" s="2980">
        <v>53.82</v>
      </c>
      <c r="G424" s="2979">
        <v>12.25</v>
      </c>
      <c r="H424" s="2979">
        <v>66.069999999999993</v>
      </c>
      <c r="I424" s="2979" t="s">
        <v>3055</v>
      </c>
      <c r="J424" s="2974" t="s">
        <v>3143</v>
      </c>
      <c r="L424" s="2976"/>
      <c r="M424" s="2976"/>
      <c r="N424" s="2976"/>
      <c r="O424" s="2976"/>
      <c r="P424" s="2976"/>
      <c r="Q424" s="2976"/>
      <c r="R424" s="2976"/>
      <c r="S424" s="2976"/>
      <c r="T424" s="2976"/>
      <c r="U424" s="2976"/>
      <c r="V424" s="2976"/>
      <c r="W424" s="2976"/>
      <c r="X424" s="2976"/>
      <c r="Y424" s="2976"/>
      <c r="Z424" s="2976"/>
      <c r="AA424" s="2976"/>
      <c r="AB424" s="2976"/>
      <c r="AC424" s="2976"/>
      <c r="AD424" s="2976"/>
      <c r="AE424" s="2976"/>
      <c r="AF424" s="2976"/>
    </row>
    <row r="425" spans="1:32">
      <c r="A425" s="2972">
        <v>424</v>
      </c>
      <c r="B425" s="2974" t="s">
        <v>3233</v>
      </c>
      <c r="C425" s="2973" t="s">
        <v>3209</v>
      </c>
      <c r="D425" s="2981" t="s">
        <v>3213</v>
      </c>
      <c r="E425" s="2974">
        <v>306</v>
      </c>
      <c r="F425" s="2980">
        <v>56.66</v>
      </c>
      <c r="G425" s="2979">
        <v>12.9</v>
      </c>
      <c r="H425" s="2979">
        <v>69.56</v>
      </c>
      <c r="I425" s="2979" t="s">
        <v>3055</v>
      </c>
      <c r="J425" s="2974" t="s">
        <v>3144</v>
      </c>
      <c r="L425" s="2976"/>
      <c r="M425" s="2976"/>
      <c r="N425" s="2976"/>
      <c r="O425" s="2976"/>
      <c r="P425" s="2976"/>
      <c r="Q425" s="2976"/>
      <c r="R425" s="2976"/>
      <c r="S425" s="2976"/>
      <c r="T425" s="2976"/>
      <c r="U425" s="2976"/>
      <c r="V425" s="2976"/>
      <c r="W425" s="2976"/>
      <c r="X425" s="2976"/>
      <c r="Y425" s="2976"/>
      <c r="Z425" s="2976"/>
      <c r="AA425" s="2976"/>
      <c r="AB425" s="2976"/>
      <c r="AC425" s="2976"/>
      <c r="AD425" s="2976"/>
      <c r="AE425" s="2976"/>
      <c r="AF425" s="2976"/>
    </row>
    <row r="426" spans="1:32">
      <c r="A426" s="2972">
        <v>425</v>
      </c>
      <c r="B426" s="2974" t="s">
        <v>3233</v>
      </c>
      <c r="C426" s="2973" t="s">
        <v>3209</v>
      </c>
      <c r="D426" s="2981" t="s">
        <v>3213</v>
      </c>
      <c r="E426" s="2974">
        <v>307</v>
      </c>
      <c r="F426" s="2980">
        <v>77.17</v>
      </c>
      <c r="G426" s="2979">
        <v>17.57</v>
      </c>
      <c r="H426" s="2979">
        <v>94.740000000000009</v>
      </c>
      <c r="I426" s="2979" t="s">
        <v>3055</v>
      </c>
      <c r="J426" s="2974" t="s">
        <v>3144</v>
      </c>
      <c r="L426" s="2976"/>
      <c r="M426" s="2976"/>
      <c r="N426" s="2976"/>
      <c r="O426" s="2976"/>
      <c r="P426" s="2976"/>
      <c r="Q426" s="2976"/>
      <c r="R426" s="2976"/>
      <c r="S426" s="2976"/>
      <c r="T426" s="2976"/>
      <c r="U426" s="2976"/>
      <c r="V426" s="2976"/>
      <c r="W426" s="2976"/>
      <c r="X426" s="2976"/>
      <c r="Y426" s="2976"/>
      <c r="Z426" s="2976"/>
      <c r="AA426" s="2976"/>
      <c r="AB426" s="2976"/>
      <c r="AC426" s="2976"/>
      <c r="AD426" s="2976"/>
      <c r="AE426" s="2976"/>
      <c r="AF426" s="2976"/>
    </row>
    <row r="427" spans="1:32">
      <c r="A427" s="2972">
        <v>426</v>
      </c>
      <c r="B427" s="2974" t="s">
        <v>3233</v>
      </c>
      <c r="C427" s="2973" t="s">
        <v>3209</v>
      </c>
      <c r="D427" s="2981" t="s">
        <v>3215</v>
      </c>
      <c r="E427" s="2974">
        <v>301</v>
      </c>
      <c r="F427" s="2980">
        <v>77.17</v>
      </c>
      <c r="G427" s="2979">
        <v>17.57</v>
      </c>
      <c r="H427" s="2979">
        <v>94.740000000000009</v>
      </c>
      <c r="I427" s="2979" t="s">
        <v>3055</v>
      </c>
      <c r="J427" s="2974" t="s">
        <v>3144</v>
      </c>
      <c r="L427" s="2976"/>
      <c r="M427" s="2976"/>
      <c r="N427" s="2976"/>
      <c r="O427" s="2976"/>
      <c r="P427" s="2976"/>
      <c r="Q427" s="2976"/>
      <c r="R427" s="2976"/>
      <c r="S427" s="2976"/>
      <c r="T427" s="2976"/>
      <c r="U427" s="2976"/>
      <c r="V427" s="2976"/>
      <c r="W427" s="2976"/>
      <c r="X427" s="2976"/>
      <c r="Y427" s="2976"/>
      <c r="Z427" s="2976"/>
      <c r="AA427" s="2976"/>
      <c r="AB427" s="2976"/>
      <c r="AC427" s="2976"/>
      <c r="AD427" s="2976"/>
      <c r="AE427" s="2976"/>
      <c r="AF427" s="2976"/>
    </row>
    <row r="428" spans="1:32">
      <c r="A428" s="2972">
        <v>427</v>
      </c>
      <c r="B428" s="2974" t="s">
        <v>3233</v>
      </c>
      <c r="C428" s="2973" t="s">
        <v>3209</v>
      </c>
      <c r="D428" s="2981" t="s">
        <v>3215</v>
      </c>
      <c r="E428" s="2974">
        <v>302</v>
      </c>
      <c r="F428" s="2980">
        <v>56.66</v>
      </c>
      <c r="G428" s="2979">
        <v>12.9</v>
      </c>
      <c r="H428" s="2979">
        <v>69.56</v>
      </c>
      <c r="I428" s="2979" t="s">
        <v>3055</v>
      </c>
      <c r="J428" s="2974" t="s">
        <v>3144</v>
      </c>
      <c r="L428" s="2976"/>
      <c r="M428" s="2976"/>
      <c r="N428" s="2976"/>
      <c r="O428" s="2976"/>
      <c r="P428" s="2976"/>
      <c r="Q428" s="2976"/>
      <c r="R428" s="2976"/>
      <c r="S428" s="2976"/>
      <c r="T428" s="2976"/>
      <c r="U428" s="2976"/>
      <c r="V428" s="2976"/>
      <c r="W428" s="2976"/>
      <c r="X428" s="2976"/>
      <c r="Y428" s="2976"/>
      <c r="Z428" s="2976"/>
      <c r="AA428" s="2976"/>
      <c r="AB428" s="2976"/>
      <c r="AC428" s="2976"/>
      <c r="AD428" s="2976"/>
      <c r="AE428" s="2976"/>
      <c r="AF428" s="2976"/>
    </row>
    <row r="429" spans="1:32">
      <c r="A429" s="2972">
        <v>428</v>
      </c>
      <c r="B429" s="2974" t="s">
        <v>3233</v>
      </c>
      <c r="C429" s="2973" t="s">
        <v>3209</v>
      </c>
      <c r="D429" s="2981" t="s">
        <v>3215</v>
      </c>
      <c r="E429" s="2974">
        <v>306</v>
      </c>
      <c r="F429" s="2980">
        <v>56.66</v>
      </c>
      <c r="G429" s="2979">
        <v>12.9</v>
      </c>
      <c r="H429" s="2979">
        <v>69.56</v>
      </c>
      <c r="I429" s="2979" t="s">
        <v>3055</v>
      </c>
      <c r="J429" s="2974" t="s">
        <v>3144</v>
      </c>
      <c r="L429" s="2976"/>
      <c r="M429" s="2976"/>
      <c r="N429" s="2976"/>
      <c r="O429" s="2976"/>
      <c r="P429" s="2976"/>
      <c r="Q429" s="2976"/>
      <c r="R429" s="2976"/>
      <c r="S429" s="2976"/>
      <c r="T429" s="2976"/>
      <c r="U429" s="2976"/>
      <c r="V429" s="2976"/>
      <c r="W429" s="2976"/>
      <c r="X429" s="2976"/>
      <c r="Y429" s="2976"/>
      <c r="Z429" s="2976"/>
      <c r="AA429" s="2976"/>
      <c r="AB429" s="2976"/>
      <c r="AC429" s="2976"/>
      <c r="AD429" s="2976"/>
      <c r="AE429" s="2976"/>
      <c r="AF429" s="2976"/>
    </row>
    <row r="430" spans="1:32">
      <c r="A430" s="2972">
        <v>429</v>
      </c>
      <c r="B430" s="2974" t="s">
        <v>3233</v>
      </c>
      <c r="C430" s="2973" t="s">
        <v>3210</v>
      </c>
      <c r="D430" s="2981" t="s">
        <v>3213</v>
      </c>
      <c r="E430" s="2974" t="s">
        <v>3145</v>
      </c>
      <c r="F430" s="2980">
        <v>53.82</v>
      </c>
      <c r="G430" s="2979">
        <v>12.25</v>
      </c>
      <c r="H430" s="2979">
        <v>66.069999999999993</v>
      </c>
      <c r="I430" s="2979" t="s">
        <v>3055</v>
      </c>
      <c r="J430" s="2974" t="s">
        <v>3143</v>
      </c>
      <c r="L430" s="2976"/>
      <c r="M430" s="2976"/>
      <c r="N430" s="2976"/>
      <c r="O430" s="2976"/>
      <c r="P430" s="2976"/>
      <c r="Q430" s="2976"/>
      <c r="R430" s="2976"/>
      <c r="S430" s="2976"/>
      <c r="T430" s="2976"/>
      <c r="U430" s="2976"/>
      <c r="V430" s="2976"/>
      <c r="W430" s="2976"/>
      <c r="X430" s="2976"/>
      <c r="Y430" s="2976"/>
      <c r="Z430" s="2976"/>
      <c r="AA430" s="2976"/>
      <c r="AB430" s="2976"/>
      <c r="AC430" s="2976"/>
      <c r="AD430" s="2976"/>
      <c r="AE430" s="2976"/>
      <c r="AF430" s="2976"/>
    </row>
    <row r="431" spans="1:32">
      <c r="A431" s="2972">
        <v>430</v>
      </c>
      <c r="B431" s="2974" t="s">
        <v>3233</v>
      </c>
      <c r="C431" s="2973" t="s">
        <v>3210</v>
      </c>
      <c r="D431" s="2981" t="s">
        <v>3213</v>
      </c>
      <c r="E431" s="2974" t="s">
        <v>3150</v>
      </c>
      <c r="F431" s="2980">
        <v>77.17</v>
      </c>
      <c r="G431" s="2979">
        <v>17.57</v>
      </c>
      <c r="H431" s="2979">
        <v>94.740000000000009</v>
      </c>
      <c r="I431" s="2979" t="s">
        <v>3055</v>
      </c>
      <c r="J431" s="2974" t="s">
        <v>3144</v>
      </c>
      <c r="L431" s="2976"/>
      <c r="M431" s="2976"/>
      <c r="N431" s="2976"/>
      <c r="O431" s="2976"/>
      <c r="P431" s="2976"/>
      <c r="Q431" s="2976"/>
      <c r="R431" s="2976"/>
      <c r="S431" s="2976"/>
      <c r="T431" s="2976"/>
      <c r="U431" s="2976"/>
      <c r="V431" s="2976"/>
      <c r="W431" s="2976"/>
      <c r="X431" s="2976"/>
      <c r="Y431" s="2976"/>
      <c r="Z431" s="2976"/>
      <c r="AA431" s="2976"/>
      <c r="AB431" s="2976"/>
      <c r="AC431" s="2976"/>
      <c r="AD431" s="2976"/>
      <c r="AE431" s="2976"/>
      <c r="AF431" s="2976"/>
    </row>
    <row r="432" spans="1:32">
      <c r="A432" s="2972">
        <v>431</v>
      </c>
      <c r="B432" s="2974" t="s">
        <v>3233</v>
      </c>
      <c r="C432" s="2973" t="s">
        <v>3210</v>
      </c>
      <c r="D432" s="2981" t="s">
        <v>3215</v>
      </c>
      <c r="E432" s="2974" t="s">
        <v>3145</v>
      </c>
      <c r="F432" s="2980">
        <v>77.17</v>
      </c>
      <c r="G432" s="2979">
        <v>17.57</v>
      </c>
      <c r="H432" s="2979">
        <v>94.740000000000009</v>
      </c>
      <c r="I432" s="2979" t="s">
        <v>3055</v>
      </c>
      <c r="J432" s="2974" t="s">
        <v>3144</v>
      </c>
      <c r="L432" s="2976"/>
      <c r="M432" s="2976"/>
      <c r="N432" s="2976"/>
      <c r="O432" s="2976"/>
      <c r="P432" s="2976"/>
      <c r="Q432" s="2976"/>
      <c r="R432" s="2976"/>
      <c r="S432" s="2976"/>
      <c r="T432" s="2976"/>
      <c r="U432" s="2976"/>
      <c r="V432" s="2976"/>
      <c r="W432" s="2976"/>
      <c r="X432" s="2976"/>
      <c r="Y432" s="2976"/>
      <c r="Z432" s="2976"/>
      <c r="AA432" s="2976"/>
      <c r="AB432" s="2976"/>
      <c r="AC432" s="2976"/>
      <c r="AD432" s="2976"/>
      <c r="AE432" s="2976"/>
      <c r="AF432" s="2976"/>
    </row>
    <row r="433" spans="1:32">
      <c r="A433" s="2972">
        <v>432</v>
      </c>
      <c r="B433" s="2974" t="s">
        <v>3233</v>
      </c>
      <c r="C433" s="2973" t="s">
        <v>3210</v>
      </c>
      <c r="D433" s="2981" t="s">
        <v>3215</v>
      </c>
      <c r="E433" s="2974" t="s">
        <v>3146</v>
      </c>
      <c r="F433" s="2980">
        <v>56.66</v>
      </c>
      <c r="G433" s="2979">
        <v>12.9</v>
      </c>
      <c r="H433" s="2979">
        <v>69.56</v>
      </c>
      <c r="I433" s="2979" t="s">
        <v>3055</v>
      </c>
      <c r="J433" s="2974" t="s">
        <v>3144</v>
      </c>
      <c r="L433" s="2976"/>
      <c r="M433" s="2976"/>
      <c r="N433" s="2976"/>
      <c r="O433" s="2976"/>
      <c r="P433" s="2976"/>
      <c r="Q433" s="2976"/>
      <c r="R433" s="2976"/>
      <c r="S433" s="2976"/>
      <c r="T433" s="2976"/>
      <c r="U433" s="2976"/>
      <c r="V433" s="2976"/>
      <c r="W433" s="2976"/>
      <c r="X433" s="2976"/>
      <c r="Y433" s="2976"/>
      <c r="Z433" s="2976"/>
      <c r="AA433" s="2976"/>
      <c r="AB433" s="2976"/>
      <c r="AC433" s="2976"/>
      <c r="AD433" s="2976"/>
      <c r="AE433" s="2976"/>
      <c r="AF433" s="2976"/>
    </row>
    <row r="434" spans="1:32">
      <c r="A434" s="2972">
        <v>433</v>
      </c>
      <c r="B434" s="2974" t="s">
        <v>3233</v>
      </c>
      <c r="C434" s="2973" t="s">
        <v>3210</v>
      </c>
      <c r="D434" s="2981" t="s">
        <v>3215</v>
      </c>
      <c r="E434" s="2974" t="s">
        <v>3149</v>
      </c>
      <c r="F434" s="2980">
        <v>56.66</v>
      </c>
      <c r="G434" s="2979">
        <v>12.9</v>
      </c>
      <c r="H434" s="2979">
        <v>69.56</v>
      </c>
      <c r="I434" s="2979" t="s">
        <v>3055</v>
      </c>
      <c r="J434" s="2974" t="s">
        <v>3144</v>
      </c>
      <c r="L434" s="2976"/>
      <c r="M434" s="2976"/>
      <c r="N434" s="2976"/>
      <c r="O434" s="2976"/>
      <c r="P434" s="2976"/>
      <c r="Q434" s="2976"/>
      <c r="R434" s="2976"/>
      <c r="S434" s="2976"/>
      <c r="T434" s="2976"/>
      <c r="U434" s="2976"/>
      <c r="V434" s="2976"/>
      <c r="W434" s="2976"/>
      <c r="X434" s="2976"/>
      <c r="Y434" s="2976"/>
      <c r="Z434" s="2976"/>
      <c r="AA434" s="2976"/>
      <c r="AB434" s="2976"/>
      <c r="AC434" s="2976"/>
      <c r="AD434" s="2976"/>
      <c r="AE434" s="2976"/>
      <c r="AF434" s="2976"/>
    </row>
    <row r="435" spans="1:32">
      <c r="A435" s="2972">
        <v>434</v>
      </c>
      <c r="B435" s="2974" t="s">
        <v>3233</v>
      </c>
      <c r="C435" s="2973" t="s">
        <v>3210</v>
      </c>
      <c r="D435" s="2981" t="s">
        <v>3215</v>
      </c>
      <c r="E435" s="2974" t="s">
        <v>3150</v>
      </c>
      <c r="F435" s="2980">
        <v>53.82</v>
      </c>
      <c r="G435" s="2979">
        <v>12.25</v>
      </c>
      <c r="H435" s="2979">
        <v>66.069999999999993</v>
      </c>
      <c r="I435" s="2979" t="s">
        <v>3055</v>
      </c>
      <c r="J435" s="2974" t="s">
        <v>3143</v>
      </c>
      <c r="L435" s="2976"/>
      <c r="M435" s="2976"/>
      <c r="N435" s="2976"/>
      <c r="O435" s="2976"/>
      <c r="P435" s="2976"/>
      <c r="Q435" s="2976"/>
      <c r="R435" s="2976"/>
      <c r="S435" s="2976"/>
      <c r="T435" s="2976"/>
      <c r="U435" s="2976"/>
      <c r="V435" s="2976"/>
      <c r="W435" s="2976"/>
      <c r="X435" s="2976"/>
      <c r="Y435" s="2976"/>
      <c r="Z435" s="2976"/>
      <c r="AA435" s="2976"/>
      <c r="AB435" s="2976"/>
      <c r="AC435" s="2976"/>
      <c r="AD435" s="2976"/>
      <c r="AE435" s="2976"/>
      <c r="AF435" s="2976"/>
    </row>
    <row r="436" spans="1:32">
      <c r="A436" s="2972">
        <v>435</v>
      </c>
      <c r="B436" s="2974" t="s">
        <v>3233</v>
      </c>
      <c r="C436" s="2973" t="s">
        <v>3211</v>
      </c>
      <c r="D436" s="2981" t="s">
        <v>3213</v>
      </c>
      <c r="E436" s="2974">
        <v>501</v>
      </c>
      <c r="F436" s="2980">
        <v>53.82</v>
      </c>
      <c r="G436" s="2979">
        <v>12.25</v>
      </c>
      <c r="H436" s="2979">
        <v>66.069999999999993</v>
      </c>
      <c r="I436" s="2979" t="s">
        <v>3055</v>
      </c>
      <c r="J436" s="2974" t="s">
        <v>3143</v>
      </c>
      <c r="L436" s="2976"/>
      <c r="M436" s="2976"/>
      <c r="N436" s="2976"/>
      <c r="O436" s="2976"/>
      <c r="P436" s="2976"/>
      <c r="Q436" s="2976"/>
      <c r="R436" s="2976"/>
      <c r="S436" s="2976"/>
      <c r="T436" s="2976"/>
      <c r="U436" s="2976"/>
      <c r="V436" s="2976"/>
      <c r="W436" s="2976"/>
      <c r="X436" s="2976"/>
      <c r="Y436" s="2976"/>
      <c r="Z436" s="2976"/>
      <c r="AA436" s="2976"/>
      <c r="AB436" s="2976"/>
      <c r="AC436" s="2976"/>
      <c r="AD436" s="2976"/>
      <c r="AE436" s="2976"/>
      <c r="AF436" s="2976"/>
    </row>
    <row r="437" spans="1:32">
      <c r="A437" s="2972">
        <v>436</v>
      </c>
      <c r="B437" s="2974" t="s">
        <v>3233</v>
      </c>
      <c r="C437" s="2973" t="s">
        <v>3211</v>
      </c>
      <c r="D437" s="2981" t="s">
        <v>3213</v>
      </c>
      <c r="E437" s="2974">
        <v>507</v>
      </c>
      <c r="F437" s="2980">
        <v>77.17</v>
      </c>
      <c r="G437" s="2979">
        <v>17.57</v>
      </c>
      <c r="H437" s="2979">
        <v>94.740000000000009</v>
      </c>
      <c r="I437" s="2979" t="s">
        <v>3055</v>
      </c>
      <c r="J437" s="2974" t="s">
        <v>3144</v>
      </c>
      <c r="L437" s="2976"/>
      <c r="M437" s="2976"/>
      <c r="N437" s="2976"/>
      <c r="O437" s="2976"/>
      <c r="P437" s="2976"/>
      <c r="Q437" s="2976"/>
      <c r="R437" s="2976"/>
      <c r="S437" s="2976"/>
      <c r="T437" s="2976"/>
      <c r="U437" s="2976"/>
      <c r="V437" s="2976"/>
      <c r="W437" s="2976"/>
      <c r="X437" s="2976"/>
      <c r="Y437" s="2976"/>
      <c r="Z437" s="2976"/>
      <c r="AA437" s="2976"/>
      <c r="AB437" s="2976"/>
      <c r="AC437" s="2976"/>
      <c r="AD437" s="2976"/>
      <c r="AE437" s="2976"/>
      <c r="AF437" s="2976"/>
    </row>
    <row r="438" spans="1:32">
      <c r="A438" s="2972">
        <v>437</v>
      </c>
      <c r="B438" s="2974" t="s">
        <v>3233</v>
      </c>
      <c r="C438" s="2973" t="s">
        <v>3211</v>
      </c>
      <c r="D438" s="2981" t="s">
        <v>3215</v>
      </c>
      <c r="E438" s="2974">
        <v>501</v>
      </c>
      <c r="F438" s="2980">
        <v>77.17</v>
      </c>
      <c r="G438" s="2979">
        <v>17.57</v>
      </c>
      <c r="H438" s="2979">
        <v>94.740000000000009</v>
      </c>
      <c r="I438" s="2979" t="s">
        <v>3055</v>
      </c>
      <c r="J438" s="2974" t="s">
        <v>3144</v>
      </c>
      <c r="L438" s="2976"/>
      <c r="M438" s="2976"/>
      <c r="N438" s="2976"/>
      <c r="O438" s="2976"/>
      <c r="P438" s="2976"/>
      <c r="Q438" s="2976"/>
      <c r="R438" s="2976"/>
      <c r="S438" s="2976"/>
      <c r="T438" s="2976"/>
      <c r="U438" s="2976"/>
      <c r="V438" s="2976"/>
      <c r="W438" s="2976"/>
      <c r="X438" s="2976"/>
      <c r="Y438" s="2976"/>
      <c r="Z438" s="2976"/>
      <c r="AA438" s="2976"/>
      <c r="AB438" s="2976"/>
      <c r="AC438" s="2976"/>
      <c r="AD438" s="2976"/>
      <c r="AE438" s="2976"/>
      <c r="AF438" s="2976"/>
    </row>
    <row r="439" spans="1:32">
      <c r="A439" s="2972">
        <v>438</v>
      </c>
      <c r="B439" s="2974" t="s">
        <v>3233</v>
      </c>
      <c r="C439" s="2973" t="s">
        <v>3211</v>
      </c>
      <c r="D439" s="2981" t="s">
        <v>3215</v>
      </c>
      <c r="E439" s="2974">
        <v>502</v>
      </c>
      <c r="F439" s="2980">
        <v>56.66</v>
      </c>
      <c r="G439" s="2979">
        <v>12.9</v>
      </c>
      <c r="H439" s="2979">
        <v>69.56</v>
      </c>
      <c r="I439" s="2979" t="s">
        <v>3055</v>
      </c>
      <c r="J439" s="2974" t="s">
        <v>3144</v>
      </c>
      <c r="L439" s="2976"/>
      <c r="M439" s="2976"/>
      <c r="N439" s="2976"/>
      <c r="O439" s="2976"/>
      <c r="P439" s="2976"/>
      <c r="Q439" s="2976"/>
      <c r="R439" s="2976"/>
      <c r="S439" s="2976"/>
      <c r="T439" s="2976"/>
      <c r="U439" s="2976"/>
      <c r="V439" s="2976"/>
      <c r="W439" s="2976"/>
      <c r="X439" s="2976"/>
      <c r="Y439" s="2976"/>
      <c r="Z439" s="2976"/>
      <c r="AA439" s="2976"/>
      <c r="AB439" s="2976"/>
      <c r="AC439" s="2976"/>
      <c r="AD439" s="2976"/>
      <c r="AE439" s="2976"/>
      <c r="AF439" s="2976"/>
    </row>
    <row r="440" spans="1:32">
      <c r="A440" s="2972">
        <v>439</v>
      </c>
      <c r="B440" s="2974" t="s">
        <v>3233</v>
      </c>
      <c r="C440" s="2973" t="s">
        <v>3211</v>
      </c>
      <c r="D440" s="2981" t="s">
        <v>3215</v>
      </c>
      <c r="E440" s="2974">
        <v>507</v>
      </c>
      <c r="F440" s="2980">
        <v>53.82</v>
      </c>
      <c r="G440" s="2979">
        <v>12.25</v>
      </c>
      <c r="H440" s="2979">
        <v>66.069999999999993</v>
      </c>
      <c r="I440" s="2979" t="s">
        <v>3055</v>
      </c>
      <c r="J440" s="2974" t="s">
        <v>3143</v>
      </c>
      <c r="L440" s="2976"/>
      <c r="M440" s="2976"/>
      <c r="N440" s="2976"/>
      <c r="O440" s="2976"/>
      <c r="P440" s="2976"/>
      <c r="Q440" s="2976"/>
      <c r="R440" s="2976"/>
      <c r="S440" s="2976"/>
      <c r="T440" s="2976"/>
      <c r="U440" s="2976"/>
      <c r="V440" s="2976"/>
      <c r="W440" s="2976"/>
      <c r="X440" s="2976"/>
      <c r="Y440" s="2976"/>
      <c r="Z440" s="2976"/>
      <c r="AA440" s="2976"/>
      <c r="AB440" s="2976"/>
      <c r="AC440" s="2976"/>
      <c r="AD440" s="2976"/>
      <c r="AE440" s="2976"/>
      <c r="AF440" s="2976"/>
    </row>
    <row r="441" spans="1:32">
      <c r="A441" s="2972">
        <v>440</v>
      </c>
      <c r="B441" s="2974" t="s">
        <v>3233</v>
      </c>
      <c r="C441" s="2973" t="s">
        <v>3212</v>
      </c>
      <c r="D441" s="2981" t="s">
        <v>3213</v>
      </c>
      <c r="E441" s="2974">
        <v>601</v>
      </c>
      <c r="F441" s="2980">
        <v>53.82</v>
      </c>
      <c r="G441" s="2979">
        <v>12.25</v>
      </c>
      <c r="H441" s="2979">
        <v>66.069999999999993</v>
      </c>
      <c r="I441" s="2979" t="s">
        <v>3055</v>
      </c>
      <c r="J441" s="2974" t="s">
        <v>3143</v>
      </c>
      <c r="L441" s="2976"/>
      <c r="M441" s="2976"/>
      <c r="N441" s="2976"/>
      <c r="O441" s="2976"/>
      <c r="P441" s="2976"/>
      <c r="Q441" s="2976"/>
      <c r="R441" s="2976"/>
      <c r="S441" s="2976"/>
      <c r="T441" s="2976"/>
      <c r="U441" s="2976"/>
      <c r="V441" s="2976"/>
      <c r="W441" s="2976"/>
      <c r="X441" s="2976"/>
      <c r="Y441" s="2976"/>
      <c r="Z441" s="2976"/>
      <c r="AA441" s="2976"/>
      <c r="AB441" s="2976"/>
      <c r="AC441" s="2976"/>
      <c r="AD441" s="2976"/>
      <c r="AE441" s="2976"/>
      <c r="AF441" s="2976"/>
    </row>
    <row r="442" spans="1:32">
      <c r="A442" s="2972">
        <v>441</v>
      </c>
      <c r="B442" s="2974" t="s">
        <v>3233</v>
      </c>
      <c r="C442" s="2973" t="s">
        <v>3212</v>
      </c>
      <c r="D442" s="2981" t="s">
        <v>3213</v>
      </c>
      <c r="E442" s="2974">
        <v>602</v>
      </c>
      <c r="F442" s="2980">
        <v>56.66</v>
      </c>
      <c r="G442" s="2979">
        <v>12.9</v>
      </c>
      <c r="H442" s="2979">
        <v>69.56</v>
      </c>
      <c r="I442" s="2979" t="s">
        <v>3055</v>
      </c>
      <c r="J442" s="2974" t="s">
        <v>3144</v>
      </c>
      <c r="L442" s="2976"/>
      <c r="M442" s="2976"/>
      <c r="N442" s="2976"/>
      <c r="O442" s="2976"/>
      <c r="P442" s="2976"/>
      <c r="Q442" s="2976"/>
      <c r="R442" s="2976"/>
      <c r="S442" s="2976"/>
      <c r="T442" s="2976"/>
      <c r="U442" s="2976"/>
      <c r="V442" s="2976"/>
      <c r="W442" s="2976"/>
      <c r="X442" s="2976"/>
      <c r="Y442" s="2976"/>
      <c r="Z442" s="2976"/>
      <c r="AA442" s="2976"/>
      <c r="AB442" s="2976"/>
      <c r="AC442" s="2976"/>
      <c r="AD442" s="2976"/>
      <c r="AE442" s="2976"/>
      <c r="AF442" s="2976"/>
    </row>
    <row r="443" spans="1:32">
      <c r="A443" s="2972">
        <v>442</v>
      </c>
      <c r="B443" s="2974" t="s">
        <v>3233</v>
      </c>
      <c r="C443" s="2973" t="s">
        <v>3212</v>
      </c>
      <c r="D443" s="2981" t="s">
        <v>3213</v>
      </c>
      <c r="E443" s="2974">
        <v>603</v>
      </c>
      <c r="F443" s="2980">
        <v>56.81</v>
      </c>
      <c r="G443" s="2979">
        <v>12.94</v>
      </c>
      <c r="H443" s="2979">
        <v>69.75</v>
      </c>
      <c r="I443" s="2979" t="s">
        <v>3055</v>
      </c>
      <c r="J443" s="2974" t="s">
        <v>3144</v>
      </c>
      <c r="L443" s="2976"/>
      <c r="M443" s="2976"/>
      <c r="N443" s="2976"/>
      <c r="O443" s="2976"/>
      <c r="P443" s="2976"/>
      <c r="Q443" s="2976"/>
      <c r="R443" s="2976"/>
      <c r="S443" s="2976"/>
      <c r="T443" s="2976"/>
      <c r="U443" s="2976"/>
      <c r="V443" s="2976"/>
      <c r="W443" s="2976"/>
      <c r="X443" s="2976"/>
      <c r="Y443" s="2976"/>
      <c r="Z443" s="2976"/>
      <c r="AA443" s="2976"/>
      <c r="AB443" s="2976"/>
      <c r="AC443" s="2976"/>
      <c r="AD443" s="2976"/>
      <c r="AE443" s="2976"/>
      <c r="AF443" s="2976"/>
    </row>
    <row r="444" spans="1:32">
      <c r="A444" s="2972">
        <v>443</v>
      </c>
      <c r="B444" s="2974" t="s">
        <v>3233</v>
      </c>
      <c r="C444" s="2973" t="s">
        <v>3212</v>
      </c>
      <c r="D444" s="2981" t="s">
        <v>3213</v>
      </c>
      <c r="E444" s="2974">
        <v>605</v>
      </c>
      <c r="F444" s="2980">
        <v>56.81</v>
      </c>
      <c r="G444" s="2979">
        <v>12.94</v>
      </c>
      <c r="H444" s="2979">
        <v>69.75</v>
      </c>
      <c r="I444" s="2979" t="s">
        <v>3055</v>
      </c>
      <c r="J444" s="2974" t="s">
        <v>3144</v>
      </c>
      <c r="L444" s="2976"/>
      <c r="M444" s="2976"/>
      <c r="N444" s="2976"/>
      <c r="O444" s="2976"/>
      <c r="P444" s="2976"/>
      <c r="Q444" s="2976"/>
      <c r="R444" s="2976"/>
      <c r="S444" s="2976"/>
      <c r="T444" s="2976"/>
      <c r="U444" s="2976"/>
      <c r="V444" s="2976"/>
      <c r="W444" s="2976"/>
      <c r="X444" s="2976"/>
      <c r="Y444" s="2976"/>
      <c r="Z444" s="2976"/>
      <c r="AA444" s="2976"/>
      <c r="AB444" s="2976"/>
      <c r="AC444" s="2976"/>
      <c r="AD444" s="2976"/>
      <c r="AE444" s="2976"/>
      <c r="AF444" s="2976"/>
    </row>
    <row r="445" spans="1:32">
      <c r="A445" s="2972">
        <v>444</v>
      </c>
      <c r="B445" s="2974" t="s">
        <v>3233</v>
      </c>
      <c r="C445" s="2973" t="s">
        <v>3212</v>
      </c>
      <c r="D445" s="2981" t="s">
        <v>3213</v>
      </c>
      <c r="E445" s="2974">
        <v>606</v>
      </c>
      <c r="F445" s="2980">
        <v>56.66</v>
      </c>
      <c r="G445" s="2979">
        <v>12.9</v>
      </c>
      <c r="H445" s="2979">
        <v>69.56</v>
      </c>
      <c r="I445" s="2979" t="s">
        <v>3055</v>
      </c>
      <c r="J445" s="2974" t="s">
        <v>3144</v>
      </c>
      <c r="L445" s="2976"/>
      <c r="M445" s="2976"/>
      <c r="N445" s="2976"/>
      <c r="O445" s="2976"/>
      <c r="P445" s="2976"/>
      <c r="Q445" s="2976"/>
      <c r="R445" s="2976"/>
      <c r="S445" s="2976"/>
      <c r="T445" s="2976"/>
      <c r="U445" s="2976"/>
      <c r="V445" s="2976"/>
      <c r="W445" s="2976"/>
      <c r="X445" s="2976"/>
      <c r="Y445" s="2976"/>
      <c r="Z445" s="2976"/>
      <c r="AA445" s="2976"/>
      <c r="AB445" s="2976"/>
      <c r="AC445" s="2976"/>
      <c r="AD445" s="2976"/>
      <c r="AE445" s="2976"/>
      <c r="AF445" s="2976"/>
    </row>
    <row r="446" spans="1:32">
      <c r="A446" s="2972">
        <v>445</v>
      </c>
      <c r="B446" s="2974" t="s">
        <v>3233</v>
      </c>
      <c r="C446" s="2973" t="s">
        <v>3212</v>
      </c>
      <c r="D446" s="2981" t="s">
        <v>3215</v>
      </c>
      <c r="E446" s="2974">
        <v>602</v>
      </c>
      <c r="F446" s="2980">
        <v>56.66</v>
      </c>
      <c r="G446" s="2979">
        <v>12.9</v>
      </c>
      <c r="H446" s="2979">
        <v>69.56</v>
      </c>
      <c r="I446" s="2979" t="s">
        <v>3055</v>
      </c>
      <c r="J446" s="2974" t="s">
        <v>3144</v>
      </c>
      <c r="L446" s="2976"/>
      <c r="M446" s="2976"/>
      <c r="N446" s="2976"/>
      <c r="O446" s="2976"/>
      <c r="P446" s="2976"/>
      <c r="Q446" s="2976"/>
      <c r="R446" s="2976"/>
      <c r="S446" s="2976"/>
      <c r="T446" s="2976"/>
      <c r="U446" s="2976"/>
      <c r="V446" s="2976"/>
      <c r="W446" s="2976"/>
      <c r="X446" s="2976"/>
      <c r="Y446" s="2976"/>
      <c r="Z446" s="2976"/>
      <c r="AA446" s="2976"/>
      <c r="AB446" s="2976"/>
      <c r="AC446" s="2976"/>
      <c r="AD446" s="2976"/>
      <c r="AE446" s="2976"/>
      <c r="AF446" s="2976"/>
    </row>
    <row r="447" spans="1:32">
      <c r="A447" s="2972">
        <v>446</v>
      </c>
      <c r="B447" s="2974" t="s">
        <v>3233</v>
      </c>
      <c r="C447" s="2973" t="s">
        <v>3212</v>
      </c>
      <c r="D447" s="2981" t="s">
        <v>3215</v>
      </c>
      <c r="E447" s="2974">
        <v>603</v>
      </c>
      <c r="F447" s="2980">
        <v>56.81</v>
      </c>
      <c r="G447" s="2979">
        <v>12.94</v>
      </c>
      <c r="H447" s="2979">
        <v>69.75</v>
      </c>
      <c r="I447" s="2979" t="s">
        <v>3055</v>
      </c>
      <c r="J447" s="2974" t="s">
        <v>3144</v>
      </c>
      <c r="L447" s="2976"/>
      <c r="M447" s="2976"/>
      <c r="N447" s="2976"/>
      <c r="O447" s="2976"/>
      <c r="P447" s="2976"/>
      <c r="Q447" s="2976"/>
      <c r="R447" s="2976"/>
      <c r="S447" s="2976"/>
      <c r="T447" s="2976"/>
      <c r="U447" s="2976"/>
      <c r="V447" s="2976"/>
      <c r="W447" s="2976"/>
      <c r="X447" s="2976"/>
      <c r="Y447" s="2976"/>
      <c r="Z447" s="2976"/>
      <c r="AA447" s="2976"/>
      <c r="AB447" s="2976"/>
      <c r="AC447" s="2976"/>
      <c r="AD447" s="2976"/>
      <c r="AE447" s="2976"/>
      <c r="AF447" s="2976"/>
    </row>
    <row r="448" spans="1:32">
      <c r="A448" s="2972">
        <v>447</v>
      </c>
      <c r="B448" s="2974" t="s">
        <v>3233</v>
      </c>
      <c r="C448" s="2973" t="s">
        <v>3212</v>
      </c>
      <c r="D448" s="2981" t="s">
        <v>3215</v>
      </c>
      <c r="E448" s="2974">
        <v>605</v>
      </c>
      <c r="F448" s="2980">
        <v>56.81</v>
      </c>
      <c r="G448" s="2979">
        <v>12.94</v>
      </c>
      <c r="H448" s="2979">
        <v>69.75</v>
      </c>
      <c r="I448" s="2979" t="s">
        <v>3055</v>
      </c>
      <c r="J448" s="2974" t="s">
        <v>3144</v>
      </c>
      <c r="L448" s="2976"/>
      <c r="M448" s="2976"/>
      <c r="N448" s="2976"/>
      <c r="O448" s="2976"/>
      <c r="P448" s="2976"/>
      <c r="Q448" s="2976"/>
      <c r="R448" s="2976"/>
      <c r="S448" s="2976"/>
      <c r="T448" s="2976"/>
      <c r="U448" s="2976"/>
      <c r="V448" s="2976"/>
      <c r="W448" s="2976"/>
      <c r="X448" s="2976"/>
      <c r="Y448" s="2976"/>
      <c r="Z448" s="2976"/>
      <c r="AA448" s="2976"/>
      <c r="AB448" s="2976"/>
      <c r="AC448" s="2976"/>
      <c r="AD448" s="2976"/>
      <c r="AE448" s="2976"/>
      <c r="AF448" s="2976"/>
    </row>
    <row r="449" spans="1:32">
      <c r="A449" s="2972">
        <v>448</v>
      </c>
      <c r="B449" s="2974" t="s">
        <v>3233</v>
      </c>
      <c r="C449" s="2973" t="s">
        <v>3212</v>
      </c>
      <c r="D449" s="2981" t="s">
        <v>3215</v>
      </c>
      <c r="E449" s="2974">
        <v>606</v>
      </c>
      <c r="F449" s="2980">
        <v>56.66</v>
      </c>
      <c r="G449" s="2979">
        <v>12.9</v>
      </c>
      <c r="H449" s="2979">
        <v>69.56</v>
      </c>
      <c r="I449" s="2979" t="s">
        <v>3055</v>
      </c>
      <c r="J449" s="2974" t="s">
        <v>3144</v>
      </c>
      <c r="L449" s="2976"/>
      <c r="M449" s="2976"/>
      <c r="N449" s="2976"/>
      <c r="O449" s="2976"/>
      <c r="P449" s="2976"/>
      <c r="Q449" s="2976"/>
      <c r="R449" s="2976"/>
      <c r="S449" s="2976"/>
      <c r="T449" s="2976"/>
      <c r="U449" s="2976"/>
      <c r="V449" s="2976"/>
      <c r="W449" s="2976"/>
      <c r="X449" s="2976"/>
      <c r="Y449" s="2976"/>
      <c r="Z449" s="2976"/>
      <c r="AA449" s="2976"/>
      <c r="AB449" s="2976"/>
      <c r="AC449" s="2976"/>
      <c r="AD449" s="2976"/>
      <c r="AE449" s="2976"/>
      <c r="AF449" s="2976"/>
    </row>
    <row r="450" spans="1:32">
      <c r="A450" s="2972">
        <v>449</v>
      </c>
      <c r="B450" s="2974" t="s">
        <v>3243</v>
      </c>
      <c r="C450" s="2982" t="s">
        <v>3152</v>
      </c>
      <c r="D450" s="2972" t="s">
        <v>3183</v>
      </c>
      <c r="E450" s="2982">
        <v>102</v>
      </c>
      <c r="F450" s="2983">
        <v>79.91</v>
      </c>
      <c r="G450" s="2979">
        <v>14.87</v>
      </c>
      <c r="H450" s="2979">
        <v>94.78</v>
      </c>
      <c r="I450" s="2974" t="s">
        <v>3055</v>
      </c>
      <c r="J450" s="2981" t="s">
        <v>3155</v>
      </c>
      <c r="L450" s="2976"/>
      <c r="M450" s="2976"/>
      <c r="N450" s="2976"/>
      <c r="O450" s="2976"/>
      <c r="P450" s="2976"/>
      <c r="Q450" s="2976"/>
      <c r="R450" s="2976"/>
      <c r="S450" s="2976"/>
      <c r="T450" s="2976"/>
      <c r="U450" s="2976"/>
      <c r="V450" s="2976"/>
      <c r="W450" s="2976"/>
      <c r="X450" s="2976"/>
      <c r="Y450" s="2976"/>
      <c r="Z450" s="2976"/>
      <c r="AA450" s="2976"/>
      <c r="AB450" s="2976"/>
      <c r="AC450" s="2976"/>
      <c r="AD450" s="2976"/>
      <c r="AE450" s="2976"/>
      <c r="AF450" s="2976"/>
    </row>
    <row r="451" spans="1:32">
      <c r="A451" s="2972">
        <v>450</v>
      </c>
      <c r="B451" s="2974" t="s">
        <v>3243</v>
      </c>
      <c r="C451" s="2982" t="s">
        <v>3152</v>
      </c>
      <c r="D451" s="2972" t="s">
        <v>3183</v>
      </c>
      <c r="E451" s="2982">
        <v>103</v>
      </c>
      <c r="F451" s="2983">
        <v>75.650000000000006</v>
      </c>
      <c r="G451" s="2979">
        <v>14.07</v>
      </c>
      <c r="H451" s="2979">
        <v>89.72</v>
      </c>
      <c r="I451" s="2974" t="s">
        <v>3055</v>
      </c>
      <c r="J451" s="2981" t="s">
        <v>3155</v>
      </c>
      <c r="L451" s="2976"/>
      <c r="M451" s="2976"/>
      <c r="N451" s="2976"/>
      <c r="O451" s="2976"/>
      <c r="P451" s="2976"/>
      <c r="Q451" s="2976"/>
      <c r="R451" s="2976"/>
      <c r="S451" s="2976"/>
      <c r="T451" s="2976"/>
      <c r="U451" s="2976"/>
      <c r="V451" s="2976"/>
      <c r="W451" s="2976"/>
      <c r="X451" s="2976"/>
      <c r="Y451" s="2976"/>
      <c r="Z451" s="2976"/>
      <c r="AA451" s="2976"/>
      <c r="AB451" s="2976"/>
      <c r="AC451" s="2976"/>
      <c r="AD451" s="2976"/>
      <c r="AE451" s="2976"/>
      <c r="AF451" s="2976"/>
    </row>
    <row r="452" spans="1:32">
      <c r="A452" s="2972">
        <v>451</v>
      </c>
      <c r="B452" s="2974" t="s">
        <v>3243</v>
      </c>
      <c r="C452" s="2982" t="s">
        <v>3152</v>
      </c>
      <c r="D452" s="2972" t="s">
        <v>3183</v>
      </c>
      <c r="E452" s="2982">
        <v>106</v>
      </c>
      <c r="F452" s="2983">
        <v>80.52</v>
      </c>
      <c r="G452" s="2979">
        <v>14.98</v>
      </c>
      <c r="H452" s="2979">
        <v>95.5</v>
      </c>
      <c r="I452" s="2974" t="s">
        <v>3055</v>
      </c>
      <c r="J452" s="2981" t="s">
        <v>3155</v>
      </c>
      <c r="L452" s="2976"/>
      <c r="M452" s="2976"/>
      <c r="N452" s="2976"/>
      <c r="O452" s="2976"/>
      <c r="P452" s="2976"/>
      <c r="Q452" s="2976"/>
      <c r="R452" s="2976"/>
      <c r="S452" s="2976"/>
      <c r="T452" s="2976"/>
      <c r="U452" s="2976"/>
      <c r="V452" s="2976"/>
      <c r="W452" s="2976"/>
      <c r="X452" s="2976"/>
      <c r="Y452" s="2976"/>
      <c r="Z452" s="2976"/>
      <c r="AA452" s="2976"/>
      <c r="AB452" s="2976"/>
      <c r="AC452" s="2976"/>
      <c r="AD452" s="2976"/>
      <c r="AE452" s="2976"/>
      <c r="AF452" s="2976"/>
    </row>
    <row r="453" spans="1:32">
      <c r="A453" s="2972">
        <v>452</v>
      </c>
      <c r="B453" s="2974" t="s">
        <v>3243</v>
      </c>
      <c r="C453" s="2982" t="s">
        <v>3159</v>
      </c>
      <c r="D453" s="2972" t="s">
        <v>3183</v>
      </c>
      <c r="E453" s="2982">
        <v>201</v>
      </c>
      <c r="F453" s="2983">
        <v>58.35</v>
      </c>
      <c r="G453" s="2979">
        <v>10.85</v>
      </c>
      <c r="H453" s="2979">
        <v>69.2</v>
      </c>
      <c r="I453" s="2974" t="s">
        <v>3055</v>
      </c>
      <c r="J453" s="2981" t="s">
        <v>3155</v>
      </c>
      <c r="L453" s="2976"/>
      <c r="M453" s="2976"/>
      <c r="N453" s="2976"/>
      <c r="O453" s="2976"/>
      <c r="P453" s="2976"/>
      <c r="Q453" s="2976"/>
      <c r="R453" s="2976"/>
      <c r="S453" s="2976"/>
      <c r="T453" s="2976"/>
      <c r="U453" s="2976"/>
      <c r="V453" s="2976"/>
      <c r="W453" s="2976"/>
      <c r="X453" s="2976"/>
      <c r="Y453" s="2976"/>
      <c r="Z453" s="2976"/>
      <c r="AA453" s="2976"/>
      <c r="AB453" s="2976"/>
      <c r="AC453" s="2976"/>
      <c r="AD453" s="2976"/>
      <c r="AE453" s="2976"/>
      <c r="AF453" s="2976"/>
    </row>
    <row r="454" spans="1:32">
      <c r="A454" s="2972">
        <v>453</v>
      </c>
      <c r="B454" s="2974" t="s">
        <v>3243</v>
      </c>
      <c r="C454" s="2982" t="s">
        <v>3159</v>
      </c>
      <c r="D454" s="2972" t="s">
        <v>3183</v>
      </c>
      <c r="E454" s="2982">
        <v>202</v>
      </c>
      <c r="F454" s="2983">
        <v>79.900000000000006</v>
      </c>
      <c r="G454" s="2979">
        <v>14.86</v>
      </c>
      <c r="H454" s="2979">
        <v>94.76</v>
      </c>
      <c r="I454" s="2974" t="s">
        <v>3055</v>
      </c>
      <c r="J454" s="2981" t="s">
        <v>3155</v>
      </c>
      <c r="L454" s="2976"/>
      <c r="M454" s="2976"/>
      <c r="N454" s="2976"/>
      <c r="O454" s="2976"/>
      <c r="P454" s="2976"/>
      <c r="Q454" s="2976"/>
      <c r="R454" s="2976"/>
      <c r="S454" s="2976"/>
      <c r="T454" s="2976"/>
      <c r="U454" s="2976"/>
      <c r="V454" s="2976"/>
      <c r="W454" s="2976"/>
      <c r="X454" s="2976"/>
      <c r="Y454" s="2976"/>
      <c r="Z454" s="2976"/>
      <c r="AA454" s="2976"/>
      <c r="AB454" s="2976"/>
      <c r="AC454" s="2976"/>
      <c r="AD454" s="2976"/>
      <c r="AE454" s="2976"/>
      <c r="AF454" s="2976"/>
    </row>
    <row r="455" spans="1:32">
      <c r="A455" s="2972">
        <v>454</v>
      </c>
      <c r="B455" s="2974" t="s">
        <v>3243</v>
      </c>
      <c r="C455" s="2982" t="s">
        <v>3159</v>
      </c>
      <c r="D455" s="2972" t="s">
        <v>3183</v>
      </c>
      <c r="E455" s="2982">
        <v>203</v>
      </c>
      <c r="F455" s="2983">
        <v>78.95</v>
      </c>
      <c r="G455" s="2979">
        <v>14.69</v>
      </c>
      <c r="H455" s="2979">
        <v>93.64</v>
      </c>
      <c r="I455" s="2974" t="s">
        <v>3055</v>
      </c>
      <c r="J455" s="2981" t="s">
        <v>3155</v>
      </c>
      <c r="L455" s="2976"/>
      <c r="M455" s="2976"/>
      <c r="N455" s="2976"/>
      <c r="O455" s="2976"/>
      <c r="P455" s="2976"/>
      <c r="Q455" s="2976"/>
      <c r="R455" s="2976"/>
      <c r="S455" s="2976"/>
      <c r="T455" s="2976"/>
      <c r="U455" s="2976"/>
      <c r="V455" s="2976"/>
      <c r="W455" s="2976"/>
      <c r="X455" s="2976"/>
      <c r="Y455" s="2976"/>
      <c r="Z455" s="2976"/>
      <c r="AA455" s="2976"/>
      <c r="AB455" s="2976"/>
      <c r="AC455" s="2976"/>
      <c r="AD455" s="2976"/>
      <c r="AE455" s="2976"/>
      <c r="AF455" s="2976"/>
    </row>
    <row r="456" spans="1:32">
      <c r="A456" s="2972">
        <v>455</v>
      </c>
      <c r="B456" s="2974" t="s">
        <v>3243</v>
      </c>
      <c r="C456" s="2982" t="s">
        <v>3159</v>
      </c>
      <c r="D456" s="2972" t="s">
        <v>3183</v>
      </c>
      <c r="E456" s="2982">
        <v>205</v>
      </c>
      <c r="F456" s="2983">
        <v>78.95</v>
      </c>
      <c r="G456" s="2979">
        <v>14.69</v>
      </c>
      <c r="H456" s="2979">
        <v>93.64</v>
      </c>
      <c r="I456" s="2974" t="s">
        <v>3055</v>
      </c>
      <c r="J456" s="2981" t="s">
        <v>3155</v>
      </c>
      <c r="L456" s="2976"/>
      <c r="M456" s="2976"/>
      <c r="N456" s="2976"/>
      <c r="O456" s="2976"/>
      <c r="P456" s="2976"/>
      <c r="Q456" s="2976"/>
      <c r="R456" s="2976"/>
      <c r="S456" s="2976"/>
      <c r="T456" s="2976"/>
      <c r="U456" s="2976"/>
      <c r="V456" s="2976"/>
      <c r="W456" s="2976"/>
      <c r="X456" s="2976"/>
      <c r="Y456" s="2976"/>
      <c r="Z456" s="2976"/>
      <c r="AA456" s="2976"/>
      <c r="AB456" s="2976"/>
      <c r="AC456" s="2976"/>
      <c r="AD456" s="2976"/>
      <c r="AE456" s="2976"/>
      <c r="AF456" s="2976"/>
    </row>
    <row r="457" spans="1:32">
      <c r="A457" s="2972">
        <v>456</v>
      </c>
      <c r="B457" s="2974" t="s">
        <v>3243</v>
      </c>
      <c r="C457" s="2982" t="s">
        <v>3159</v>
      </c>
      <c r="D457" s="2972" t="s">
        <v>3183</v>
      </c>
      <c r="E457" s="2982">
        <v>206</v>
      </c>
      <c r="F457" s="2983">
        <v>80.52</v>
      </c>
      <c r="G457" s="2979">
        <v>14.98</v>
      </c>
      <c r="H457" s="2979">
        <v>95.5</v>
      </c>
      <c r="I457" s="2974" t="s">
        <v>3055</v>
      </c>
      <c r="J457" s="2981" t="s">
        <v>3155</v>
      </c>
      <c r="L457" s="2976"/>
      <c r="M457" s="2976"/>
      <c r="N457" s="2976"/>
      <c r="O457" s="2976"/>
      <c r="P457" s="2976"/>
      <c r="Q457" s="2976"/>
      <c r="R457" s="2976"/>
      <c r="S457" s="2976"/>
      <c r="T457" s="2976"/>
      <c r="U457" s="2976"/>
      <c r="V457" s="2976"/>
      <c r="W457" s="2976"/>
      <c r="X457" s="2976"/>
      <c r="Y457" s="2976"/>
      <c r="Z457" s="2976"/>
      <c r="AA457" s="2976"/>
      <c r="AB457" s="2976"/>
      <c r="AC457" s="2976"/>
      <c r="AD457" s="2976"/>
      <c r="AE457" s="2976"/>
      <c r="AF457" s="2976"/>
    </row>
    <row r="458" spans="1:32">
      <c r="A458" s="2972">
        <v>457</v>
      </c>
      <c r="B458" s="2974" t="s">
        <v>3243</v>
      </c>
      <c r="C458" s="2982" t="s">
        <v>3159</v>
      </c>
      <c r="D458" s="2972" t="s">
        <v>3183</v>
      </c>
      <c r="E458" s="2982">
        <v>207</v>
      </c>
      <c r="F458" s="2983">
        <v>58.35</v>
      </c>
      <c r="G458" s="2979">
        <v>10.85</v>
      </c>
      <c r="H458" s="2979">
        <v>69.2</v>
      </c>
      <c r="I458" s="2974" t="s">
        <v>3055</v>
      </c>
      <c r="J458" s="2981" t="s">
        <v>3155</v>
      </c>
      <c r="L458" s="2976"/>
      <c r="M458" s="2976"/>
      <c r="N458" s="2976"/>
      <c r="O458" s="2976"/>
      <c r="P458" s="2976"/>
      <c r="Q458" s="2976"/>
      <c r="R458" s="2976"/>
      <c r="S458" s="2976"/>
      <c r="T458" s="2976"/>
      <c r="U458" s="2976"/>
      <c r="V458" s="2976"/>
      <c r="W458" s="2976"/>
      <c r="X458" s="2976"/>
      <c r="Y458" s="2976"/>
      <c r="Z458" s="2976"/>
      <c r="AA458" s="2976"/>
      <c r="AB458" s="2976"/>
      <c r="AC458" s="2976"/>
      <c r="AD458" s="2976"/>
      <c r="AE458" s="2976"/>
      <c r="AF458" s="2976"/>
    </row>
    <row r="459" spans="1:32">
      <c r="A459" s="2972">
        <v>458</v>
      </c>
      <c r="B459" s="2974" t="s">
        <v>3243</v>
      </c>
      <c r="C459" s="2982" t="s">
        <v>3153</v>
      </c>
      <c r="D459" s="2972" t="s">
        <v>3183</v>
      </c>
      <c r="E459" s="2982">
        <v>301</v>
      </c>
      <c r="F459" s="2983">
        <v>58.35</v>
      </c>
      <c r="G459" s="2979">
        <v>10.85</v>
      </c>
      <c r="H459" s="2979">
        <v>69.2</v>
      </c>
      <c r="I459" s="2974" t="s">
        <v>3055</v>
      </c>
      <c r="J459" s="2981" t="s">
        <v>3155</v>
      </c>
      <c r="L459" s="2976"/>
      <c r="M459" s="2976"/>
      <c r="N459" s="2976"/>
      <c r="O459" s="2976"/>
      <c r="P459" s="2976"/>
      <c r="Q459" s="2976"/>
      <c r="R459" s="2976"/>
      <c r="S459" s="2976"/>
      <c r="T459" s="2976"/>
      <c r="U459" s="2976"/>
      <c r="V459" s="2976"/>
      <c r="W459" s="2976"/>
      <c r="X459" s="2976"/>
      <c r="Y459" s="2976"/>
      <c r="Z459" s="2976"/>
      <c r="AA459" s="2976"/>
      <c r="AB459" s="2976"/>
      <c r="AC459" s="2976"/>
      <c r="AD459" s="2976"/>
      <c r="AE459" s="2976"/>
      <c r="AF459" s="2976"/>
    </row>
    <row r="460" spans="1:32">
      <c r="A460" s="2972">
        <v>459</v>
      </c>
      <c r="B460" s="2974" t="s">
        <v>3243</v>
      </c>
      <c r="C460" s="2982" t="s">
        <v>3153</v>
      </c>
      <c r="D460" s="2972" t="s">
        <v>3183</v>
      </c>
      <c r="E460" s="2982">
        <v>302</v>
      </c>
      <c r="F460" s="2983">
        <v>79.900000000000006</v>
      </c>
      <c r="G460" s="2979">
        <v>14.86</v>
      </c>
      <c r="H460" s="2979">
        <v>94.76</v>
      </c>
      <c r="I460" s="2974" t="s">
        <v>3055</v>
      </c>
      <c r="J460" s="2981" t="s">
        <v>3155</v>
      </c>
      <c r="L460" s="2976"/>
      <c r="M460" s="2976"/>
      <c r="N460" s="2976"/>
      <c r="O460" s="2976"/>
      <c r="P460" s="2976"/>
      <c r="Q460" s="2976"/>
      <c r="R460" s="2976"/>
      <c r="S460" s="2976"/>
      <c r="T460" s="2976"/>
      <c r="U460" s="2976"/>
      <c r="V460" s="2976"/>
      <c r="W460" s="2976"/>
      <c r="X460" s="2976"/>
      <c r="Y460" s="2976"/>
      <c r="Z460" s="2976"/>
      <c r="AA460" s="2976"/>
      <c r="AB460" s="2976"/>
      <c r="AC460" s="2976"/>
      <c r="AD460" s="2976"/>
      <c r="AE460" s="2976"/>
      <c r="AF460" s="2976"/>
    </row>
    <row r="461" spans="1:32">
      <c r="A461" s="2972">
        <v>460</v>
      </c>
      <c r="B461" s="2974" t="s">
        <v>3243</v>
      </c>
      <c r="C461" s="2982" t="s">
        <v>3153</v>
      </c>
      <c r="D461" s="2972" t="s">
        <v>3183</v>
      </c>
      <c r="E461" s="2982">
        <v>303</v>
      </c>
      <c r="F461" s="2983">
        <v>78.95</v>
      </c>
      <c r="G461" s="2979">
        <v>14.69</v>
      </c>
      <c r="H461" s="2979">
        <v>93.64</v>
      </c>
      <c r="I461" s="2974" t="s">
        <v>3055</v>
      </c>
      <c r="J461" s="2981" t="s">
        <v>3155</v>
      </c>
      <c r="L461" s="2976"/>
      <c r="M461" s="2976"/>
      <c r="N461" s="2976"/>
      <c r="O461" s="2976"/>
      <c r="P461" s="2976"/>
      <c r="Q461" s="2976"/>
      <c r="R461" s="2976"/>
      <c r="S461" s="2976"/>
      <c r="T461" s="2976"/>
      <c r="U461" s="2976"/>
      <c r="V461" s="2976"/>
      <c r="W461" s="2976"/>
      <c r="X461" s="2976"/>
      <c r="Y461" s="2976"/>
      <c r="Z461" s="2976"/>
      <c r="AA461" s="2976"/>
      <c r="AB461" s="2976"/>
      <c r="AC461" s="2976"/>
      <c r="AD461" s="2976"/>
      <c r="AE461" s="2976"/>
      <c r="AF461" s="2976"/>
    </row>
    <row r="462" spans="1:32">
      <c r="A462" s="2972">
        <v>461</v>
      </c>
      <c r="B462" s="2974" t="s">
        <v>3243</v>
      </c>
      <c r="C462" s="2982" t="s">
        <v>3153</v>
      </c>
      <c r="D462" s="2972" t="s">
        <v>3183</v>
      </c>
      <c r="E462" s="2982">
        <v>305</v>
      </c>
      <c r="F462" s="2983">
        <v>78.95</v>
      </c>
      <c r="G462" s="2979">
        <v>14.69</v>
      </c>
      <c r="H462" s="2979">
        <v>93.64</v>
      </c>
      <c r="I462" s="2974" t="s">
        <v>3055</v>
      </c>
      <c r="J462" s="2981" t="s">
        <v>3155</v>
      </c>
      <c r="L462" s="2976"/>
      <c r="M462" s="2976"/>
      <c r="N462" s="2976"/>
      <c r="O462" s="2976"/>
      <c r="P462" s="2976"/>
      <c r="Q462" s="2976"/>
      <c r="R462" s="2976"/>
      <c r="S462" s="2976"/>
      <c r="T462" s="2976"/>
      <c r="U462" s="2976"/>
      <c r="V462" s="2976"/>
      <c r="W462" s="2976"/>
      <c r="X462" s="2976"/>
      <c r="Y462" s="2976"/>
      <c r="Z462" s="2976"/>
      <c r="AA462" s="2976"/>
      <c r="AB462" s="2976"/>
      <c r="AC462" s="2976"/>
      <c r="AD462" s="2976"/>
      <c r="AE462" s="2976"/>
      <c r="AF462" s="2976"/>
    </row>
    <row r="463" spans="1:32">
      <c r="A463" s="2972">
        <v>462</v>
      </c>
      <c r="B463" s="2974" t="s">
        <v>3243</v>
      </c>
      <c r="C463" s="2982" t="s">
        <v>3153</v>
      </c>
      <c r="D463" s="2972" t="s">
        <v>3183</v>
      </c>
      <c r="E463" s="2982">
        <v>306</v>
      </c>
      <c r="F463" s="2983">
        <v>80.52</v>
      </c>
      <c r="G463" s="2979">
        <v>14.98</v>
      </c>
      <c r="H463" s="2979">
        <v>95.5</v>
      </c>
      <c r="I463" s="2974" t="s">
        <v>3055</v>
      </c>
      <c r="J463" s="2981" t="s">
        <v>3155</v>
      </c>
      <c r="L463" s="2976"/>
      <c r="M463" s="2976"/>
      <c r="N463" s="2976"/>
      <c r="O463" s="2976"/>
      <c r="P463" s="2976"/>
      <c r="Q463" s="2976"/>
      <c r="R463" s="2976"/>
      <c r="S463" s="2976"/>
      <c r="T463" s="2976"/>
      <c r="U463" s="2976"/>
      <c r="V463" s="2976"/>
      <c r="W463" s="2976"/>
      <c r="X463" s="2976"/>
      <c r="Y463" s="2976"/>
      <c r="Z463" s="2976"/>
      <c r="AA463" s="2976"/>
      <c r="AB463" s="2976"/>
      <c r="AC463" s="2976"/>
      <c r="AD463" s="2976"/>
      <c r="AE463" s="2976"/>
      <c r="AF463" s="2976"/>
    </row>
    <row r="464" spans="1:32">
      <c r="A464" s="2972">
        <v>463</v>
      </c>
      <c r="B464" s="2974" t="s">
        <v>3243</v>
      </c>
      <c r="C464" s="2982" t="s">
        <v>3153</v>
      </c>
      <c r="D464" s="2972" t="s">
        <v>3183</v>
      </c>
      <c r="E464" s="2982">
        <v>307</v>
      </c>
      <c r="F464" s="2983">
        <v>58.35</v>
      </c>
      <c r="G464" s="2979">
        <v>10.85</v>
      </c>
      <c r="H464" s="2979">
        <v>69.2</v>
      </c>
      <c r="I464" s="2974" t="s">
        <v>3055</v>
      </c>
      <c r="J464" s="2981" t="s">
        <v>3155</v>
      </c>
      <c r="L464" s="2976"/>
      <c r="M464" s="2976"/>
      <c r="N464" s="2976"/>
      <c r="O464" s="2976"/>
      <c r="P464" s="2976"/>
      <c r="Q464" s="2976"/>
      <c r="R464" s="2976"/>
      <c r="S464" s="2976"/>
      <c r="T464" s="2976"/>
      <c r="U464" s="2976"/>
      <c r="V464" s="2976"/>
      <c r="W464" s="2976"/>
      <c r="X464" s="2976"/>
      <c r="Y464" s="2976"/>
      <c r="Z464" s="2976"/>
      <c r="AA464" s="2976"/>
      <c r="AB464" s="2976"/>
      <c r="AC464" s="2976"/>
      <c r="AD464" s="2976"/>
      <c r="AE464" s="2976"/>
      <c r="AF464" s="2976"/>
    </row>
    <row r="465" spans="1:32">
      <c r="A465" s="2972">
        <v>464</v>
      </c>
      <c r="B465" s="2974" t="s">
        <v>3243</v>
      </c>
      <c r="C465" s="2982" t="s">
        <v>3156</v>
      </c>
      <c r="D465" s="2972" t="s">
        <v>3183</v>
      </c>
      <c r="E465" s="2982" t="s">
        <v>3145</v>
      </c>
      <c r="F465" s="2983">
        <v>58.35</v>
      </c>
      <c r="G465" s="2979">
        <v>10.85</v>
      </c>
      <c r="H465" s="2979">
        <v>69.2</v>
      </c>
      <c r="I465" s="2974" t="s">
        <v>3055</v>
      </c>
      <c r="J465" s="2981" t="s">
        <v>3155</v>
      </c>
      <c r="L465" s="2976"/>
      <c r="M465" s="2976"/>
      <c r="N465" s="2976"/>
      <c r="O465" s="2976"/>
      <c r="P465" s="2976"/>
      <c r="Q465" s="2976"/>
      <c r="R465" s="2976"/>
      <c r="S465" s="2976"/>
      <c r="T465" s="2976"/>
      <c r="U465" s="2976"/>
      <c r="V465" s="2976"/>
      <c r="W465" s="2976"/>
      <c r="X465" s="2976"/>
      <c r="Y465" s="2976"/>
      <c r="Z465" s="2976"/>
      <c r="AA465" s="2976"/>
      <c r="AB465" s="2976"/>
      <c r="AC465" s="2976"/>
      <c r="AD465" s="2976"/>
      <c r="AE465" s="2976"/>
      <c r="AF465" s="2976"/>
    </row>
    <row r="466" spans="1:32">
      <c r="A466" s="2972">
        <v>465</v>
      </c>
      <c r="B466" s="2974" t="s">
        <v>3243</v>
      </c>
      <c r="C466" s="2982" t="s">
        <v>3156</v>
      </c>
      <c r="D466" s="2972" t="s">
        <v>3183</v>
      </c>
      <c r="E466" s="2982" t="s">
        <v>3146</v>
      </c>
      <c r="F466" s="2983">
        <v>79.900000000000006</v>
      </c>
      <c r="G466" s="2979">
        <v>14.86</v>
      </c>
      <c r="H466" s="2979">
        <v>94.76</v>
      </c>
      <c r="I466" s="2974" t="s">
        <v>3055</v>
      </c>
      <c r="J466" s="2981" t="s">
        <v>3155</v>
      </c>
      <c r="L466" s="2976"/>
      <c r="M466" s="2976"/>
      <c r="N466" s="2976"/>
      <c r="O466" s="2976"/>
      <c r="P466" s="2976"/>
      <c r="Q466" s="2976"/>
      <c r="R466" s="2976"/>
      <c r="S466" s="2976"/>
      <c r="T466" s="2976"/>
      <c r="U466" s="2976"/>
      <c r="V466" s="2976"/>
      <c r="W466" s="2976"/>
      <c r="X466" s="2976"/>
      <c r="Y466" s="2976"/>
      <c r="Z466" s="2976"/>
      <c r="AA466" s="2976"/>
      <c r="AB466" s="2976"/>
      <c r="AC466" s="2976"/>
      <c r="AD466" s="2976"/>
      <c r="AE466" s="2976"/>
      <c r="AF466" s="2976"/>
    </row>
    <row r="467" spans="1:32">
      <c r="A467" s="2972">
        <v>466</v>
      </c>
      <c r="B467" s="2974" t="s">
        <v>3243</v>
      </c>
      <c r="C467" s="2982" t="s">
        <v>3156</v>
      </c>
      <c r="D467" s="2972" t="s">
        <v>3183</v>
      </c>
      <c r="E467" s="2982" t="s">
        <v>3147</v>
      </c>
      <c r="F467" s="2983">
        <v>78.95</v>
      </c>
      <c r="G467" s="2979">
        <v>14.69</v>
      </c>
      <c r="H467" s="2979">
        <v>93.64</v>
      </c>
      <c r="I467" s="2974" t="s">
        <v>3055</v>
      </c>
      <c r="J467" s="2981" t="s">
        <v>3155</v>
      </c>
      <c r="L467" s="2976"/>
      <c r="M467" s="2976"/>
      <c r="N467" s="2976"/>
      <c r="O467" s="2976"/>
      <c r="P467" s="2976"/>
      <c r="Q467" s="2976"/>
      <c r="R467" s="2976"/>
      <c r="S467" s="2976"/>
      <c r="T467" s="2976"/>
      <c r="U467" s="2976"/>
      <c r="V467" s="2976"/>
      <c r="W467" s="2976"/>
      <c r="X467" s="2976"/>
      <c r="Y467" s="2976"/>
      <c r="Z467" s="2976"/>
      <c r="AA467" s="2976"/>
      <c r="AB467" s="2976"/>
      <c r="AC467" s="2976"/>
      <c r="AD467" s="2976"/>
      <c r="AE467" s="2976"/>
      <c r="AF467" s="2976"/>
    </row>
    <row r="468" spans="1:32">
      <c r="A468" s="2972">
        <v>467</v>
      </c>
      <c r="B468" s="2974" t="s">
        <v>3243</v>
      </c>
      <c r="C468" s="2982" t="s">
        <v>3156</v>
      </c>
      <c r="D468" s="2972" t="s">
        <v>3183</v>
      </c>
      <c r="E468" s="2982" t="s">
        <v>3148</v>
      </c>
      <c r="F468" s="2983">
        <v>78.95</v>
      </c>
      <c r="G468" s="2979">
        <v>14.69</v>
      </c>
      <c r="H468" s="2979">
        <v>93.64</v>
      </c>
      <c r="I468" s="2974" t="s">
        <v>3055</v>
      </c>
      <c r="J468" s="2981" t="s">
        <v>3155</v>
      </c>
      <c r="L468" s="2976"/>
      <c r="M468" s="2976"/>
      <c r="N468" s="2976"/>
      <c r="O468" s="2976"/>
      <c r="P468" s="2976"/>
      <c r="Q468" s="2976"/>
      <c r="R468" s="2976"/>
      <c r="S468" s="2976"/>
      <c r="T468" s="2976"/>
      <c r="U468" s="2976"/>
      <c r="V468" s="2976"/>
      <c r="W468" s="2976"/>
      <c r="X468" s="2976"/>
      <c r="Y468" s="2976"/>
      <c r="Z468" s="2976"/>
      <c r="AA468" s="2976"/>
      <c r="AB468" s="2976"/>
      <c r="AC468" s="2976"/>
      <c r="AD468" s="2976"/>
      <c r="AE468" s="2976"/>
      <c r="AF468" s="2976"/>
    </row>
    <row r="469" spans="1:32">
      <c r="A469" s="2972">
        <v>468</v>
      </c>
      <c r="B469" s="2974" t="s">
        <v>3243</v>
      </c>
      <c r="C469" s="2982" t="s">
        <v>3156</v>
      </c>
      <c r="D469" s="2972" t="s">
        <v>3183</v>
      </c>
      <c r="E469" s="2982" t="s">
        <v>3149</v>
      </c>
      <c r="F469" s="2983">
        <v>80.52</v>
      </c>
      <c r="G469" s="2979">
        <v>14.98</v>
      </c>
      <c r="H469" s="2979">
        <v>95.5</v>
      </c>
      <c r="I469" s="2974" t="s">
        <v>3055</v>
      </c>
      <c r="J469" s="2981" t="s">
        <v>3155</v>
      </c>
      <c r="L469" s="2976"/>
      <c r="M469" s="2976"/>
      <c r="N469" s="2976"/>
      <c r="O469" s="2976"/>
      <c r="P469" s="2976"/>
      <c r="Q469" s="2976"/>
      <c r="R469" s="2976"/>
      <c r="S469" s="2976"/>
      <c r="T469" s="2976"/>
      <c r="U469" s="2976"/>
      <c r="V469" s="2976"/>
      <c r="W469" s="2976"/>
      <c r="X469" s="2976"/>
      <c r="Y469" s="2976"/>
      <c r="Z469" s="2976"/>
      <c r="AA469" s="2976"/>
      <c r="AB469" s="2976"/>
      <c r="AC469" s="2976"/>
      <c r="AD469" s="2976"/>
      <c r="AE469" s="2976"/>
      <c r="AF469" s="2976"/>
    </row>
    <row r="470" spans="1:32">
      <c r="A470" s="2972">
        <v>469</v>
      </c>
      <c r="B470" s="2974" t="s">
        <v>3243</v>
      </c>
      <c r="C470" s="2982" t="s">
        <v>3156</v>
      </c>
      <c r="D470" s="2972" t="s">
        <v>3183</v>
      </c>
      <c r="E470" s="2982" t="s">
        <v>3150</v>
      </c>
      <c r="F470" s="2983">
        <v>58.35</v>
      </c>
      <c r="G470" s="2979">
        <v>10.85</v>
      </c>
      <c r="H470" s="2979">
        <v>69.2</v>
      </c>
      <c r="I470" s="2974" t="s">
        <v>3055</v>
      </c>
      <c r="J470" s="2981" t="s">
        <v>3155</v>
      </c>
      <c r="L470" s="2976"/>
      <c r="M470" s="2976"/>
      <c r="N470" s="2976"/>
      <c r="O470" s="2976"/>
      <c r="P470" s="2976"/>
      <c r="Q470" s="2976"/>
      <c r="R470" s="2976"/>
      <c r="S470" s="2976"/>
      <c r="T470" s="2976"/>
      <c r="U470" s="2976"/>
      <c r="V470" s="2976"/>
      <c r="W470" s="2976"/>
      <c r="X470" s="2976"/>
      <c r="Y470" s="2976"/>
      <c r="Z470" s="2976"/>
      <c r="AA470" s="2976"/>
      <c r="AB470" s="2976"/>
      <c r="AC470" s="2976"/>
      <c r="AD470" s="2976"/>
      <c r="AE470" s="2976"/>
      <c r="AF470" s="2976"/>
    </row>
    <row r="471" spans="1:32">
      <c r="A471" s="2972">
        <v>470</v>
      </c>
      <c r="B471" s="2974" t="s">
        <v>3243</v>
      </c>
      <c r="C471" s="2982" t="s">
        <v>3157</v>
      </c>
      <c r="D471" s="2972" t="s">
        <v>3183</v>
      </c>
      <c r="E471" s="2982">
        <v>501</v>
      </c>
      <c r="F471" s="2983">
        <v>58.35</v>
      </c>
      <c r="G471" s="2979">
        <v>10.85</v>
      </c>
      <c r="H471" s="2979">
        <v>69.2</v>
      </c>
      <c r="I471" s="2974" t="s">
        <v>3055</v>
      </c>
      <c r="J471" s="2981" t="s">
        <v>3155</v>
      </c>
      <c r="L471" s="2976"/>
      <c r="M471" s="2976"/>
      <c r="N471" s="2976"/>
      <c r="O471" s="2976"/>
      <c r="P471" s="2976"/>
      <c r="Q471" s="2976"/>
      <c r="R471" s="2976"/>
      <c r="S471" s="2976"/>
      <c r="T471" s="2976"/>
      <c r="U471" s="2976"/>
      <c r="V471" s="2976"/>
      <c r="W471" s="2976"/>
      <c r="X471" s="2976"/>
      <c r="Y471" s="2976"/>
      <c r="Z471" s="2976"/>
      <c r="AA471" s="2976"/>
      <c r="AB471" s="2976"/>
      <c r="AC471" s="2976"/>
      <c r="AD471" s="2976"/>
      <c r="AE471" s="2976"/>
      <c r="AF471" s="2976"/>
    </row>
    <row r="472" spans="1:32">
      <c r="A472" s="2972">
        <v>471</v>
      </c>
      <c r="B472" s="2974" t="s">
        <v>3243</v>
      </c>
      <c r="C472" s="2982" t="s">
        <v>3157</v>
      </c>
      <c r="D472" s="2972" t="s">
        <v>3183</v>
      </c>
      <c r="E472" s="2982">
        <v>502</v>
      </c>
      <c r="F472" s="2983">
        <v>79.900000000000006</v>
      </c>
      <c r="G472" s="2979">
        <v>14.86</v>
      </c>
      <c r="H472" s="2979">
        <v>94.76</v>
      </c>
      <c r="I472" s="2974" t="s">
        <v>3055</v>
      </c>
      <c r="J472" s="2981" t="s">
        <v>3155</v>
      </c>
      <c r="L472" s="2976"/>
      <c r="M472" s="2976"/>
      <c r="N472" s="2976"/>
      <c r="O472" s="2976"/>
      <c r="P472" s="2976"/>
      <c r="Q472" s="2976"/>
      <c r="R472" s="2976"/>
      <c r="S472" s="2976"/>
      <c r="T472" s="2976"/>
      <c r="U472" s="2976"/>
      <c r="V472" s="2976"/>
      <c r="W472" s="2976"/>
      <c r="X472" s="2976"/>
      <c r="Y472" s="2976"/>
      <c r="Z472" s="2976"/>
      <c r="AA472" s="2976"/>
      <c r="AB472" s="2976"/>
      <c r="AC472" s="2976"/>
      <c r="AD472" s="2976"/>
      <c r="AE472" s="2976"/>
      <c r="AF472" s="2976"/>
    </row>
    <row r="473" spans="1:32">
      <c r="A473" s="2972">
        <v>472</v>
      </c>
      <c r="B473" s="2974" t="s">
        <v>3243</v>
      </c>
      <c r="C473" s="2982" t="s">
        <v>3157</v>
      </c>
      <c r="D473" s="2972" t="s">
        <v>3183</v>
      </c>
      <c r="E473" s="2982">
        <v>503</v>
      </c>
      <c r="F473" s="2983">
        <v>78.95</v>
      </c>
      <c r="G473" s="2979">
        <v>14.69</v>
      </c>
      <c r="H473" s="2979">
        <v>93.64</v>
      </c>
      <c r="I473" s="2974" t="s">
        <v>3055</v>
      </c>
      <c r="J473" s="2981" t="s">
        <v>3155</v>
      </c>
      <c r="L473" s="2976"/>
      <c r="M473" s="2976"/>
      <c r="N473" s="2976"/>
      <c r="O473" s="2976"/>
      <c r="P473" s="2976"/>
      <c r="Q473" s="2976"/>
      <c r="R473" s="2976"/>
      <c r="S473" s="2976"/>
      <c r="T473" s="2976"/>
      <c r="U473" s="2976"/>
      <c r="V473" s="2976"/>
      <c r="W473" s="2976"/>
      <c r="X473" s="2976"/>
      <c r="Y473" s="2976"/>
      <c r="Z473" s="2976"/>
      <c r="AA473" s="2976"/>
      <c r="AB473" s="2976"/>
      <c r="AC473" s="2976"/>
      <c r="AD473" s="2976"/>
      <c r="AE473" s="2976"/>
      <c r="AF473" s="2976"/>
    </row>
    <row r="474" spans="1:32">
      <c r="A474" s="2972">
        <v>473</v>
      </c>
      <c r="B474" s="2974" t="s">
        <v>3243</v>
      </c>
      <c r="C474" s="2982" t="s">
        <v>3157</v>
      </c>
      <c r="D474" s="2972" t="s">
        <v>3183</v>
      </c>
      <c r="E474" s="2982">
        <v>505</v>
      </c>
      <c r="F474" s="2983">
        <v>78.95</v>
      </c>
      <c r="G474" s="2979">
        <v>14.69</v>
      </c>
      <c r="H474" s="2979">
        <v>93.64</v>
      </c>
      <c r="I474" s="2974" t="s">
        <v>3055</v>
      </c>
      <c r="J474" s="2981" t="s">
        <v>3155</v>
      </c>
      <c r="L474" s="2976"/>
      <c r="M474" s="2976"/>
      <c r="N474" s="2976"/>
      <c r="O474" s="2976"/>
      <c r="P474" s="2976"/>
      <c r="Q474" s="2976"/>
      <c r="R474" s="2976"/>
      <c r="S474" s="2976"/>
      <c r="T474" s="2976"/>
      <c r="U474" s="2976"/>
      <c r="V474" s="2976"/>
      <c r="W474" s="2976"/>
      <c r="X474" s="2976"/>
      <c r="Y474" s="2976"/>
      <c r="Z474" s="2976"/>
      <c r="AA474" s="2976"/>
      <c r="AB474" s="2976"/>
      <c r="AC474" s="2976"/>
      <c r="AD474" s="2976"/>
      <c r="AE474" s="2976"/>
      <c r="AF474" s="2976"/>
    </row>
    <row r="475" spans="1:32">
      <c r="A475" s="2972">
        <v>474</v>
      </c>
      <c r="B475" s="2974" t="s">
        <v>3243</v>
      </c>
      <c r="C475" s="2982" t="s">
        <v>3157</v>
      </c>
      <c r="D475" s="2972" t="s">
        <v>3183</v>
      </c>
      <c r="E475" s="2982">
        <v>506</v>
      </c>
      <c r="F475" s="2983">
        <v>80.52</v>
      </c>
      <c r="G475" s="2979">
        <v>14.98</v>
      </c>
      <c r="H475" s="2979">
        <v>95.5</v>
      </c>
      <c r="I475" s="2974" t="s">
        <v>3055</v>
      </c>
      <c r="J475" s="2981" t="s">
        <v>3155</v>
      </c>
      <c r="L475" s="2976"/>
      <c r="M475" s="2976"/>
      <c r="N475" s="2976"/>
      <c r="O475" s="2976"/>
      <c r="P475" s="2976"/>
      <c r="Q475" s="2976"/>
      <c r="R475" s="2976"/>
      <c r="S475" s="2976"/>
      <c r="T475" s="2976"/>
      <c r="U475" s="2976"/>
      <c r="V475" s="2976"/>
      <c r="W475" s="2976"/>
      <c r="X475" s="2976"/>
      <c r="Y475" s="2976"/>
      <c r="Z475" s="2976"/>
      <c r="AA475" s="2976"/>
      <c r="AB475" s="2976"/>
      <c r="AC475" s="2976"/>
      <c r="AD475" s="2976"/>
      <c r="AE475" s="2976"/>
      <c r="AF475" s="2976"/>
    </row>
    <row r="476" spans="1:32">
      <c r="A476" s="2972">
        <v>475</v>
      </c>
      <c r="B476" s="2974" t="s">
        <v>3243</v>
      </c>
      <c r="C476" s="2982" t="s">
        <v>3157</v>
      </c>
      <c r="D476" s="2972" t="s">
        <v>3183</v>
      </c>
      <c r="E476" s="2982">
        <v>507</v>
      </c>
      <c r="F476" s="2983">
        <v>58.35</v>
      </c>
      <c r="G476" s="2979">
        <v>10.85</v>
      </c>
      <c r="H476" s="2979">
        <v>69.2</v>
      </c>
      <c r="I476" s="2974" t="s">
        <v>3055</v>
      </c>
      <c r="J476" s="2981" t="s">
        <v>3155</v>
      </c>
      <c r="L476" s="2976"/>
      <c r="M476" s="2976"/>
      <c r="N476" s="2976"/>
      <c r="O476" s="2976"/>
      <c r="P476" s="2976"/>
      <c r="Q476" s="2976"/>
      <c r="R476" s="2976"/>
      <c r="S476" s="2976"/>
      <c r="T476" s="2976"/>
      <c r="U476" s="2976"/>
      <c r="V476" s="2976"/>
      <c r="W476" s="2976"/>
      <c r="X476" s="2976"/>
      <c r="Y476" s="2976"/>
      <c r="Z476" s="2976"/>
      <c r="AA476" s="2976"/>
      <c r="AB476" s="2976"/>
      <c r="AC476" s="2976"/>
      <c r="AD476" s="2976"/>
      <c r="AE476" s="2976"/>
      <c r="AF476" s="2976"/>
    </row>
    <row r="477" spans="1:32">
      <c r="A477" s="2972">
        <v>476</v>
      </c>
      <c r="B477" s="2974" t="s">
        <v>3243</v>
      </c>
      <c r="C477" s="2982" t="s">
        <v>3158</v>
      </c>
      <c r="D477" s="2972" t="s">
        <v>3183</v>
      </c>
      <c r="E477" s="2982">
        <v>601</v>
      </c>
      <c r="F477" s="2983">
        <v>58.35</v>
      </c>
      <c r="G477" s="2979">
        <v>10.85</v>
      </c>
      <c r="H477" s="2979">
        <v>69.2</v>
      </c>
      <c r="I477" s="2974" t="s">
        <v>3055</v>
      </c>
      <c r="J477" s="2981" t="s">
        <v>3155</v>
      </c>
      <c r="L477" s="2976"/>
      <c r="M477" s="2976"/>
      <c r="N477" s="2976"/>
      <c r="O477" s="2976"/>
      <c r="P477" s="2976"/>
      <c r="Q477" s="2976"/>
      <c r="R477" s="2976"/>
      <c r="S477" s="2976"/>
      <c r="T477" s="2976"/>
      <c r="U477" s="2976"/>
      <c r="V477" s="2976"/>
      <c r="W477" s="2976"/>
      <c r="X477" s="2976"/>
      <c r="Y477" s="2976"/>
      <c r="Z477" s="2976"/>
      <c r="AA477" s="2976"/>
      <c r="AB477" s="2976"/>
      <c r="AC477" s="2976"/>
      <c r="AD477" s="2976"/>
      <c r="AE477" s="2976"/>
      <c r="AF477" s="2976"/>
    </row>
    <row r="478" spans="1:32">
      <c r="A478" s="2972">
        <v>477</v>
      </c>
      <c r="B478" s="2974" t="s">
        <v>3243</v>
      </c>
      <c r="C478" s="2982" t="s">
        <v>3158</v>
      </c>
      <c r="D478" s="2972" t="s">
        <v>3183</v>
      </c>
      <c r="E478" s="2982">
        <v>602</v>
      </c>
      <c r="F478" s="2983">
        <v>79.900000000000006</v>
      </c>
      <c r="G478" s="2979">
        <v>14.86</v>
      </c>
      <c r="H478" s="2979">
        <v>94.76</v>
      </c>
      <c r="I478" s="2974" t="s">
        <v>3055</v>
      </c>
      <c r="J478" s="2981" t="s">
        <v>3155</v>
      </c>
      <c r="L478" s="2976"/>
      <c r="M478" s="2976"/>
      <c r="N478" s="2976"/>
      <c r="O478" s="2976"/>
      <c r="P478" s="2976"/>
      <c r="Q478" s="2976"/>
      <c r="R478" s="2976"/>
      <c r="S478" s="2976"/>
      <c r="T478" s="2976"/>
      <c r="U478" s="2976"/>
      <c r="V478" s="2976"/>
      <c r="W478" s="2976"/>
      <c r="X478" s="2976"/>
      <c r="Y478" s="2976"/>
      <c r="Z478" s="2976"/>
      <c r="AA478" s="2976"/>
      <c r="AB478" s="2976"/>
      <c r="AC478" s="2976"/>
      <c r="AD478" s="2976"/>
      <c r="AE478" s="2976"/>
      <c r="AF478" s="2976"/>
    </row>
    <row r="479" spans="1:32">
      <c r="A479" s="2972">
        <v>478</v>
      </c>
      <c r="B479" s="2974" t="s">
        <v>3243</v>
      </c>
      <c r="C479" s="2982" t="s">
        <v>3158</v>
      </c>
      <c r="D479" s="2972" t="s">
        <v>3183</v>
      </c>
      <c r="E479" s="2982">
        <v>603</v>
      </c>
      <c r="F479" s="2983">
        <v>78.95</v>
      </c>
      <c r="G479" s="2979">
        <v>14.69</v>
      </c>
      <c r="H479" s="2979">
        <v>93.64</v>
      </c>
      <c r="I479" s="2974" t="s">
        <v>3055</v>
      </c>
      <c r="J479" s="2981" t="s">
        <v>3155</v>
      </c>
      <c r="L479" s="2976"/>
      <c r="M479" s="2976"/>
      <c r="N479" s="2976"/>
      <c r="O479" s="2976"/>
      <c r="P479" s="2976"/>
      <c r="Q479" s="2976"/>
      <c r="R479" s="2976"/>
      <c r="S479" s="2976"/>
      <c r="T479" s="2976"/>
      <c r="U479" s="2976"/>
      <c r="V479" s="2976"/>
      <c r="W479" s="2976"/>
      <c r="X479" s="2976"/>
      <c r="Y479" s="2976"/>
      <c r="Z479" s="2976"/>
      <c r="AA479" s="2976"/>
      <c r="AB479" s="2976"/>
      <c r="AC479" s="2976"/>
      <c r="AD479" s="2976"/>
      <c r="AE479" s="2976"/>
      <c r="AF479" s="2976"/>
    </row>
    <row r="480" spans="1:32">
      <c r="A480" s="2972">
        <v>479</v>
      </c>
      <c r="B480" s="2974" t="s">
        <v>3243</v>
      </c>
      <c r="C480" s="2982" t="s">
        <v>3158</v>
      </c>
      <c r="D480" s="2972" t="s">
        <v>3183</v>
      </c>
      <c r="E480" s="2982">
        <v>605</v>
      </c>
      <c r="F480" s="2983">
        <v>78.95</v>
      </c>
      <c r="G480" s="2979">
        <v>14.69</v>
      </c>
      <c r="H480" s="2979">
        <v>93.64</v>
      </c>
      <c r="I480" s="2974" t="s">
        <v>3055</v>
      </c>
      <c r="J480" s="2981" t="s">
        <v>3155</v>
      </c>
      <c r="L480" s="2976"/>
      <c r="M480" s="2976"/>
      <c r="N480" s="2976"/>
      <c r="O480" s="2976"/>
      <c r="P480" s="2976"/>
      <c r="Q480" s="2976"/>
      <c r="R480" s="2976"/>
      <c r="S480" s="2976"/>
      <c r="T480" s="2976"/>
      <c r="U480" s="2976"/>
      <c r="V480" s="2976"/>
      <c r="W480" s="2976"/>
      <c r="X480" s="2976"/>
      <c r="Y480" s="2976"/>
      <c r="Z480" s="2976"/>
      <c r="AA480" s="2976"/>
      <c r="AB480" s="2976"/>
      <c r="AC480" s="2976"/>
      <c r="AD480" s="2976"/>
      <c r="AE480" s="2976"/>
      <c r="AF480" s="2976"/>
    </row>
    <row r="481" spans="1:32">
      <c r="A481" s="2972">
        <v>480</v>
      </c>
      <c r="B481" s="2974" t="s">
        <v>3243</v>
      </c>
      <c r="C481" s="2982" t="s">
        <v>3158</v>
      </c>
      <c r="D481" s="2972" t="s">
        <v>3183</v>
      </c>
      <c r="E481" s="2982">
        <v>606</v>
      </c>
      <c r="F481" s="2983">
        <v>80.52</v>
      </c>
      <c r="G481" s="2979">
        <v>14.98</v>
      </c>
      <c r="H481" s="2979">
        <v>95.5</v>
      </c>
      <c r="I481" s="2974" t="s">
        <v>3055</v>
      </c>
      <c r="J481" s="2981" t="s">
        <v>3155</v>
      </c>
      <c r="L481" s="2976"/>
      <c r="M481" s="2976"/>
      <c r="N481" s="2976"/>
      <c r="O481" s="2976"/>
      <c r="P481" s="2976"/>
      <c r="Q481" s="2976"/>
      <c r="R481" s="2976"/>
      <c r="S481" s="2976"/>
      <c r="T481" s="2976"/>
      <c r="U481" s="2976"/>
      <c r="V481" s="2976"/>
      <c r="W481" s="2976"/>
      <c r="X481" s="2976"/>
      <c r="Y481" s="2976"/>
      <c r="Z481" s="2976"/>
      <c r="AA481" s="2976"/>
      <c r="AB481" s="2976"/>
      <c r="AC481" s="2976"/>
      <c r="AD481" s="2976"/>
      <c r="AE481" s="2976"/>
      <c r="AF481" s="2976"/>
    </row>
    <row r="482" spans="1:32">
      <c r="A482" s="2972">
        <v>481</v>
      </c>
      <c r="B482" s="2974" t="s">
        <v>3243</v>
      </c>
      <c r="C482" s="2982" t="s">
        <v>3158</v>
      </c>
      <c r="D482" s="2972" t="s">
        <v>3183</v>
      </c>
      <c r="E482" s="2982">
        <v>607</v>
      </c>
      <c r="F482" s="2983">
        <v>58.35</v>
      </c>
      <c r="G482" s="2979">
        <v>10.85</v>
      </c>
      <c r="H482" s="2979">
        <v>69.2</v>
      </c>
      <c r="I482" s="2974" t="s">
        <v>3055</v>
      </c>
      <c r="J482" s="2981" t="s">
        <v>3155</v>
      </c>
      <c r="L482" s="2976"/>
      <c r="M482" s="2976"/>
      <c r="N482" s="2976"/>
      <c r="O482" s="2976"/>
      <c r="P482" s="2976"/>
      <c r="Q482" s="2976"/>
      <c r="R482" s="2976"/>
      <c r="S482" s="2976"/>
      <c r="T482" s="2976"/>
      <c r="U482" s="2976"/>
      <c r="V482" s="2976"/>
      <c r="W482" s="2976"/>
      <c r="X482" s="2976"/>
      <c r="Y482" s="2976"/>
      <c r="Z482" s="2976"/>
      <c r="AA482" s="2976"/>
      <c r="AB482" s="2976"/>
      <c r="AC482" s="2976"/>
      <c r="AD482" s="2976"/>
      <c r="AE482" s="2976"/>
      <c r="AF482" s="2976"/>
    </row>
    <row r="483" spans="1:32">
      <c r="A483" s="2972">
        <v>482</v>
      </c>
      <c r="B483" s="2974" t="s">
        <v>3244</v>
      </c>
      <c r="C483" s="2982" t="s">
        <v>3152</v>
      </c>
      <c r="D483" s="2972" t="s">
        <v>3183</v>
      </c>
      <c r="E483" s="2982">
        <v>102</v>
      </c>
      <c r="F483" s="2983">
        <v>79.91</v>
      </c>
      <c r="G483" s="2979">
        <v>14.93</v>
      </c>
      <c r="H483" s="2979">
        <v>94.84</v>
      </c>
      <c r="I483" s="2974" t="s">
        <v>3055</v>
      </c>
      <c r="J483" s="2981" t="s">
        <v>3155</v>
      </c>
      <c r="L483" s="2976"/>
      <c r="M483" s="2976"/>
      <c r="N483" s="2976"/>
      <c r="O483" s="2976"/>
      <c r="P483" s="2976"/>
      <c r="Q483" s="2976"/>
      <c r="R483" s="2976"/>
      <c r="S483" s="2976"/>
      <c r="T483" s="2976"/>
      <c r="U483" s="2976"/>
      <c r="V483" s="2976"/>
      <c r="W483" s="2976"/>
      <c r="X483" s="2976"/>
      <c r="Y483" s="2976"/>
      <c r="Z483" s="2976"/>
      <c r="AA483" s="2976"/>
      <c r="AB483" s="2976"/>
      <c r="AC483" s="2976"/>
      <c r="AD483" s="2976"/>
      <c r="AE483" s="2976"/>
      <c r="AF483" s="2976"/>
    </row>
    <row r="484" spans="1:32">
      <c r="A484" s="2972">
        <v>483</v>
      </c>
      <c r="B484" s="2974" t="s">
        <v>3244</v>
      </c>
      <c r="C484" s="2982" t="s">
        <v>3152</v>
      </c>
      <c r="D484" s="2972" t="s">
        <v>3183</v>
      </c>
      <c r="E484" s="2982">
        <v>103</v>
      </c>
      <c r="F484" s="2983">
        <v>75.650000000000006</v>
      </c>
      <c r="G484" s="2979">
        <v>14.13</v>
      </c>
      <c r="H484" s="2979">
        <v>89.78</v>
      </c>
      <c r="I484" s="2974" t="s">
        <v>3055</v>
      </c>
      <c r="J484" s="2981" t="s">
        <v>3155</v>
      </c>
      <c r="L484" s="2976"/>
      <c r="M484" s="2976"/>
      <c r="N484" s="2976"/>
      <c r="O484" s="2976"/>
      <c r="P484" s="2976"/>
      <c r="Q484" s="2976"/>
      <c r="R484" s="2976"/>
      <c r="S484" s="2976"/>
      <c r="T484" s="2976"/>
      <c r="U484" s="2976"/>
      <c r="V484" s="2976"/>
      <c r="W484" s="2976"/>
      <c r="X484" s="2976"/>
      <c r="Y484" s="2976"/>
      <c r="Z484" s="2976"/>
      <c r="AA484" s="2976"/>
      <c r="AB484" s="2976"/>
      <c r="AC484" s="2976"/>
      <c r="AD484" s="2976"/>
      <c r="AE484" s="2976"/>
      <c r="AF484" s="2976"/>
    </row>
    <row r="485" spans="1:32">
      <c r="A485" s="2972">
        <v>484</v>
      </c>
      <c r="B485" s="2974" t="s">
        <v>3244</v>
      </c>
      <c r="C485" s="2982" t="s">
        <v>3152</v>
      </c>
      <c r="D485" s="2972" t="s">
        <v>3183</v>
      </c>
      <c r="E485" s="2982">
        <v>106</v>
      </c>
      <c r="F485" s="2983">
        <v>80.52</v>
      </c>
      <c r="G485" s="2979">
        <v>15.04</v>
      </c>
      <c r="H485" s="2979">
        <v>95.56</v>
      </c>
      <c r="I485" s="2974" t="s">
        <v>3055</v>
      </c>
      <c r="J485" s="2981" t="s">
        <v>3155</v>
      </c>
      <c r="L485" s="2976"/>
      <c r="M485" s="2976"/>
      <c r="N485" s="2976"/>
      <c r="O485" s="2976"/>
      <c r="P485" s="2976"/>
      <c r="Q485" s="2976"/>
      <c r="R485" s="2976"/>
      <c r="S485" s="2976"/>
      <c r="T485" s="2976"/>
      <c r="U485" s="2976"/>
      <c r="V485" s="2976"/>
      <c r="W485" s="2976"/>
      <c r="X485" s="2976"/>
      <c r="Y485" s="2976"/>
      <c r="Z485" s="2976"/>
      <c r="AA485" s="2976"/>
      <c r="AB485" s="2976"/>
      <c r="AC485" s="2976"/>
      <c r="AD485" s="2976"/>
      <c r="AE485" s="2976"/>
      <c r="AF485" s="2976"/>
    </row>
    <row r="486" spans="1:32">
      <c r="A486" s="2972">
        <v>485</v>
      </c>
      <c r="B486" s="2974" t="s">
        <v>3244</v>
      </c>
      <c r="C486" s="2982" t="s">
        <v>3159</v>
      </c>
      <c r="D486" s="2972" t="s">
        <v>3183</v>
      </c>
      <c r="E486" s="2982">
        <v>201</v>
      </c>
      <c r="F486" s="2983">
        <v>58.35</v>
      </c>
      <c r="G486" s="2979">
        <v>10.9</v>
      </c>
      <c r="H486" s="2979">
        <v>69.25</v>
      </c>
      <c r="I486" s="2974" t="s">
        <v>3055</v>
      </c>
      <c r="J486" s="2981" t="s">
        <v>3155</v>
      </c>
      <c r="L486" s="2976"/>
      <c r="M486" s="2976"/>
      <c r="N486" s="2976"/>
      <c r="O486" s="2976"/>
      <c r="P486" s="2976"/>
      <c r="Q486" s="2976"/>
      <c r="R486" s="2976"/>
      <c r="S486" s="2976"/>
      <c r="T486" s="2976"/>
      <c r="U486" s="2976"/>
      <c r="V486" s="2976"/>
      <c r="W486" s="2976"/>
      <c r="X486" s="2976"/>
      <c r="Y486" s="2976"/>
      <c r="Z486" s="2976"/>
      <c r="AA486" s="2976"/>
      <c r="AB486" s="2976"/>
      <c r="AC486" s="2976"/>
      <c r="AD486" s="2976"/>
      <c r="AE486" s="2976"/>
      <c r="AF486" s="2976"/>
    </row>
    <row r="487" spans="1:32">
      <c r="A487" s="2972">
        <v>486</v>
      </c>
      <c r="B487" s="2974" t="s">
        <v>3244</v>
      </c>
      <c r="C487" s="2982" t="s">
        <v>3159</v>
      </c>
      <c r="D487" s="2972" t="s">
        <v>3183</v>
      </c>
      <c r="E487" s="2982">
        <v>202</v>
      </c>
      <c r="F487" s="2983">
        <v>79.900000000000006</v>
      </c>
      <c r="G487" s="2979">
        <v>14.93</v>
      </c>
      <c r="H487" s="2979">
        <v>94.830000000000013</v>
      </c>
      <c r="I487" s="2974" t="s">
        <v>3055</v>
      </c>
      <c r="J487" s="2981" t="s">
        <v>3155</v>
      </c>
      <c r="L487" s="2976"/>
      <c r="M487" s="2976"/>
      <c r="N487" s="2976"/>
      <c r="O487" s="2976"/>
      <c r="P487" s="2976"/>
      <c r="Q487" s="2976"/>
      <c r="R487" s="2976"/>
      <c r="S487" s="2976"/>
      <c r="T487" s="2976"/>
      <c r="U487" s="2976"/>
      <c r="V487" s="2976"/>
      <c r="W487" s="2976"/>
      <c r="X487" s="2976"/>
      <c r="Y487" s="2976"/>
      <c r="Z487" s="2976"/>
      <c r="AA487" s="2976"/>
      <c r="AB487" s="2976"/>
      <c r="AC487" s="2976"/>
      <c r="AD487" s="2976"/>
      <c r="AE487" s="2976"/>
      <c r="AF487" s="2976"/>
    </row>
    <row r="488" spans="1:32">
      <c r="A488" s="2972">
        <v>487</v>
      </c>
      <c r="B488" s="2974" t="s">
        <v>3244</v>
      </c>
      <c r="C488" s="2982" t="s">
        <v>3159</v>
      </c>
      <c r="D488" s="2972" t="s">
        <v>3183</v>
      </c>
      <c r="E488" s="2982">
        <v>203</v>
      </c>
      <c r="F488" s="2983">
        <v>78.95</v>
      </c>
      <c r="G488" s="2979">
        <v>14.75</v>
      </c>
      <c r="H488" s="2979">
        <v>93.7</v>
      </c>
      <c r="I488" s="2974" t="s">
        <v>3055</v>
      </c>
      <c r="J488" s="2981" t="s">
        <v>3155</v>
      </c>
      <c r="L488" s="2976"/>
      <c r="M488" s="2976"/>
      <c r="N488" s="2976"/>
      <c r="O488" s="2976"/>
      <c r="P488" s="2976"/>
      <c r="Q488" s="2976"/>
      <c r="R488" s="2976"/>
      <c r="S488" s="2976"/>
      <c r="T488" s="2976"/>
      <c r="U488" s="2976"/>
      <c r="V488" s="2976"/>
      <c r="W488" s="2976"/>
      <c r="X488" s="2976"/>
      <c r="Y488" s="2976"/>
      <c r="Z488" s="2976"/>
      <c r="AA488" s="2976"/>
      <c r="AB488" s="2976"/>
      <c r="AC488" s="2976"/>
      <c r="AD488" s="2976"/>
      <c r="AE488" s="2976"/>
      <c r="AF488" s="2976"/>
    </row>
    <row r="489" spans="1:32">
      <c r="A489" s="2972">
        <v>488</v>
      </c>
      <c r="B489" s="2974" t="s">
        <v>3244</v>
      </c>
      <c r="C489" s="2982" t="s">
        <v>3159</v>
      </c>
      <c r="D489" s="2972" t="s">
        <v>3183</v>
      </c>
      <c r="E489" s="2982">
        <v>205</v>
      </c>
      <c r="F489" s="2983">
        <v>78.95</v>
      </c>
      <c r="G489" s="2979">
        <v>14.75</v>
      </c>
      <c r="H489" s="2979">
        <v>93.7</v>
      </c>
      <c r="I489" s="2974" t="s">
        <v>3055</v>
      </c>
      <c r="J489" s="2981" t="s">
        <v>3155</v>
      </c>
      <c r="L489" s="2976"/>
      <c r="M489" s="2976"/>
      <c r="N489" s="2976"/>
      <c r="O489" s="2976"/>
      <c r="P489" s="2976"/>
      <c r="Q489" s="2976"/>
      <c r="R489" s="2976"/>
      <c r="S489" s="2976"/>
      <c r="T489" s="2976"/>
      <c r="U489" s="2976"/>
      <c r="V489" s="2976"/>
      <c r="W489" s="2976"/>
      <c r="X489" s="2976"/>
      <c r="Y489" s="2976"/>
      <c r="Z489" s="2976"/>
      <c r="AA489" s="2976"/>
      <c r="AB489" s="2976"/>
      <c r="AC489" s="2976"/>
      <c r="AD489" s="2976"/>
      <c r="AE489" s="2976"/>
      <c r="AF489" s="2976"/>
    </row>
    <row r="490" spans="1:32">
      <c r="A490" s="2972">
        <v>489</v>
      </c>
      <c r="B490" s="2974" t="s">
        <v>3244</v>
      </c>
      <c r="C490" s="2982" t="s">
        <v>3159</v>
      </c>
      <c r="D490" s="2972" t="s">
        <v>3183</v>
      </c>
      <c r="E490" s="2982">
        <v>206</v>
      </c>
      <c r="F490" s="2983">
        <v>80.52</v>
      </c>
      <c r="G490" s="2979">
        <v>15.04</v>
      </c>
      <c r="H490" s="2979">
        <v>95.56</v>
      </c>
      <c r="I490" s="2974" t="s">
        <v>3055</v>
      </c>
      <c r="J490" s="2981" t="s">
        <v>3155</v>
      </c>
      <c r="L490" s="2976"/>
      <c r="M490" s="2976"/>
      <c r="N490" s="2976"/>
      <c r="O490" s="2976"/>
      <c r="P490" s="2976"/>
      <c r="Q490" s="2976"/>
      <c r="R490" s="2976"/>
      <c r="S490" s="2976"/>
      <c r="T490" s="2976"/>
      <c r="U490" s="2976"/>
      <c r="V490" s="2976"/>
      <c r="W490" s="2976"/>
      <c r="X490" s="2976"/>
      <c r="Y490" s="2976"/>
      <c r="Z490" s="2976"/>
      <c r="AA490" s="2976"/>
      <c r="AB490" s="2976"/>
      <c r="AC490" s="2976"/>
      <c r="AD490" s="2976"/>
      <c r="AE490" s="2976"/>
      <c r="AF490" s="2976"/>
    </row>
    <row r="491" spans="1:32">
      <c r="A491" s="2972">
        <v>490</v>
      </c>
      <c r="B491" s="2974" t="s">
        <v>3244</v>
      </c>
      <c r="C491" s="2982" t="s">
        <v>3159</v>
      </c>
      <c r="D491" s="2972" t="s">
        <v>3183</v>
      </c>
      <c r="E491" s="2982">
        <v>207</v>
      </c>
      <c r="F491" s="2983">
        <v>58.35</v>
      </c>
      <c r="G491" s="2979">
        <v>10.9</v>
      </c>
      <c r="H491" s="2979">
        <v>69.25</v>
      </c>
      <c r="I491" s="2974" t="s">
        <v>3055</v>
      </c>
      <c r="J491" s="2981" t="s">
        <v>3155</v>
      </c>
      <c r="L491" s="2976"/>
      <c r="M491" s="2976"/>
      <c r="N491" s="2976"/>
      <c r="O491" s="2976"/>
      <c r="P491" s="2976"/>
      <c r="Q491" s="2976"/>
      <c r="R491" s="2976"/>
      <c r="S491" s="2976"/>
      <c r="T491" s="2976"/>
      <c r="U491" s="2976"/>
      <c r="V491" s="2976"/>
      <c r="W491" s="2976"/>
      <c r="X491" s="2976"/>
      <c r="Y491" s="2976"/>
      <c r="Z491" s="2976"/>
      <c r="AA491" s="2976"/>
      <c r="AB491" s="2976"/>
      <c r="AC491" s="2976"/>
      <c r="AD491" s="2976"/>
      <c r="AE491" s="2976"/>
      <c r="AF491" s="2976"/>
    </row>
    <row r="492" spans="1:32">
      <c r="A492" s="2972">
        <v>491</v>
      </c>
      <c r="B492" s="2974" t="s">
        <v>3244</v>
      </c>
      <c r="C492" s="2982" t="s">
        <v>3153</v>
      </c>
      <c r="D492" s="2972" t="s">
        <v>3183</v>
      </c>
      <c r="E492" s="2982">
        <v>301</v>
      </c>
      <c r="F492" s="2983">
        <v>58.35</v>
      </c>
      <c r="G492" s="2979">
        <v>10.9</v>
      </c>
      <c r="H492" s="2979">
        <v>69.25</v>
      </c>
      <c r="I492" s="2974" t="s">
        <v>3055</v>
      </c>
      <c r="J492" s="2981" t="s">
        <v>3155</v>
      </c>
      <c r="L492" s="2976"/>
      <c r="M492" s="2976"/>
      <c r="N492" s="2976"/>
      <c r="O492" s="2976"/>
      <c r="P492" s="2976"/>
      <c r="Q492" s="2976"/>
      <c r="R492" s="2976"/>
      <c r="S492" s="2976"/>
      <c r="T492" s="2976"/>
      <c r="U492" s="2976"/>
      <c r="V492" s="2976"/>
      <c r="W492" s="2976"/>
      <c r="X492" s="2976"/>
      <c r="Y492" s="2976"/>
      <c r="Z492" s="2976"/>
      <c r="AA492" s="2976"/>
      <c r="AB492" s="2976"/>
      <c r="AC492" s="2976"/>
      <c r="AD492" s="2976"/>
      <c r="AE492" s="2976"/>
      <c r="AF492" s="2976"/>
    </row>
    <row r="493" spans="1:32">
      <c r="A493" s="2972">
        <v>492</v>
      </c>
      <c r="B493" s="2974" t="s">
        <v>3244</v>
      </c>
      <c r="C493" s="2982" t="s">
        <v>3153</v>
      </c>
      <c r="D493" s="2972" t="s">
        <v>3183</v>
      </c>
      <c r="E493" s="2982">
        <v>302</v>
      </c>
      <c r="F493" s="2983">
        <v>79.900000000000006</v>
      </c>
      <c r="G493" s="2979">
        <v>14.93</v>
      </c>
      <c r="H493" s="2979">
        <v>94.830000000000013</v>
      </c>
      <c r="I493" s="2974" t="s">
        <v>3055</v>
      </c>
      <c r="J493" s="2981" t="s">
        <v>3155</v>
      </c>
      <c r="L493" s="2976"/>
      <c r="M493" s="2976"/>
      <c r="N493" s="2976"/>
      <c r="O493" s="2976"/>
      <c r="P493" s="2976"/>
      <c r="Q493" s="2976"/>
      <c r="R493" s="2976"/>
      <c r="S493" s="2976"/>
      <c r="T493" s="2976"/>
      <c r="U493" s="2976"/>
      <c r="V493" s="2976"/>
      <c r="W493" s="2976"/>
      <c r="X493" s="2976"/>
      <c r="Y493" s="2976"/>
      <c r="Z493" s="2976"/>
      <c r="AA493" s="2976"/>
      <c r="AB493" s="2976"/>
      <c r="AC493" s="2976"/>
      <c r="AD493" s="2976"/>
      <c r="AE493" s="2976"/>
      <c r="AF493" s="2976"/>
    </row>
    <row r="494" spans="1:32">
      <c r="A494" s="2972">
        <v>493</v>
      </c>
      <c r="B494" s="2974" t="s">
        <v>3244</v>
      </c>
      <c r="C494" s="2982" t="s">
        <v>3153</v>
      </c>
      <c r="D494" s="2972" t="s">
        <v>3183</v>
      </c>
      <c r="E494" s="2982">
        <v>303</v>
      </c>
      <c r="F494" s="2983">
        <v>78.95</v>
      </c>
      <c r="G494" s="2979">
        <v>14.75</v>
      </c>
      <c r="H494" s="2979">
        <v>93.7</v>
      </c>
      <c r="I494" s="2974" t="s">
        <v>3055</v>
      </c>
      <c r="J494" s="2981" t="s">
        <v>3155</v>
      </c>
      <c r="L494" s="2976"/>
      <c r="M494" s="2976"/>
      <c r="N494" s="2976"/>
      <c r="O494" s="2976"/>
      <c r="P494" s="2976"/>
      <c r="Q494" s="2976"/>
      <c r="R494" s="2976"/>
      <c r="S494" s="2976"/>
      <c r="T494" s="2976"/>
      <c r="U494" s="2976"/>
      <c r="V494" s="2976"/>
      <c r="W494" s="2976"/>
      <c r="X494" s="2976"/>
      <c r="Y494" s="2976"/>
      <c r="Z494" s="2976"/>
      <c r="AA494" s="2976"/>
      <c r="AB494" s="2976"/>
      <c r="AC494" s="2976"/>
      <c r="AD494" s="2976"/>
      <c r="AE494" s="2976"/>
      <c r="AF494" s="2976"/>
    </row>
    <row r="495" spans="1:32">
      <c r="A495" s="2972">
        <v>494</v>
      </c>
      <c r="B495" s="2974" t="s">
        <v>3244</v>
      </c>
      <c r="C495" s="2982" t="s">
        <v>3153</v>
      </c>
      <c r="D495" s="2972" t="s">
        <v>3183</v>
      </c>
      <c r="E495" s="2982">
        <v>305</v>
      </c>
      <c r="F495" s="2983">
        <v>78.95</v>
      </c>
      <c r="G495" s="2979">
        <v>14.75</v>
      </c>
      <c r="H495" s="2979">
        <v>93.7</v>
      </c>
      <c r="I495" s="2974" t="s">
        <v>3055</v>
      </c>
      <c r="J495" s="2981" t="s">
        <v>3155</v>
      </c>
      <c r="L495" s="2976"/>
      <c r="M495" s="2976"/>
      <c r="N495" s="2976"/>
      <c r="O495" s="2976"/>
      <c r="P495" s="2976"/>
      <c r="Q495" s="2976"/>
      <c r="R495" s="2976"/>
      <c r="S495" s="2976"/>
      <c r="T495" s="2976"/>
      <c r="U495" s="2976"/>
      <c r="V495" s="2976"/>
      <c r="W495" s="2976"/>
      <c r="X495" s="2976"/>
      <c r="Y495" s="2976"/>
      <c r="Z495" s="2976"/>
      <c r="AA495" s="2976"/>
      <c r="AB495" s="2976"/>
      <c r="AC495" s="2976"/>
      <c r="AD495" s="2976"/>
      <c r="AE495" s="2976"/>
      <c r="AF495" s="2976"/>
    </row>
    <row r="496" spans="1:32">
      <c r="A496" s="2972">
        <v>495</v>
      </c>
      <c r="B496" s="2974" t="s">
        <v>3244</v>
      </c>
      <c r="C496" s="2982" t="s">
        <v>3153</v>
      </c>
      <c r="D496" s="2972" t="s">
        <v>3183</v>
      </c>
      <c r="E496" s="2982">
        <v>306</v>
      </c>
      <c r="F496" s="2983">
        <v>80.52</v>
      </c>
      <c r="G496" s="2979">
        <v>15.04</v>
      </c>
      <c r="H496" s="2979">
        <v>95.56</v>
      </c>
      <c r="I496" s="2974" t="s">
        <v>3055</v>
      </c>
      <c r="J496" s="2981" t="s">
        <v>3155</v>
      </c>
      <c r="L496" s="2976"/>
      <c r="M496" s="2976"/>
      <c r="N496" s="2976"/>
      <c r="O496" s="2976"/>
      <c r="P496" s="2976"/>
      <c r="Q496" s="2976"/>
      <c r="R496" s="2976"/>
      <c r="S496" s="2976"/>
      <c r="T496" s="2976"/>
      <c r="U496" s="2976"/>
      <c r="V496" s="2976"/>
      <c r="W496" s="2976"/>
      <c r="X496" s="2976"/>
      <c r="Y496" s="2976"/>
      <c r="Z496" s="2976"/>
      <c r="AA496" s="2976"/>
      <c r="AB496" s="2976"/>
      <c r="AC496" s="2976"/>
      <c r="AD496" s="2976"/>
      <c r="AE496" s="2976"/>
      <c r="AF496" s="2976"/>
    </row>
    <row r="497" spans="1:32">
      <c r="A497" s="2972">
        <v>496</v>
      </c>
      <c r="B497" s="2974" t="s">
        <v>3244</v>
      </c>
      <c r="C497" s="2982" t="s">
        <v>3153</v>
      </c>
      <c r="D497" s="2972" t="s">
        <v>3183</v>
      </c>
      <c r="E497" s="2982">
        <v>307</v>
      </c>
      <c r="F497" s="2983">
        <v>58.35</v>
      </c>
      <c r="G497" s="2979">
        <v>10.9</v>
      </c>
      <c r="H497" s="2979">
        <v>69.25</v>
      </c>
      <c r="I497" s="2974" t="s">
        <v>3055</v>
      </c>
      <c r="J497" s="2981" t="s">
        <v>3155</v>
      </c>
      <c r="L497" s="2976"/>
      <c r="M497" s="2976"/>
      <c r="N497" s="2976"/>
      <c r="O497" s="2976"/>
      <c r="P497" s="2976"/>
      <c r="Q497" s="2976"/>
      <c r="R497" s="2976"/>
      <c r="S497" s="2976"/>
      <c r="T497" s="2976"/>
      <c r="U497" s="2976"/>
      <c r="V497" s="2976"/>
      <c r="W497" s="2976"/>
      <c r="X497" s="2976"/>
      <c r="Y497" s="2976"/>
      <c r="Z497" s="2976"/>
      <c r="AA497" s="2976"/>
      <c r="AB497" s="2976"/>
      <c r="AC497" s="2976"/>
      <c r="AD497" s="2976"/>
      <c r="AE497" s="2976"/>
      <c r="AF497" s="2976"/>
    </row>
    <row r="498" spans="1:32">
      <c r="A498" s="2972">
        <v>497</v>
      </c>
      <c r="B498" s="2974" t="s">
        <v>3244</v>
      </c>
      <c r="C498" s="2982" t="s">
        <v>3156</v>
      </c>
      <c r="D498" s="2972" t="s">
        <v>3183</v>
      </c>
      <c r="E498" s="2982" t="s">
        <v>3145</v>
      </c>
      <c r="F498" s="2983">
        <v>58.35</v>
      </c>
      <c r="G498" s="2979">
        <v>10.9</v>
      </c>
      <c r="H498" s="2979">
        <v>69.25</v>
      </c>
      <c r="I498" s="2974" t="s">
        <v>3055</v>
      </c>
      <c r="J498" s="2981" t="s">
        <v>3155</v>
      </c>
      <c r="L498" s="2976"/>
      <c r="M498" s="2976"/>
      <c r="N498" s="2976"/>
      <c r="O498" s="2976"/>
      <c r="P498" s="2976"/>
      <c r="Q498" s="2976"/>
      <c r="R498" s="2976"/>
      <c r="S498" s="2976"/>
      <c r="T498" s="2976"/>
      <c r="U498" s="2976"/>
      <c r="V498" s="2976"/>
      <c r="W498" s="2976"/>
      <c r="X498" s="2976"/>
      <c r="Y498" s="2976"/>
      <c r="Z498" s="2976"/>
      <c r="AA498" s="2976"/>
      <c r="AB498" s="2976"/>
      <c r="AC498" s="2976"/>
      <c r="AD498" s="2976"/>
      <c r="AE498" s="2976"/>
      <c r="AF498" s="2976"/>
    </row>
    <row r="499" spans="1:32">
      <c r="A499" s="2972">
        <v>498</v>
      </c>
      <c r="B499" s="2974" t="s">
        <v>3244</v>
      </c>
      <c r="C499" s="2982" t="s">
        <v>3156</v>
      </c>
      <c r="D499" s="2972" t="s">
        <v>3183</v>
      </c>
      <c r="E499" s="2982" t="s">
        <v>3146</v>
      </c>
      <c r="F499" s="2983">
        <v>79.900000000000006</v>
      </c>
      <c r="G499" s="2979">
        <v>14.93</v>
      </c>
      <c r="H499" s="2979">
        <v>94.830000000000013</v>
      </c>
      <c r="I499" s="2974" t="s">
        <v>3055</v>
      </c>
      <c r="J499" s="2981" t="s">
        <v>3155</v>
      </c>
      <c r="L499" s="2976"/>
      <c r="M499" s="2976"/>
      <c r="N499" s="2976"/>
      <c r="O499" s="2976"/>
      <c r="P499" s="2976"/>
      <c r="Q499" s="2976"/>
      <c r="R499" s="2976"/>
      <c r="S499" s="2976"/>
      <c r="T499" s="2976"/>
      <c r="U499" s="2976"/>
      <c r="V499" s="2976"/>
      <c r="W499" s="2976"/>
      <c r="X499" s="2976"/>
      <c r="Y499" s="2976"/>
      <c r="Z499" s="2976"/>
      <c r="AA499" s="2976"/>
      <c r="AB499" s="2976"/>
      <c r="AC499" s="2976"/>
      <c r="AD499" s="2976"/>
      <c r="AE499" s="2976"/>
      <c r="AF499" s="2976"/>
    </row>
    <row r="500" spans="1:32">
      <c r="A500" s="2972">
        <v>499</v>
      </c>
      <c r="B500" s="2974" t="s">
        <v>3244</v>
      </c>
      <c r="C500" s="2982" t="s">
        <v>3156</v>
      </c>
      <c r="D500" s="2972" t="s">
        <v>3183</v>
      </c>
      <c r="E500" s="2982" t="s">
        <v>3147</v>
      </c>
      <c r="F500" s="2983">
        <v>78.95</v>
      </c>
      <c r="G500" s="2979">
        <v>14.75</v>
      </c>
      <c r="H500" s="2979">
        <v>93.7</v>
      </c>
      <c r="I500" s="2974" t="s">
        <v>3055</v>
      </c>
      <c r="J500" s="2981" t="s">
        <v>3155</v>
      </c>
      <c r="L500" s="2976"/>
      <c r="M500" s="2976"/>
      <c r="N500" s="2976"/>
      <c r="O500" s="2976"/>
      <c r="P500" s="2976"/>
      <c r="Q500" s="2976"/>
      <c r="R500" s="2976"/>
      <c r="S500" s="2976"/>
      <c r="T500" s="2976"/>
      <c r="U500" s="2976"/>
      <c r="V500" s="2976"/>
      <c r="W500" s="2976"/>
      <c r="X500" s="2976"/>
      <c r="Y500" s="2976"/>
      <c r="Z500" s="2976"/>
      <c r="AA500" s="2976"/>
      <c r="AB500" s="2976"/>
      <c r="AC500" s="2976"/>
      <c r="AD500" s="2976"/>
      <c r="AE500" s="2976"/>
      <c r="AF500" s="2976"/>
    </row>
    <row r="501" spans="1:32">
      <c r="A501" s="2972">
        <v>500</v>
      </c>
      <c r="B501" s="2974" t="s">
        <v>3244</v>
      </c>
      <c r="C501" s="2982" t="s">
        <v>3156</v>
      </c>
      <c r="D501" s="2972" t="s">
        <v>3183</v>
      </c>
      <c r="E501" s="2982" t="s">
        <v>3148</v>
      </c>
      <c r="F501" s="2983">
        <v>78.95</v>
      </c>
      <c r="G501" s="2979">
        <v>14.75</v>
      </c>
      <c r="H501" s="2979">
        <v>93.7</v>
      </c>
      <c r="I501" s="2974" t="s">
        <v>3055</v>
      </c>
      <c r="J501" s="2981" t="s">
        <v>3155</v>
      </c>
      <c r="L501" s="2976"/>
      <c r="M501" s="2976"/>
      <c r="N501" s="2976"/>
      <c r="O501" s="2976"/>
      <c r="P501" s="2976"/>
      <c r="Q501" s="2976"/>
      <c r="R501" s="2976"/>
      <c r="S501" s="2976"/>
      <c r="T501" s="2976"/>
      <c r="U501" s="2976"/>
      <c r="V501" s="2976"/>
      <c r="W501" s="2976"/>
      <c r="X501" s="2976"/>
      <c r="Y501" s="2976"/>
      <c r="Z501" s="2976"/>
      <c r="AA501" s="2976"/>
      <c r="AB501" s="2976"/>
      <c r="AC501" s="2976"/>
      <c r="AD501" s="2976"/>
      <c r="AE501" s="2976"/>
      <c r="AF501" s="2976"/>
    </row>
    <row r="502" spans="1:32">
      <c r="A502" s="2972">
        <v>501</v>
      </c>
      <c r="B502" s="2974" t="s">
        <v>3244</v>
      </c>
      <c r="C502" s="2982" t="s">
        <v>3156</v>
      </c>
      <c r="D502" s="2972" t="s">
        <v>3183</v>
      </c>
      <c r="E502" s="2982" t="s">
        <v>3149</v>
      </c>
      <c r="F502" s="2983">
        <v>80.52</v>
      </c>
      <c r="G502" s="2979">
        <v>15.04</v>
      </c>
      <c r="H502" s="2979">
        <v>95.56</v>
      </c>
      <c r="I502" s="2974" t="s">
        <v>3055</v>
      </c>
      <c r="J502" s="2981" t="s">
        <v>3155</v>
      </c>
      <c r="L502" s="2976"/>
      <c r="M502" s="2976"/>
      <c r="N502" s="2976"/>
      <c r="O502" s="2976"/>
      <c r="P502" s="2976"/>
      <c r="Q502" s="2976"/>
      <c r="R502" s="2976"/>
      <c r="S502" s="2976"/>
      <c r="T502" s="2976"/>
      <c r="U502" s="2976"/>
      <c r="V502" s="2976"/>
      <c r="W502" s="2976"/>
      <c r="X502" s="2976"/>
      <c r="Y502" s="2976"/>
      <c r="Z502" s="2976"/>
      <c r="AA502" s="2976"/>
      <c r="AB502" s="2976"/>
      <c r="AC502" s="2976"/>
      <c r="AD502" s="2976"/>
      <c r="AE502" s="2976"/>
      <c r="AF502" s="2976"/>
    </row>
    <row r="503" spans="1:32">
      <c r="A503" s="2972">
        <v>502</v>
      </c>
      <c r="B503" s="2974" t="s">
        <v>3244</v>
      </c>
      <c r="C503" s="2982" t="s">
        <v>3156</v>
      </c>
      <c r="D503" s="2972" t="s">
        <v>3183</v>
      </c>
      <c r="E503" s="2982" t="s">
        <v>3150</v>
      </c>
      <c r="F503" s="2983">
        <v>58.35</v>
      </c>
      <c r="G503" s="2979">
        <v>10.9</v>
      </c>
      <c r="H503" s="2979">
        <v>69.25</v>
      </c>
      <c r="I503" s="2974" t="s">
        <v>3055</v>
      </c>
      <c r="J503" s="2981" t="s">
        <v>3155</v>
      </c>
      <c r="L503" s="2976"/>
      <c r="M503" s="2976"/>
      <c r="N503" s="2976"/>
      <c r="O503" s="2976"/>
      <c r="P503" s="2976"/>
      <c r="Q503" s="2976"/>
      <c r="R503" s="2976"/>
      <c r="S503" s="2976"/>
      <c r="T503" s="2976"/>
      <c r="U503" s="2976"/>
      <c r="V503" s="2976"/>
      <c r="W503" s="2976"/>
      <c r="X503" s="2976"/>
      <c r="Y503" s="2976"/>
      <c r="Z503" s="2976"/>
      <c r="AA503" s="2976"/>
      <c r="AB503" s="2976"/>
      <c r="AC503" s="2976"/>
      <c r="AD503" s="2976"/>
      <c r="AE503" s="2976"/>
      <c r="AF503" s="2976"/>
    </row>
    <row r="504" spans="1:32">
      <c r="A504" s="2972">
        <v>503</v>
      </c>
      <c r="B504" s="2974" t="s">
        <v>3244</v>
      </c>
      <c r="C504" s="2982" t="s">
        <v>3157</v>
      </c>
      <c r="D504" s="2972" t="s">
        <v>3183</v>
      </c>
      <c r="E504" s="2982">
        <v>501</v>
      </c>
      <c r="F504" s="2983">
        <v>58.35</v>
      </c>
      <c r="G504" s="2979">
        <v>10.9</v>
      </c>
      <c r="H504" s="2979">
        <v>69.25</v>
      </c>
      <c r="I504" s="2974" t="s">
        <v>3055</v>
      </c>
      <c r="J504" s="2981" t="s">
        <v>3155</v>
      </c>
      <c r="L504" s="2976"/>
      <c r="M504" s="2976"/>
      <c r="N504" s="2976"/>
      <c r="O504" s="2976"/>
      <c r="P504" s="2976"/>
      <c r="Q504" s="2976"/>
      <c r="R504" s="2976"/>
      <c r="S504" s="2976"/>
      <c r="T504" s="2976"/>
      <c r="U504" s="2976"/>
      <c r="V504" s="2976"/>
      <c r="W504" s="2976"/>
      <c r="X504" s="2976"/>
      <c r="Y504" s="2976"/>
      <c r="Z504" s="2976"/>
      <c r="AA504" s="2976"/>
      <c r="AB504" s="2976"/>
      <c r="AC504" s="2976"/>
      <c r="AD504" s="2976"/>
      <c r="AE504" s="2976"/>
      <c r="AF504" s="2976"/>
    </row>
    <row r="505" spans="1:32">
      <c r="A505" s="2972">
        <v>504</v>
      </c>
      <c r="B505" s="2974" t="s">
        <v>3244</v>
      </c>
      <c r="C505" s="2982" t="s">
        <v>3157</v>
      </c>
      <c r="D505" s="2972" t="s">
        <v>3183</v>
      </c>
      <c r="E505" s="2982">
        <v>502</v>
      </c>
      <c r="F505" s="2983">
        <v>79.900000000000006</v>
      </c>
      <c r="G505" s="2979">
        <v>14.93</v>
      </c>
      <c r="H505" s="2979">
        <v>94.830000000000013</v>
      </c>
      <c r="I505" s="2974" t="s">
        <v>3055</v>
      </c>
      <c r="J505" s="2981" t="s">
        <v>3155</v>
      </c>
      <c r="L505" s="2976"/>
      <c r="M505" s="2976"/>
      <c r="N505" s="2976"/>
      <c r="O505" s="2976"/>
      <c r="P505" s="2976"/>
      <c r="Q505" s="2976"/>
      <c r="R505" s="2976"/>
      <c r="S505" s="2976"/>
      <c r="T505" s="2976"/>
      <c r="U505" s="2976"/>
      <c r="V505" s="2976"/>
      <c r="W505" s="2976"/>
      <c r="X505" s="2976"/>
      <c r="Y505" s="2976"/>
      <c r="Z505" s="2976"/>
      <c r="AA505" s="2976"/>
      <c r="AB505" s="2976"/>
      <c r="AC505" s="2976"/>
      <c r="AD505" s="2976"/>
      <c r="AE505" s="2976"/>
      <c r="AF505" s="2976"/>
    </row>
    <row r="506" spans="1:32">
      <c r="A506" s="2972">
        <v>505</v>
      </c>
      <c r="B506" s="2974" t="s">
        <v>3244</v>
      </c>
      <c r="C506" s="2982" t="s">
        <v>3157</v>
      </c>
      <c r="D506" s="2972" t="s">
        <v>3183</v>
      </c>
      <c r="E506" s="2982">
        <v>503</v>
      </c>
      <c r="F506" s="2983">
        <v>78.95</v>
      </c>
      <c r="G506" s="2979">
        <v>14.75</v>
      </c>
      <c r="H506" s="2979">
        <v>93.7</v>
      </c>
      <c r="I506" s="2974" t="s">
        <v>3055</v>
      </c>
      <c r="J506" s="2981" t="s">
        <v>3155</v>
      </c>
      <c r="L506" s="2976"/>
      <c r="M506" s="2976"/>
      <c r="N506" s="2976"/>
      <c r="O506" s="2976"/>
      <c r="P506" s="2976"/>
      <c r="Q506" s="2976"/>
      <c r="R506" s="2976"/>
      <c r="S506" s="2976"/>
      <c r="T506" s="2976"/>
      <c r="U506" s="2976"/>
      <c r="V506" s="2976"/>
      <c r="W506" s="2976"/>
      <c r="X506" s="2976"/>
      <c r="Y506" s="2976"/>
      <c r="Z506" s="2976"/>
      <c r="AA506" s="2976"/>
      <c r="AB506" s="2976"/>
      <c r="AC506" s="2976"/>
      <c r="AD506" s="2976"/>
      <c r="AE506" s="2976"/>
      <c r="AF506" s="2976"/>
    </row>
    <row r="507" spans="1:32">
      <c r="A507" s="2972">
        <v>506</v>
      </c>
      <c r="B507" s="2974" t="s">
        <v>3244</v>
      </c>
      <c r="C507" s="2982" t="s">
        <v>3157</v>
      </c>
      <c r="D507" s="2972" t="s">
        <v>3183</v>
      </c>
      <c r="E507" s="2982">
        <v>505</v>
      </c>
      <c r="F507" s="2983">
        <v>78.95</v>
      </c>
      <c r="G507" s="2979">
        <v>14.75</v>
      </c>
      <c r="H507" s="2979">
        <v>93.7</v>
      </c>
      <c r="I507" s="2974" t="s">
        <v>3055</v>
      </c>
      <c r="J507" s="2981" t="s">
        <v>3155</v>
      </c>
      <c r="L507" s="2976"/>
      <c r="M507" s="2976"/>
      <c r="N507" s="2976"/>
      <c r="O507" s="2976"/>
      <c r="P507" s="2976"/>
      <c r="Q507" s="2976"/>
      <c r="R507" s="2976"/>
      <c r="S507" s="2976"/>
      <c r="T507" s="2976"/>
      <c r="U507" s="2976"/>
      <c r="V507" s="2976"/>
      <c r="W507" s="2976"/>
      <c r="X507" s="2976"/>
      <c r="Y507" s="2976"/>
      <c r="Z507" s="2976"/>
      <c r="AA507" s="2976"/>
      <c r="AB507" s="2976"/>
      <c r="AC507" s="2976"/>
      <c r="AD507" s="2976"/>
      <c r="AE507" s="2976"/>
      <c r="AF507" s="2976"/>
    </row>
    <row r="508" spans="1:32">
      <c r="A508" s="2972">
        <v>507</v>
      </c>
      <c r="B508" s="2974" t="s">
        <v>3244</v>
      </c>
      <c r="C508" s="2982" t="s">
        <v>3157</v>
      </c>
      <c r="D508" s="2972" t="s">
        <v>3183</v>
      </c>
      <c r="E508" s="2982">
        <v>506</v>
      </c>
      <c r="F508" s="2983">
        <v>80.52</v>
      </c>
      <c r="G508" s="2979">
        <v>15.04</v>
      </c>
      <c r="H508" s="2979">
        <v>95.56</v>
      </c>
      <c r="I508" s="2974" t="s">
        <v>3055</v>
      </c>
      <c r="J508" s="2981" t="s">
        <v>3155</v>
      </c>
      <c r="L508" s="2976"/>
      <c r="M508" s="2976"/>
      <c r="N508" s="2976"/>
      <c r="O508" s="2976"/>
      <c r="P508" s="2976"/>
      <c r="Q508" s="2976"/>
      <c r="R508" s="2976"/>
      <c r="S508" s="2976"/>
      <c r="T508" s="2976"/>
      <c r="U508" s="2976"/>
      <c r="V508" s="2976"/>
      <c r="W508" s="2976"/>
      <c r="X508" s="2976"/>
      <c r="Y508" s="2976"/>
      <c r="Z508" s="2976"/>
      <c r="AA508" s="2976"/>
      <c r="AB508" s="2976"/>
      <c r="AC508" s="2976"/>
      <c r="AD508" s="2976"/>
      <c r="AE508" s="2976"/>
      <c r="AF508" s="2976"/>
    </row>
    <row r="509" spans="1:32">
      <c r="A509" s="2972">
        <v>508</v>
      </c>
      <c r="B509" s="2974" t="s">
        <v>3244</v>
      </c>
      <c r="C509" s="2982" t="s">
        <v>3157</v>
      </c>
      <c r="D509" s="2972" t="s">
        <v>3183</v>
      </c>
      <c r="E509" s="2982">
        <v>507</v>
      </c>
      <c r="F509" s="2983">
        <v>58.35</v>
      </c>
      <c r="G509" s="2979">
        <v>10.9</v>
      </c>
      <c r="H509" s="2979">
        <v>69.25</v>
      </c>
      <c r="I509" s="2974" t="s">
        <v>3055</v>
      </c>
      <c r="J509" s="2981" t="s">
        <v>3155</v>
      </c>
      <c r="L509" s="2976"/>
      <c r="M509" s="2976"/>
      <c r="N509" s="2976"/>
      <c r="O509" s="2976"/>
      <c r="P509" s="2976"/>
      <c r="Q509" s="2976"/>
      <c r="R509" s="2976"/>
      <c r="S509" s="2976"/>
      <c r="T509" s="2976"/>
      <c r="U509" s="2976"/>
      <c r="V509" s="2976"/>
      <c r="W509" s="2976"/>
      <c r="X509" s="2976"/>
      <c r="Y509" s="2976"/>
      <c r="Z509" s="2976"/>
      <c r="AA509" s="2976"/>
      <c r="AB509" s="2976"/>
      <c r="AC509" s="2976"/>
      <c r="AD509" s="2976"/>
      <c r="AE509" s="2976"/>
      <c r="AF509" s="2976"/>
    </row>
    <row r="510" spans="1:32">
      <c r="A510" s="2972">
        <v>509</v>
      </c>
      <c r="B510" s="2974" t="s">
        <v>3244</v>
      </c>
      <c r="C510" s="2982" t="s">
        <v>3158</v>
      </c>
      <c r="D510" s="2972" t="s">
        <v>3183</v>
      </c>
      <c r="E510" s="2982">
        <v>601</v>
      </c>
      <c r="F510" s="2983">
        <v>58.35</v>
      </c>
      <c r="G510" s="2979">
        <v>10.9</v>
      </c>
      <c r="H510" s="2979">
        <v>69.25</v>
      </c>
      <c r="I510" s="2974" t="s">
        <v>3055</v>
      </c>
      <c r="J510" s="2981" t="s">
        <v>3155</v>
      </c>
      <c r="L510" s="2976"/>
      <c r="M510" s="2976"/>
      <c r="N510" s="2976"/>
      <c r="O510" s="2976"/>
      <c r="P510" s="2976"/>
      <c r="Q510" s="2976"/>
      <c r="R510" s="2976"/>
      <c r="S510" s="2976"/>
      <c r="T510" s="2976"/>
      <c r="U510" s="2976"/>
      <c r="V510" s="2976"/>
      <c r="W510" s="2976"/>
      <c r="X510" s="2976"/>
      <c r="Y510" s="2976"/>
      <c r="Z510" s="2976"/>
      <c r="AA510" s="2976"/>
      <c r="AB510" s="2976"/>
      <c r="AC510" s="2976"/>
      <c r="AD510" s="2976"/>
      <c r="AE510" s="2976"/>
      <c r="AF510" s="2976"/>
    </row>
    <row r="511" spans="1:32">
      <c r="A511" s="2972">
        <v>510</v>
      </c>
      <c r="B511" s="2974" t="s">
        <v>3244</v>
      </c>
      <c r="C511" s="2982" t="s">
        <v>3158</v>
      </c>
      <c r="D511" s="2972" t="s">
        <v>3183</v>
      </c>
      <c r="E511" s="2982">
        <v>602</v>
      </c>
      <c r="F511" s="2983">
        <v>79.900000000000006</v>
      </c>
      <c r="G511" s="2979">
        <v>14.93</v>
      </c>
      <c r="H511" s="2979">
        <v>94.830000000000013</v>
      </c>
      <c r="I511" s="2974" t="s">
        <v>3055</v>
      </c>
      <c r="J511" s="2981" t="s">
        <v>3155</v>
      </c>
      <c r="L511" s="2976"/>
      <c r="M511" s="2976"/>
      <c r="N511" s="2976"/>
      <c r="O511" s="2976"/>
      <c r="P511" s="2976"/>
      <c r="Q511" s="2976"/>
      <c r="R511" s="2976"/>
      <c r="S511" s="2976"/>
      <c r="T511" s="2976"/>
      <c r="U511" s="2976"/>
      <c r="V511" s="2976"/>
      <c r="W511" s="2976"/>
      <c r="X511" s="2976"/>
      <c r="Y511" s="2976"/>
      <c r="Z511" s="2976"/>
      <c r="AA511" s="2976"/>
      <c r="AB511" s="2976"/>
      <c r="AC511" s="2976"/>
      <c r="AD511" s="2976"/>
      <c r="AE511" s="2976"/>
      <c r="AF511" s="2976"/>
    </row>
    <row r="512" spans="1:32">
      <c r="A512" s="2972">
        <v>511</v>
      </c>
      <c r="B512" s="2974" t="s">
        <v>3244</v>
      </c>
      <c r="C512" s="2982" t="s">
        <v>3158</v>
      </c>
      <c r="D512" s="2972" t="s">
        <v>3183</v>
      </c>
      <c r="E512" s="2982">
        <v>603</v>
      </c>
      <c r="F512" s="2983">
        <v>78.95</v>
      </c>
      <c r="G512" s="2979">
        <v>14.75</v>
      </c>
      <c r="H512" s="2979">
        <v>93.7</v>
      </c>
      <c r="I512" s="2974" t="s">
        <v>3055</v>
      </c>
      <c r="J512" s="2981" t="s">
        <v>3155</v>
      </c>
      <c r="L512" s="2976"/>
      <c r="M512" s="2976"/>
      <c r="N512" s="2976"/>
      <c r="O512" s="2976"/>
      <c r="P512" s="2976"/>
      <c r="Q512" s="2976"/>
      <c r="R512" s="2976"/>
      <c r="S512" s="2976"/>
      <c r="T512" s="2976"/>
      <c r="U512" s="2976"/>
      <c r="V512" s="2976"/>
      <c r="W512" s="2976"/>
      <c r="X512" s="2976"/>
      <c r="Y512" s="2976"/>
      <c r="Z512" s="2976"/>
      <c r="AA512" s="2976"/>
      <c r="AB512" s="2976"/>
      <c r="AC512" s="2976"/>
      <c r="AD512" s="2976"/>
      <c r="AE512" s="2976"/>
      <c r="AF512" s="2976"/>
    </row>
    <row r="513" spans="1:32">
      <c r="A513" s="2972">
        <v>512</v>
      </c>
      <c r="B513" s="2974" t="s">
        <v>3244</v>
      </c>
      <c r="C513" s="2982" t="s">
        <v>3158</v>
      </c>
      <c r="D513" s="2972" t="s">
        <v>3183</v>
      </c>
      <c r="E513" s="2982">
        <v>605</v>
      </c>
      <c r="F513" s="2983">
        <v>78.95</v>
      </c>
      <c r="G513" s="2979">
        <v>14.75</v>
      </c>
      <c r="H513" s="2979">
        <v>93.7</v>
      </c>
      <c r="I513" s="2974" t="s">
        <v>3055</v>
      </c>
      <c r="J513" s="2981" t="s">
        <v>3155</v>
      </c>
      <c r="L513" s="2976"/>
      <c r="M513" s="2976"/>
      <c r="N513" s="2976"/>
      <c r="O513" s="2976"/>
      <c r="P513" s="2976"/>
      <c r="Q513" s="2976"/>
      <c r="R513" s="2976"/>
      <c r="S513" s="2976"/>
      <c r="T513" s="2976"/>
      <c r="U513" s="2976"/>
      <c r="V513" s="2976"/>
      <c r="W513" s="2976"/>
      <c r="X513" s="2976"/>
      <c r="Y513" s="2976"/>
      <c r="Z513" s="2976"/>
      <c r="AA513" s="2976"/>
      <c r="AB513" s="2976"/>
      <c r="AC513" s="2976"/>
      <c r="AD513" s="2976"/>
      <c r="AE513" s="2976"/>
      <c r="AF513" s="2976"/>
    </row>
    <row r="514" spans="1:32">
      <c r="A514" s="2972">
        <v>513</v>
      </c>
      <c r="B514" s="2974" t="s">
        <v>3244</v>
      </c>
      <c r="C514" s="2982" t="s">
        <v>3158</v>
      </c>
      <c r="D514" s="2972" t="s">
        <v>3183</v>
      </c>
      <c r="E514" s="2982">
        <v>606</v>
      </c>
      <c r="F514" s="2983">
        <v>80.52</v>
      </c>
      <c r="G514" s="2979">
        <v>15.04</v>
      </c>
      <c r="H514" s="2979">
        <v>95.56</v>
      </c>
      <c r="I514" s="2974" t="s">
        <v>3055</v>
      </c>
      <c r="J514" s="2981" t="s">
        <v>3155</v>
      </c>
      <c r="L514" s="2976"/>
      <c r="M514" s="2976"/>
      <c r="N514" s="2976"/>
      <c r="O514" s="2976"/>
      <c r="P514" s="2976"/>
      <c r="Q514" s="2976"/>
      <c r="R514" s="2976"/>
      <c r="S514" s="2976"/>
      <c r="T514" s="2976"/>
      <c r="U514" s="2976"/>
      <c r="V514" s="2976"/>
      <c r="W514" s="2976"/>
      <c r="X514" s="2976"/>
      <c r="Y514" s="2976"/>
      <c r="Z514" s="2976"/>
      <c r="AA514" s="2976"/>
      <c r="AB514" s="2976"/>
      <c r="AC514" s="2976"/>
      <c r="AD514" s="2976"/>
      <c r="AE514" s="2976"/>
      <c r="AF514" s="2976"/>
    </row>
    <row r="515" spans="1:32">
      <c r="A515" s="2972">
        <v>514</v>
      </c>
      <c r="B515" s="2974" t="s">
        <v>3244</v>
      </c>
      <c r="C515" s="2982" t="s">
        <v>3158</v>
      </c>
      <c r="D515" s="2972" t="s">
        <v>3183</v>
      </c>
      <c r="E515" s="2982">
        <v>607</v>
      </c>
      <c r="F515" s="2983">
        <v>58.35</v>
      </c>
      <c r="G515" s="2979">
        <v>10.9</v>
      </c>
      <c r="H515" s="2979">
        <v>69.25</v>
      </c>
      <c r="I515" s="2974" t="s">
        <v>3055</v>
      </c>
      <c r="J515" s="2981" t="s">
        <v>3155</v>
      </c>
      <c r="K515" s="2992">
        <f>SUM(H296:H515)</f>
        <v>16905.079999999998</v>
      </c>
      <c r="L515" s="2976"/>
      <c r="M515" s="2976"/>
      <c r="N515" s="2976"/>
      <c r="O515" s="2976"/>
      <c r="P515" s="2976"/>
      <c r="Q515" s="2976"/>
      <c r="R515" s="2976"/>
      <c r="S515" s="2976"/>
      <c r="T515" s="2976"/>
      <c r="U515" s="2976"/>
      <c r="V515" s="2976"/>
      <c r="W515" s="2976"/>
      <c r="X515" s="2976"/>
      <c r="Y515" s="2976"/>
      <c r="Z515" s="2976"/>
      <c r="AA515" s="2976"/>
      <c r="AB515" s="2976"/>
      <c r="AC515" s="2976"/>
      <c r="AD515" s="2976"/>
      <c r="AE515" s="2976"/>
      <c r="AF515" s="2976"/>
    </row>
    <row r="516" spans="1:32">
      <c r="A516" s="2972">
        <v>515</v>
      </c>
      <c r="B516" s="2974" t="s">
        <v>3200</v>
      </c>
      <c r="C516" s="2973" t="s">
        <v>3207</v>
      </c>
      <c r="D516" s="2972" t="s">
        <v>3183</v>
      </c>
      <c r="E516" s="2974">
        <v>101</v>
      </c>
      <c r="F516" s="2980">
        <v>55.78</v>
      </c>
      <c r="G516" s="2979">
        <v>12.45</v>
      </c>
      <c r="H516" s="2979">
        <v>68.23</v>
      </c>
      <c r="I516" s="2979" t="s">
        <v>3055</v>
      </c>
      <c r="J516" s="2974" t="s">
        <v>3143</v>
      </c>
      <c r="L516" s="2976"/>
      <c r="M516" s="2976"/>
      <c r="N516" s="2976"/>
      <c r="O516" s="2976"/>
      <c r="P516" s="2976"/>
      <c r="Q516" s="2976"/>
      <c r="R516" s="2976"/>
      <c r="S516" s="2976"/>
      <c r="T516" s="2976"/>
      <c r="U516" s="2976"/>
      <c r="V516" s="2976"/>
      <c r="W516" s="2976"/>
      <c r="X516" s="2976"/>
      <c r="Y516" s="2976"/>
      <c r="Z516" s="2976"/>
      <c r="AA516" s="2976"/>
      <c r="AB516" s="2976"/>
      <c r="AC516" s="2976"/>
      <c r="AD516" s="2976"/>
      <c r="AE516" s="2976"/>
      <c r="AF516" s="2976"/>
    </row>
    <row r="517" spans="1:32">
      <c r="A517" s="2972">
        <v>516</v>
      </c>
      <c r="B517" s="2974" t="s">
        <v>3200</v>
      </c>
      <c r="C517" s="2973" t="s">
        <v>3207</v>
      </c>
      <c r="D517" s="2972" t="s">
        <v>3183</v>
      </c>
      <c r="E517" s="2974">
        <v>102</v>
      </c>
      <c r="F517" s="2974">
        <v>56.82</v>
      </c>
      <c r="G517" s="2979">
        <v>12.68</v>
      </c>
      <c r="H517" s="2979">
        <v>69.5</v>
      </c>
      <c r="I517" s="2979" t="s">
        <v>3055</v>
      </c>
      <c r="J517" s="2974" t="s">
        <v>3144</v>
      </c>
      <c r="L517" s="2976"/>
      <c r="M517" s="2976"/>
      <c r="N517" s="2976"/>
      <c r="O517" s="2976"/>
      <c r="P517" s="2976"/>
      <c r="Q517" s="2976"/>
      <c r="R517" s="2976"/>
      <c r="S517" s="2976"/>
      <c r="T517" s="2976"/>
      <c r="U517" s="2976"/>
      <c r="V517" s="2976"/>
      <c r="W517" s="2976"/>
      <c r="X517" s="2976"/>
      <c r="Y517" s="2976"/>
      <c r="Z517" s="2976"/>
      <c r="AA517" s="2976"/>
      <c r="AB517" s="2976"/>
      <c r="AC517" s="2976"/>
      <c r="AD517" s="2976"/>
      <c r="AE517" s="2976"/>
      <c r="AF517" s="2976"/>
    </row>
    <row r="518" spans="1:32">
      <c r="A518" s="2972">
        <v>517</v>
      </c>
      <c r="B518" s="2974" t="s">
        <v>3200</v>
      </c>
      <c r="C518" s="2973" t="s">
        <v>3207</v>
      </c>
      <c r="D518" s="2972" t="s">
        <v>3183</v>
      </c>
      <c r="E518" s="2974">
        <v>103</v>
      </c>
      <c r="F518" s="2974">
        <v>56.86</v>
      </c>
      <c r="G518" s="2979">
        <v>12.69</v>
      </c>
      <c r="H518" s="2979">
        <v>69.55</v>
      </c>
      <c r="I518" s="2979" t="s">
        <v>3055</v>
      </c>
      <c r="J518" s="2974" t="s">
        <v>3144</v>
      </c>
      <c r="L518" s="2976"/>
      <c r="M518" s="2976"/>
      <c r="N518" s="2976"/>
      <c r="O518" s="2976"/>
      <c r="P518" s="2976"/>
      <c r="Q518" s="2976"/>
      <c r="R518" s="2976"/>
      <c r="S518" s="2976"/>
      <c r="T518" s="2976"/>
      <c r="U518" s="2976"/>
      <c r="V518" s="2976"/>
      <c r="W518" s="2976"/>
      <c r="X518" s="2976"/>
      <c r="Y518" s="2976"/>
      <c r="Z518" s="2976"/>
      <c r="AA518" s="2976"/>
      <c r="AB518" s="2976"/>
      <c r="AC518" s="2976"/>
      <c r="AD518" s="2976"/>
      <c r="AE518" s="2976"/>
      <c r="AF518" s="2976"/>
    </row>
    <row r="519" spans="1:32">
      <c r="A519" s="2972">
        <v>518</v>
      </c>
      <c r="B519" s="2974" t="s">
        <v>3200</v>
      </c>
      <c r="C519" s="2973" t="s">
        <v>3207</v>
      </c>
      <c r="D519" s="2972" t="s">
        <v>3183</v>
      </c>
      <c r="E519" s="2974">
        <v>105</v>
      </c>
      <c r="F519" s="2974">
        <v>56.86</v>
      </c>
      <c r="G519" s="2979">
        <v>12.69</v>
      </c>
      <c r="H519" s="2979">
        <v>69.55</v>
      </c>
      <c r="I519" s="2979" t="s">
        <v>3055</v>
      </c>
      <c r="J519" s="2974" t="s">
        <v>3144</v>
      </c>
      <c r="L519" s="2976"/>
      <c r="M519" s="2976"/>
      <c r="N519" s="2976"/>
      <c r="O519" s="2976"/>
      <c r="P519" s="2976"/>
      <c r="Q519" s="2976"/>
      <c r="R519" s="2976"/>
      <c r="S519" s="2976"/>
      <c r="T519" s="2976"/>
      <c r="U519" s="2976"/>
      <c r="V519" s="2976"/>
      <c r="W519" s="2976"/>
      <c r="X519" s="2976"/>
      <c r="Y519" s="2976"/>
      <c r="Z519" s="2976"/>
      <c r="AA519" s="2976"/>
      <c r="AB519" s="2976"/>
      <c r="AC519" s="2976"/>
      <c r="AD519" s="2976"/>
      <c r="AE519" s="2976"/>
      <c r="AF519" s="2976"/>
    </row>
    <row r="520" spans="1:32">
      <c r="A520" s="2972">
        <v>519</v>
      </c>
      <c r="B520" s="2974" t="s">
        <v>3200</v>
      </c>
      <c r="C520" s="2973" t="s">
        <v>3207</v>
      </c>
      <c r="D520" s="2972" t="s">
        <v>3183</v>
      </c>
      <c r="E520" s="2974">
        <v>106</v>
      </c>
      <c r="F520" s="2974">
        <v>57.02</v>
      </c>
      <c r="G520" s="2979">
        <v>12.72</v>
      </c>
      <c r="H520" s="2979">
        <v>69.740000000000009</v>
      </c>
      <c r="I520" s="2979" t="s">
        <v>3055</v>
      </c>
      <c r="J520" s="2974" t="s">
        <v>3144</v>
      </c>
      <c r="L520" s="2976"/>
      <c r="M520" s="2976"/>
      <c r="N520" s="2976"/>
      <c r="O520" s="2976"/>
      <c r="P520" s="2976"/>
      <c r="Q520" s="2976"/>
      <c r="R520" s="2976"/>
      <c r="S520" s="2976"/>
      <c r="T520" s="2976"/>
      <c r="U520" s="2976"/>
      <c r="V520" s="2976"/>
      <c r="W520" s="2976"/>
      <c r="X520" s="2976"/>
      <c r="Y520" s="2976"/>
      <c r="Z520" s="2976"/>
      <c r="AA520" s="2976"/>
      <c r="AB520" s="2976"/>
      <c r="AC520" s="2976"/>
      <c r="AD520" s="2976"/>
      <c r="AE520" s="2976"/>
      <c r="AF520" s="2976"/>
    </row>
    <row r="521" spans="1:32">
      <c r="A521" s="2972">
        <v>520</v>
      </c>
      <c r="B521" s="2974" t="s">
        <v>3200</v>
      </c>
      <c r="C521" s="2973" t="s">
        <v>3208</v>
      </c>
      <c r="D521" s="2972" t="s">
        <v>3183</v>
      </c>
      <c r="E521" s="2974">
        <v>201</v>
      </c>
      <c r="F521" s="2974">
        <v>55.78</v>
      </c>
      <c r="G521" s="2979">
        <v>12.45</v>
      </c>
      <c r="H521" s="2979">
        <v>68.23</v>
      </c>
      <c r="I521" s="2979" t="s">
        <v>3055</v>
      </c>
      <c r="J521" s="2974" t="s">
        <v>3143</v>
      </c>
      <c r="L521" s="2976"/>
      <c r="M521" s="2976"/>
      <c r="N521" s="2976"/>
      <c r="O521" s="2976"/>
      <c r="P521" s="2976"/>
      <c r="Q521" s="2976"/>
      <c r="R521" s="2976"/>
      <c r="S521" s="2976"/>
      <c r="T521" s="2976"/>
      <c r="U521" s="2976"/>
      <c r="V521" s="2976"/>
      <c r="W521" s="2976"/>
      <c r="X521" s="2976"/>
      <c r="Y521" s="2976"/>
      <c r="Z521" s="2976"/>
      <c r="AA521" s="2976"/>
      <c r="AB521" s="2976"/>
      <c r="AC521" s="2976"/>
      <c r="AD521" s="2976"/>
      <c r="AE521" s="2976"/>
      <c r="AF521" s="2976"/>
    </row>
    <row r="522" spans="1:32">
      <c r="A522" s="2972">
        <v>521</v>
      </c>
      <c r="B522" s="2974" t="s">
        <v>3200</v>
      </c>
      <c r="C522" s="2973" t="s">
        <v>3208</v>
      </c>
      <c r="D522" s="2972" t="s">
        <v>3183</v>
      </c>
      <c r="E522" s="2974">
        <v>202</v>
      </c>
      <c r="F522" s="2974">
        <v>56.82</v>
      </c>
      <c r="G522" s="2979">
        <v>12.68</v>
      </c>
      <c r="H522" s="2979">
        <v>69.5</v>
      </c>
      <c r="I522" s="2979" t="s">
        <v>3055</v>
      </c>
      <c r="J522" s="2974" t="s">
        <v>3144</v>
      </c>
      <c r="L522" s="2976"/>
      <c r="M522" s="2976"/>
      <c r="N522" s="2976"/>
      <c r="O522" s="2976"/>
      <c r="P522" s="2976"/>
      <c r="Q522" s="2976"/>
      <c r="R522" s="2976"/>
      <c r="S522" s="2976"/>
      <c r="T522" s="2976"/>
      <c r="U522" s="2976"/>
      <c r="V522" s="2976"/>
      <c r="W522" s="2976"/>
      <c r="X522" s="2976"/>
      <c r="Y522" s="2976"/>
      <c r="Z522" s="2976"/>
      <c r="AA522" s="2976"/>
      <c r="AB522" s="2976"/>
      <c r="AC522" s="2976"/>
      <c r="AD522" s="2976"/>
      <c r="AE522" s="2976"/>
      <c r="AF522" s="2976"/>
    </row>
    <row r="523" spans="1:32">
      <c r="A523" s="2972">
        <v>522</v>
      </c>
      <c r="B523" s="2974" t="s">
        <v>3200</v>
      </c>
      <c r="C523" s="2973" t="s">
        <v>3208</v>
      </c>
      <c r="D523" s="2972" t="s">
        <v>3183</v>
      </c>
      <c r="E523" s="2974">
        <v>203</v>
      </c>
      <c r="F523" s="2980">
        <v>56.86</v>
      </c>
      <c r="G523" s="2979">
        <v>12.69</v>
      </c>
      <c r="H523" s="2979">
        <v>69.55</v>
      </c>
      <c r="I523" s="2979" t="s">
        <v>3055</v>
      </c>
      <c r="J523" s="2974" t="s">
        <v>3144</v>
      </c>
      <c r="L523" s="2976"/>
      <c r="M523" s="2976"/>
      <c r="N523" s="2976"/>
      <c r="O523" s="2976"/>
      <c r="P523" s="2976"/>
      <c r="Q523" s="2976"/>
      <c r="R523" s="2976"/>
      <c r="S523" s="2976"/>
      <c r="T523" s="2976"/>
      <c r="U523" s="2976"/>
      <c r="V523" s="2976"/>
      <c r="W523" s="2976"/>
      <c r="X523" s="2976"/>
      <c r="Y523" s="2976"/>
      <c r="Z523" s="2976"/>
      <c r="AA523" s="2976"/>
      <c r="AB523" s="2976"/>
      <c r="AC523" s="2976"/>
      <c r="AD523" s="2976"/>
      <c r="AE523" s="2976"/>
      <c r="AF523" s="2976"/>
    </row>
    <row r="524" spans="1:32">
      <c r="A524" s="2972">
        <v>523</v>
      </c>
      <c r="B524" s="2974" t="s">
        <v>3200</v>
      </c>
      <c r="C524" s="2973" t="s">
        <v>3208</v>
      </c>
      <c r="D524" s="2972" t="s">
        <v>3183</v>
      </c>
      <c r="E524" s="2974">
        <v>205</v>
      </c>
      <c r="F524" s="2974">
        <v>56.86</v>
      </c>
      <c r="G524" s="2979">
        <v>12.69</v>
      </c>
      <c r="H524" s="2979">
        <v>69.55</v>
      </c>
      <c r="I524" s="2979" t="s">
        <v>3055</v>
      </c>
      <c r="J524" s="2974" t="s">
        <v>3144</v>
      </c>
      <c r="L524" s="2976"/>
      <c r="M524" s="2976"/>
      <c r="N524" s="2976"/>
      <c r="O524" s="2976"/>
      <c r="P524" s="2976"/>
      <c r="Q524" s="2976"/>
      <c r="R524" s="2976"/>
      <c r="S524" s="2976"/>
      <c r="T524" s="2976"/>
      <c r="U524" s="2976"/>
      <c r="V524" s="2976"/>
      <c r="W524" s="2976"/>
      <c r="X524" s="2976"/>
      <c r="Y524" s="2976"/>
      <c r="Z524" s="2976"/>
      <c r="AA524" s="2976"/>
      <c r="AB524" s="2976"/>
      <c r="AC524" s="2976"/>
      <c r="AD524" s="2976"/>
      <c r="AE524" s="2976"/>
      <c r="AF524" s="2976"/>
    </row>
    <row r="525" spans="1:32">
      <c r="A525" s="2972">
        <v>524</v>
      </c>
      <c r="B525" s="2974" t="s">
        <v>3200</v>
      </c>
      <c r="C525" s="2973" t="s">
        <v>3208</v>
      </c>
      <c r="D525" s="2972" t="s">
        <v>3183</v>
      </c>
      <c r="E525" s="2974">
        <v>206</v>
      </c>
      <c r="F525" s="2974">
        <v>57.02</v>
      </c>
      <c r="G525" s="2979">
        <v>12.72</v>
      </c>
      <c r="H525" s="2979">
        <v>69.740000000000009</v>
      </c>
      <c r="I525" s="2979" t="s">
        <v>3055</v>
      </c>
      <c r="J525" s="2974" t="s">
        <v>3144</v>
      </c>
      <c r="L525" s="2976"/>
      <c r="M525" s="2976"/>
      <c r="N525" s="2976"/>
      <c r="O525" s="2976"/>
      <c r="P525" s="2976"/>
      <c r="Q525" s="2976"/>
      <c r="R525" s="2976"/>
      <c r="S525" s="2976"/>
      <c r="T525" s="2976"/>
      <c r="U525" s="2976"/>
      <c r="V525" s="2976"/>
      <c r="W525" s="2976"/>
      <c r="X525" s="2976"/>
      <c r="Y525" s="2976"/>
      <c r="Z525" s="2976"/>
      <c r="AA525" s="2976"/>
      <c r="AB525" s="2976"/>
      <c r="AC525" s="2976"/>
      <c r="AD525" s="2976"/>
      <c r="AE525" s="2976"/>
      <c r="AF525" s="2976"/>
    </row>
    <row r="526" spans="1:32">
      <c r="A526" s="2972">
        <v>525</v>
      </c>
      <c r="B526" s="2974" t="s">
        <v>3200</v>
      </c>
      <c r="C526" s="2973" t="s">
        <v>3209</v>
      </c>
      <c r="D526" s="2972" t="s">
        <v>3183</v>
      </c>
      <c r="E526" s="2974">
        <v>301</v>
      </c>
      <c r="F526" s="2974">
        <v>55.64</v>
      </c>
      <c r="G526" s="2979">
        <v>12.41</v>
      </c>
      <c r="H526" s="2979">
        <v>68.05</v>
      </c>
      <c r="I526" s="2979" t="s">
        <v>3055</v>
      </c>
      <c r="J526" s="2974" t="s">
        <v>3143</v>
      </c>
      <c r="L526" s="2976"/>
      <c r="M526" s="2976"/>
      <c r="N526" s="2976"/>
      <c r="O526" s="2976"/>
      <c r="P526" s="2976"/>
      <c r="Q526" s="2976"/>
      <c r="R526" s="2976"/>
      <c r="S526" s="2976"/>
      <c r="T526" s="2976"/>
      <c r="U526" s="2976"/>
      <c r="V526" s="2976"/>
      <c r="W526" s="2976"/>
      <c r="X526" s="2976"/>
      <c r="Y526" s="2976"/>
      <c r="Z526" s="2976"/>
      <c r="AA526" s="2976"/>
      <c r="AB526" s="2976"/>
      <c r="AC526" s="2976"/>
      <c r="AD526" s="2976"/>
      <c r="AE526" s="2976"/>
      <c r="AF526" s="2976"/>
    </row>
    <row r="527" spans="1:32">
      <c r="A527" s="2972">
        <v>526</v>
      </c>
      <c r="B527" s="2974" t="s">
        <v>3200</v>
      </c>
      <c r="C527" s="2973" t="s">
        <v>3209</v>
      </c>
      <c r="D527" s="2972" t="s">
        <v>3183</v>
      </c>
      <c r="E527" s="2974">
        <v>302</v>
      </c>
      <c r="F527" s="2974">
        <v>56.82</v>
      </c>
      <c r="G527" s="2979">
        <v>12.68</v>
      </c>
      <c r="H527" s="2979">
        <v>69.5</v>
      </c>
      <c r="I527" s="2979" t="s">
        <v>3055</v>
      </c>
      <c r="J527" s="2974" t="s">
        <v>3144</v>
      </c>
      <c r="L527" s="2976"/>
      <c r="M527" s="2976"/>
      <c r="N527" s="2976"/>
      <c r="O527" s="2976"/>
      <c r="P527" s="2976"/>
      <c r="Q527" s="2976"/>
      <c r="R527" s="2976"/>
      <c r="S527" s="2976"/>
      <c r="T527" s="2976"/>
      <c r="U527" s="2976"/>
      <c r="V527" s="2976"/>
      <c r="W527" s="2976"/>
      <c r="X527" s="2976"/>
      <c r="Y527" s="2976"/>
      <c r="Z527" s="2976"/>
      <c r="AA527" s="2976"/>
      <c r="AB527" s="2976"/>
      <c r="AC527" s="2976"/>
      <c r="AD527" s="2976"/>
      <c r="AE527" s="2976"/>
      <c r="AF527" s="2976"/>
    </row>
    <row r="528" spans="1:32">
      <c r="A528" s="2972">
        <v>527</v>
      </c>
      <c r="B528" s="2974" t="s">
        <v>3200</v>
      </c>
      <c r="C528" s="2973" t="s">
        <v>3209</v>
      </c>
      <c r="D528" s="2972" t="s">
        <v>3183</v>
      </c>
      <c r="E528" s="2974">
        <v>303</v>
      </c>
      <c r="F528" s="2974">
        <v>56.86</v>
      </c>
      <c r="G528" s="2979">
        <v>12.69</v>
      </c>
      <c r="H528" s="2979">
        <v>69.55</v>
      </c>
      <c r="I528" s="2979" t="s">
        <v>3055</v>
      </c>
      <c r="J528" s="2974" t="s">
        <v>3144</v>
      </c>
      <c r="L528" s="2976"/>
      <c r="M528" s="2976"/>
      <c r="N528" s="2976"/>
      <c r="O528" s="2976"/>
      <c r="P528" s="2976"/>
      <c r="Q528" s="2976"/>
      <c r="R528" s="2976"/>
      <c r="S528" s="2976"/>
      <c r="T528" s="2976"/>
      <c r="U528" s="2976"/>
      <c r="V528" s="2976"/>
      <c r="W528" s="2976"/>
      <c r="X528" s="2976"/>
      <c r="Y528" s="2976"/>
      <c r="Z528" s="2976"/>
      <c r="AA528" s="2976"/>
      <c r="AB528" s="2976"/>
      <c r="AC528" s="2976"/>
      <c r="AD528" s="2976"/>
      <c r="AE528" s="2976"/>
      <c r="AF528" s="2976"/>
    </row>
    <row r="529" spans="1:32">
      <c r="A529" s="2972">
        <v>528</v>
      </c>
      <c r="B529" s="2974" t="s">
        <v>3200</v>
      </c>
      <c r="C529" s="2973" t="s">
        <v>3209</v>
      </c>
      <c r="D529" s="2972" t="s">
        <v>3183</v>
      </c>
      <c r="E529" s="2974">
        <v>305</v>
      </c>
      <c r="F529" s="2974">
        <v>56.86</v>
      </c>
      <c r="G529" s="2979">
        <v>12.69</v>
      </c>
      <c r="H529" s="2979">
        <v>69.55</v>
      </c>
      <c r="I529" s="2979" t="s">
        <v>3055</v>
      </c>
      <c r="J529" s="2974" t="s">
        <v>3144</v>
      </c>
      <c r="L529" s="2976"/>
      <c r="M529" s="2976"/>
      <c r="N529" s="2976"/>
      <c r="O529" s="2976"/>
      <c r="P529" s="2976"/>
      <c r="Q529" s="2976"/>
      <c r="R529" s="2976"/>
      <c r="S529" s="2976"/>
      <c r="T529" s="2976"/>
      <c r="U529" s="2976"/>
      <c r="V529" s="2976"/>
      <c r="W529" s="2976"/>
      <c r="X529" s="2976"/>
      <c r="Y529" s="2976"/>
      <c r="Z529" s="2976"/>
      <c r="AA529" s="2976"/>
      <c r="AB529" s="2976"/>
      <c r="AC529" s="2976"/>
      <c r="AD529" s="2976"/>
      <c r="AE529" s="2976"/>
      <c r="AF529" s="2976"/>
    </row>
    <row r="530" spans="1:32">
      <c r="A530" s="2972">
        <v>529</v>
      </c>
      <c r="B530" s="2974" t="s">
        <v>3200</v>
      </c>
      <c r="C530" s="2973" t="s">
        <v>3209</v>
      </c>
      <c r="D530" s="2972" t="s">
        <v>3183</v>
      </c>
      <c r="E530" s="2974">
        <v>306</v>
      </c>
      <c r="F530" s="2980">
        <v>57.02</v>
      </c>
      <c r="G530" s="2979">
        <v>12.72</v>
      </c>
      <c r="H530" s="2979">
        <v>69.740000000000009</v>
      </c>
      <c r="I530" s="2979" t="s">
        <v>3055</v>
      </c>
      <c r="J530" s="2974" t="s">
        <v>3144</v>
      </c>
      <c r="L530" s="2976"/>
      <c r="M530" s="2976"/>
      <c r="N530" s="2976"/>
      <c r="O530" s="2976"/>
      <c r="P530" s="2976"/>
      <c r="Q530" s="2976"/>
      <c r="R530" s="2976"/>
      <c r="S530" s="2976"/>
      <c r="T530" s="2976"/>
      <c r="U530" s="2976"/>
      <c r="V530" s="2976"/>
      <c r="W530" s="2976"/>
      <c r="X530" s="2976"/>
      <c r="Y530" s="2976"/>
      <c r="Z530" s="2976"/>
      <c r="AA530" s="2976"/>
      <c r="AB530" s="2976"/>
      <c r="AC530" s="2976"/>
      <c r="AD530" s="2976"/>
      <c r="AE530" s="2976"/>
      <c r="AF530" s="2976"/>
    </row>
    <row r="531" spans="1:32">
      <c r="A531" s="2972">
        <v>530</v>
      </c>
      <c r="B531" s="2974" t="s">
        <v>3200</v>
      </c>
      <c r="C531" s="2973" t="s">
        <v>3209</v>
      </c>
      <c r="D531" s="2972" t="s">
        <v>3183</v>
      </c>
      <c r="E531" s="2974">
        <v>307</v>
      </c>
      <c r="F531" s="2974">
        <v>55.9</v>
      </c>
      <c r="G531" s="2979">
        <v>12.47</v>
      </c>
      <c r="H531" s="2979">
        <v>68.37</v>
      </c>
      <c r="I531" s="2979" t="s">
        <v>3055</v>
      </c>
      <c r="J531" s="2974" t="s">
        <v>3143</v>
      </c>
      <c r="L531" s="2976"/>
      <c r="M531" s="2976"/>
      <c r="N531" s="2976"/>
      <c r="O531" s="2976"/>
      <c r="P531" s="2976"/>
      <c r="Q531" s="2976"/>
      <c r="R531" s="2976"/>
      <c r="S531" s="2976"/>
      <c r="T531" s="2976"/>
      <c r="U531" s="2976"/>
      <c r="V531" s="2976"/>
      <c r="W531" s="2976"/>
      <c r="X531" s="2976"/>
      <c r="Y531" s="2976"/>
      <c r="Z531" s="2976"/>
      <c r="AA531" s="2976"/>
      <c r="AB531" s="2976"/>
      <c r="AC531" s="2976"/>
      <c r="AD531" s="2976"/>
      <c r="AE531" s="2976"/>
      <c r="AF531" s="2976"/>
    </row>
    <row r="532" spans="1:32">
      <c r="A532" s="2972">
        <v>531</v>
      </c>
      <c r="B532" s="2974" t="s">
        <v>3200</v>
      </c>
      <c r="C532" s="2973" t="s">
        <v>3209</v>
      </c>
      <c r="D532" s="2972" t="s">
        <v>3183</v>
      </c>
      <c r="E532" s="2974">
        <v>308</v>
      </c>
      <c r="F532" s="2974">
        <v>52.68</v>
      </c>
      <c r="G532" s="2979">
        <v>11.75</v>
      </c>
      <c r="H532" s="2979">
        <v>64.430000000000007</v>
      </c>
      <c r="I532" s="2979" t="s">
        <v>3055</v>
      </c>
      <c r="J532" s="2974" t="s">
        <v>3143</v>
      </c>
      <c r="L532" s="2976"/>
      <c r="M532" s="2976"/>
      <c r="N532" s="2976"/>
      <c r="O532" s="2976"/>
      <c r="P532" s="2976"/>
      <c r="Q532" s="2976"/>
      <c r="R532" s="2976"/>
      <c r="S532" s="2976"/>
      <c r="T532" s="2976"/>
      <c r="U532" s="2976"/>
      <c r="V532" s="2976"/>
      <c r="W532" s="2976"/>
      <c r="X532" s="2976"/>
      <c r="Y532" s="2976"/>
      <c r="Z532" s="2976"/>
      <c r="AA532" s="2976"/>
      <c r="AB532" s="2976"/>
      <c r="AC532" s="2976"/>
      <c r="AD532" s="2976"/>
      <c r="AE532" s="2976"/>
      <c r="AF532" s="2976"/>
    </row>
    <row r="533" spans="1:32">
      <c r="A533" s="2972">
        <v>532</v>
      </c>
      <c r="B533" s="2974" t="s">
        <v>3200</v>
      </c>
      <c r="C533" s="2973" t="s">
        <v>3210</v>
      </c>
      <c r="D533" s="2972" t="s">
        <v>3183</v>
      </c>
      <c r="E533" s="2974" t="s">
        <v>3145</v>
      </c>
      <c r="F533" s="2974">
        <v>55.78</v>
      </c>
      <c r="G533" s="2979">
        <v>12.45</v>
      </c>
      <c r="H533" s="2979">
        <v>68.23</v>
      </c>
      <c r="I533" s="2979" t="s">
        <v>3055</v>
      </c>
      <c r="J533" s="2974" t="s">
        <v>3143</v>
      </c>
      <c r="L533" s="2976"/>
      <c r="M533" s="2976"/>
      <c r="N533" s="2976"/>
      <c r="O533" s="2976"/>
      <c r="P533" s="2976"/>
      <c r="Q533" s="2976"/>
      <c r="R533" s="2976"/>
      <c r="S533" s="2976"/>
      <c r="T533" s="2976"/>
      <c r="U533" s="2976"/>
      <c r="V533" s="2976"/>
      <c r="W533" s="2976"/>
      <c r="X533" s="2976"/>
      <c r="Y533" s="2976"/>
      <c r="Z533" s="2976"/>
      <c r="AA533" s="2976"/>
      <c r="AB533" s="2976"/>
      <c r="AC533" s="2976"/>
      <c r="AD533" s="2976"/>
      <c r="AE533" s="2976"/>
      <c r="AF533" s="2976"/>
    </row>
    <row r="534" spans="1:32">
      <c r="A534" s="2972">
        <v>533</v>
      </c>
      <c r="B534" s="2974" t="s">
        <v>3200</v>
      </c>
      <c r="C534" s="2973" t="s">
        <v>3210</v>
      </c>
      <c r="D534" s="2972" t="s">
        <v>3183</v>
      </c>
      <c r="E534" s="2974" t="s">
        <v>3146</v>
      </c>
      <c r="F534" s="2974">
        <v>56.82</v>
      </c>
      <c r="G534" s="2979">
        <v>12.68</v>
      </c>
      <c r="H534" s="2979">
        <v>69.5</v>
      </c>
      <c r="I534" s="2979" t="s">
        <v>3055</v>
      </c>
      <c r="J534" s="2974" t="s">
        <v>3144</v>
      </c>
      <c r="L534" s="2976"/>
      <c r="M534" s="2976"/>
      <c r="N534" s="2976"/>
      <c r="O534" s="2976"/>
      <c r="P534" s="2976"/>
      <c r="Q534" s="2976"/>
      <c r="R534" s="2976"/>
      <c r="S534" s="2976"/>
      <c r="T534" s="2976"/>
      <c r="U534" s="2976"/>
      <c r="V534" s="2976"/>
      <c r="W534" s="2976"/>
      <c r="X534" s="2976"/>
      <c r="Y534" s="2976"/>
      <c r="Z534" s="2976"/>
      <c r="AA534" s="2976"/>
      <c r="AB534" s="2976"/>
      <c r="AC534" s="2976"/>
      <c r="AD534" s="2976"/>
      <c r="AE534" s="2976"/>
      <c r="AF534" s="2976"/>
    </row>
    <row r="535" spans="1:32">
      <c r="A535" s="2972">
        <v>534</v>
      </c>
      <c r="B535" s="2974" t="s">
        <v>3200</v>
      </c>
      <c r="C535" s="2973" t="s">
        <v>3210</v>
      </c>
      <c r="D535" s="2972" t="s">
        <v>3183</v>
      </c>
      <c r="E535" s="2974" t="s">
        <v>3147</v>
      </c>
      <c r="F535" s="2974">
        <v>56.86</v>
      </c>
      <c r="G535" s="2979">
        <v>12.69</v>
      </c>
      <c r="H535" s="2979">
        <v>69.55</v>
      </c>
      <c r="I535" s="2979" t="s">
        <v>3055</v>
      </c>
      <c r="J535" s="2974" t="s">
        <v>3144</v>
      </c>
      <c r="L535" s="2976"/>
      <c r="M535" s="2976"/>
      <c r="N535" s="2976"/>
      <c r="O535" s="2976"/>
      <c r="P535" s="2976"/>
      <c r="Q535" s="2976"/>
      <c r="R535" s="2976"/>
      <c r="S535" s="2976"/>
      <c r="T535" s="2976"/>
      <c r="U535" s="2976"/>
      <c r="V535" s="2976"/>
      <c r="W535" s="2976"/>
      <c r="X535" s="2976"/>
      <c r="Y535" s="2976"/>
      <c r="Z535" s="2976"/>
      <c r="AA535" s="2976"/>
      <c r="AB535" s="2976"/>
      <c r="AC535" s="2976"/>
      <c r="AD535" s="2976"/>
      <c r="AE535" s="2976"/>
      <c r="AF535" s="2976"/>
    </row>
    <row r="536" spans="1:32">
      <c r="A536" s="2972">
        <v>535</v>
      </c>
      <c r="B536" s="2974" t="s">
        <v>3200</v>
      </c>
      <c r="C536" s="2973" t="s">
        <v>3210</v>
      </c>
      <c r="D536" s="2972" t="s">
        <v>3183</v>
      </c>
      <c r="E536" s="2974" t="s">
        <v>3148</v>
      </c>
      <c r="F536" s="2974">
        <v>56.86</v>
      </c>
      <c r="G536" s="2979">
        <v>12.69</v>
      </c>
      <c r="H536" s="2979">
        <v>69.55</v>
      </c>
      <c r="I536" s="2979" t="s">
        <v>3055</v>
      </c>
      <c r="J536" s="2974" t="s">
        <v>3144</v>
      </c>
      <c r="L536" s="2976"/>
      <c r="M536" s="2976"/>
      <c r="N536" s="2976"/>
      <c r="O536" s="2976"/>
      <c r="P536" s="2976"/>
      <c r="Q536" s="2976"/>
      <c r="R536" s="2976"/>
      <c r="S536" s="2976"/>
      <c r="T536" s="2976"/>
      <c r="U536" s="2976"/>
      <c r="V536" s="2976"/>
      <c r="W536" s="2976"/>
      <c r="X536" s="2976"/>
      <c r="Y536" s="2976"/>
      <c r="Z536" s="2976"/>
      <c r="AA536" s="2976"/>
      <c r="AB536" s="2976"/>
      <c r="AC536" s="2976"/>
      <c r="AD536" s="2976"/>
      <c r="AE536" s="2976"/>
      <c r="AF536" s="2976"/>
    </row>
    <row r="537" spans="1:32">
      <c r="A537" s="2972">
        <v>536</v>
      </c>
      <c r="B537" s="2974" t="s">
        <v>3200</v>
      </c>
      <c r="C537" s="2973" t="s">
        <v>3210</v>
      </c>
      <c r="D537" s="2972" t="s">
        <v>3183</v>
      </c>
      <c r="E537" s="2974" t="s">
        <v>3149</v>
      </c>
      <c r="F537" s="2980">
        <v>57.02</v>
      </c>
      <c r="G537" s="2979">
        <v>12.72</v>
      </c>
      <c r="H537" s="2979">
        <v>69.740000000000009</v>
      </c>
      <c r="I537" s="2979" t="s">
        <v>3055</v>
      </c>
      <c r="J537" s="2974" t="s">
        <v>3144</v>
      </c>
      <c r="L537" s="2976"/>
      <c r="M537" s="2976"/>
      <c r="N537" s="2976"/>
      <c r="O537" s="2976"/>
      <c r="P537" s="2976"/>
      <c r="Q537" s="2976"/>
      <c r="R537" s="2976"/>
      <c r="S537" s="2976"/>
      <c r="T537" s="2976"/>
      <c r="U537" s="2976"/>
      <c r="V537" s="2976"/>
      <c r="W537" s="2976"/>
      <c r="X537" s="2976"/>
      <c r="Y537" s="2976"/>
      <c r="Z537" s="2976"/>
      <c r="AA537" s="2976"/>
      <c r="AB537" s="2976"/>
      <c r="AC537" s="2976"/>
      <c r="AD537" s="2976"/>
      <c r="AE537" s="2976"/>
      <c r="AF537" s="2976"/>
    </row>
    <row r="538" spans="1:32">
      <c r="A538" s="2972">
        <v>537</v>
      </c>
      <c r="B538" s="2974" t="s">
        <v>3200</v>
      </c>
      <c r="C538" s="2973" t="s">
        <v>3210</v>
      </c>
      <c r="D538" s="2972" t="s">
        <v>3183</v>
      </c>
      <c r="E538" s="2974" t="s">
        <v>3150</v>
      </c>
      <c r="F538" s="2974">
        <v>55.9</v>
      </c>
      <c r="G538" s="2979">
        <v>12.47</v>
      </c>
      <c r="H538" s="2979">
        <v>68.37</v>
      </c>
      <c r="I538" s="2979" t="s">
        <v>3055</v>
      </c>
      <c r="J538" s="2974" t="s">
        <v>3143</v>
      </c>
      <c r="L538" s="2976"/>
      <c r="M538" s="2976"/>
      <c r="N538" s="2976"/>
      <c r="O538" s="2976"/>
      <c r="P538" s="2976"/>
      <c r="Q538" s="2976"/>
      <c r="R538" s="2976"/>
      <c r="S538" s="2976"/>
      <c r="T538" s="2976"/>
      <c r="U538" s="2976"/>
      <c r="V538" s="2976"/>
      <c r="W538" s="2976"/>
      <c r="X538" s="2976"/>
      <c r="Y538" s="2976"/>
      <c r="Z538" s="2976"/>
      <c r="AA538" s="2976"/>
      <c r="AB538" s="2976"/>
      <c r="AC538" s="2976"/>
      <c r="AD538" s="2976"/>
      <c r="AE538" s="2976"/>
      <c r="AF538" s="2976"/>
    </row>
    <row r="539" spans="1:32">
      <c r="A539" s="2972">
        <v>538</v>
      </c>
      <c r="B539" s="2974" t="s">
        <v>3200</v>
      </c>
      <c r="C539" s="2973" t="s">
        <v>3210</v>
      </c>
      <c r="D539" s="2972" t="s">
        <v>3183</v>
      </c>
      <c r="E539" s="2974" t="s">
        <v>3151</v>
      </c>
      <c r="F539" s="2974">
        <v>52.68</v>
      </c>
      <c r="G539" s="2979">
        <v>11.75</v>
      </c>
      <c r="H539" s="2979">
        <v>64.430000000000007</v>
      </c>
      <c r="I539" s="2979" t="s">
        <v>3055</v>
      </c>
      <c r="J539" s="2974" t="s">
        <v>3143</v>
      </c>
      <c r="L539" s="2976"/>
      <c r="M539" s="2976"/>
      <c r="N539" s="2976"/>
      <c r="O539" s="2976"/>
      <c r="P539" s="2976"/>
      <c r="Q539" s="2976"/>
      <c r="R539" s="2976"/>
      <c r="S539" s="2976"/>
      <c r="T539" s="2976"/>
      <c r="U539" s="2976"/>
      <c r="V539" s="2976"/>
      <c r="W539" s="2976"/>
      <c r="X539" s="2976"/>
      <c r="Y539" s="2976"/>
      <c r="Z539" s="2976"/>
      <c r="AA539" s="2976"/>
      <c r="AB539" s="2976"/>
      <c r="AC539" s="2976"/>
      <c r="AD539" s="2976"/>
      <c r="AE539" s="2976"/>
      <c r="AF539" s="2976"/>
    </row>
    <row r="540" spans="1:32">
      <c r="A540" s="2972">
        <v>539</v>
      </c>
      <c r="B540" s="2974" t="s">
        <v>3200</v>
      </c>
      <c r="C540" s="2973" t="s">
        <v>3211</v>
      </c>
      <c r="D540" s="2972" t="s">
        <v>3183</v>
      </c>
      <c r="E540" s="2974">
        <v>501</v>
      </c>
      <c r="F540" s="2974">
        <v>55.78</v>
      </c>
      <c r="G540" s="2979">
        <v>12.45</v>
      </c>
      <c r="H540" s="2979">
        <v>68.23</v>
      </c>
      <c r="I540" s="2979" t="s">
        <v>3055</v>
      </c>
      <c r="J540" s="2974" t="s">
        <v>3143</v>
      </c>
      <c r="L540" s="2976"/>
      <c r="M540" s="2976"/>
      <c r="N540" s="2976"/>
      <c r="O540" s="2976"/>
      <c r="P540" s="2976"/>
      <c r="Q540" s="2976"/>
      <c r="R540" s="2976"/>
      <c r="S540" s="2976"/>
      <c r="T540" s="2976"/>
      <c r="U540" s="2976"/>
      <c r="V540" s="2976"/>
      <c r="W540" s="2976"/>
      <c r="X540" s="2976"/>
      <c r="Y540" s="2976"/>
      <c r="Z540" s="2976"/>
      <c r="AA540" s="2976"/>
      <c r="AB540" s="2976"/>
      <c r="AC540" s="2976"/>
      <c r="AD540" s="2976"/>
      <c r="AE540" s="2976"/>
      <c r="AF540" s="2976"/>
    </row>
    <row r="541" spans="1:32">
      <c r="A541" s="2972">
        <v>540</v>
      </c>
      <c r="B541" s="2974" t="s">
        <v>3200</v>
      </c>
      <c r="C541" s="2973" t="s">
        <v>3211</v>
      </c>
      <c r="D541" s="2972" t="s">
        <v>3183</v>
      </c>
      <c r="E541" s="2974">
        <v>503</v>
      </c>
      <c r="F541" s="2974">
        <v>56.86</v>
      </c>
      <c r="G541" s="2979">
        <v>12.69</v>
      </c>
      <c r="H541" s="2979">
        <v>69.55</v>
      </c>
      <c r="I541" s="2979" t="s">
        <v>3055</v>
      </c>
      <c r="J541" s="2974" t="s">
        <v>3144</v>
      </c>
      <c r="L541" s="2976"/>
      <c r="M541" s="2976"/>
      <c r="N541" s="2976"/>
      <c r="O541" s="2976"/>
      <c r="P541" s="2976"/>
      <c r="Q541" s="2976"/>
      <c r="R541" s="2976"/>
      <c r="S541" s="2976"/>
      <c r="T541" s="2976"/>
      <c r="U541" s="2976"/>
      <c r="V541" s="2976"/>
      <c r="W541" s="2976"/>
      <c r="X541" s="2976"/>
      <c r="Y541" s="2976"/>
      <c r="Z541" s="2976"/>
      <c r="AA541" s="2976"/>
      <c r="AB541" s="2976"/>
      <c r="AC541" s="2976"/>
      <c r="AD541" s="2976"/>
      <c r="AE541" s="2976"/>
      <c r="AF541" s="2976"/>
    </row>
    <row r="542" spans="1:32">
      <c r="A542" s="2972">
        <v>541</v>
      </c>
      <c r="B542" s="2974" t="s">
        <v>3200</v>
      </c>
      <c r="C542" s="2973" t="s">
        <v>3211</v>
      </c>
      <c r="D542" s="2972" t="s">
        <v>3183</v>
      </c>
      <c r="E542" s="2974">
        <v>505</v>
      </c>
      <c r="F542" s="2974">
        <v>56.86</v>
      </c>
      <c r="G542" s="2979">
        <v>12.69</v>
      </c>
      <c r="H542" s="2979">
        <v>69.55</v>
      </c>
      <c r="I542" s="2979" t="s">
        <v>3055</v>
      </c>
      <c r="J542" s="2974" t="s">
        <v>3144</v>
      </c>
      <c r="L542" s="2976"/>
      <c r="M542" s="2976"/>
      <c r="N542" s="2976"/>
      <c r="O542" s="2976"/>
      <c r="P542" s="2976"/>
      <c r="Q542" s="2976"/>
      <c r="R542" s="2976"/>
      <c r="S542" s="2976"/>
      <c r="T542" s="2976"/>
      <c r="U542" s="2976"/>
      <c r="V542" s="2976"/>
      <c r="W542" s="2976"/>
      <c r="X542" s="2976"/>
      <c r="Y542" s="2976"/>
      <c r="Z542" s="2976"/>
      <c r="AA542" s="2976"/>
      <c r="AB542" s="2976"/>
      <c r="AC542" s="2976"/>
      <c r="AD542" s="2976"/>
      <c r="AE542" s="2976"/>
      <c r="AF542" s="2976"/>
    </row>
    <row r="543" spans="1:32">
      <c r="A543" s="2972">
        <v>542</v>
      </c>
      <c r="B543" s="2974" t="s">
        <v>3200</v>
      </c>
      <c r="C543" s="2973" t="s">
        <v>3211</v>
      </c>
      <c r="D543" s="2972" t="s">
        <v>3183</v>
      </c>
      <c r="E543" s="2974">
        <v>506</v>
      </c>
      <c r="F543" s="2980">
        <v>57.02</v>
      </c>
      <c r="G543" s="2979">
        <v>12.72</v>
      </c>
      <c r="H543" s="2979">
        <v>69.740000000000009</v>
      </c>
      <c r="I543" s="2979" t="s">
        <v>3055</v>
      </c>
      <c r="J543" s="2974" t="s">
        <v>3144</v>
      </c>
      <c r="L543" s="2976"/>
      <c r="M543" s="2976"/>
      <c r="N543" s="2976"/>
      <c r="O543" s="2976"/>
      <c r="P543" s="2976"/>
      <c r="Q543" s="2976"/>
      <c r="R543" s="2976"/>
      <c r="S543" s="2976"/>
      <c r="T543" s="2976"/>
      <c r="U543" s="2976"/>
      <c r="V543" s="2976"/>
      <c r="W543" s="2976"/>
      <c r="X543" s="2976"/>
      <c r="Y543" s="2976"/>
      <c r="Z543" s="2976"/>
      <c r="AA543" s="2976"/>
      <c r="AB543" s="2976"/>
      <c r="AC543" s="2976"/>
      <c r="AD543" s="2976"/>
      <c r="AE543" s="2976"/>
      <c r="AF543" s="2976"/>
    </row>
    <row r="544" spans="1:32">
      <c r="A544" s="2972">
        <v>543</v>
      </c>
      <c r="B544" s="2974" t="s">
        <v>3200</v>
      </c>
      <c r="C544" s="2973" t="s">
        <v>3211</v>
      </c>
      <c r="D544" s="2972" t="s">
        <v>3183</v>
      </c>
      <c r="E544" s="2974">
        <v>507</v>
      </c>
      <c r="F544" s="2974">
        <v>55.9</v>
      </c>
      <c r="G544" s="2979">
        <v>12.47</v>
      </c>
      <c r="H544" s="2979">
        <v>68.37</v>
      </c>
      <c r="I544" s="2979" t="s">
        <v>3055</v>
      </c>
      <c r="J544" s="2974" t="s">
        <v>3143</v>
      </c>
      <c r="L544" s="2976"/>
      <c r="M544" s="2976"/>
      <c r="N544" s="2976"/>
      <c r="O544" s="2976"/>
      <c r="P544" s="2976"/>
      <c r="Q544" s="2976"/>
      <c r="R544" s="2976"/>
      <c r="S544" s="2976"/>
      <c r="T544" s="2976"/>
      <c r="U544" s="2976"/>
      <c r="V544" s="2976"/>
      <c r="W544" s="2976"/>
      <c r="X544" s="2976"/>
      <c r="Y544" s="2976"/>
      <c r="Z544" s="2976"/>
      <c r="AA544" s="2976"/>
      <c r="AB544" s="2976"/>
      <c r="AC544" s="2976"/>
      <c r="AD544" s="2976"/>
      <c r="AE544" s="2976"/>
      <c r="AF544" s="2976"/>
    </row>
    <row r="545" spans="1:32">
      <c r="A545" s="2972">
        <v>544</v>
      </c>
      <c r="B545" s="2974" t="s">
        <v>3200</v>
      </c>
      <c r="C545" s="2973" t="s">
        <v>3211</v>
      </c>
      <c r="D545" s="2972" t="s">
        <v>3183</v>
      </c>
      <c r="E545" s="2974">
        <v>508</v>
      </c>
      <c r="F545" s="2974">
        <v>52.68</v>
      </c>
      <c r="G545" s="2979">
        <v>11.75</v>
      </c>
      <c r="H545" s="2979">
        <v>64.430000000000007</v>
      </c>
      <c r="I545" s="2979" t="s">
        <v>3055</v>
      </c>
      <c r="J545" s="2974" t="s">
        <v>3143</v>
      </c>
      <c r="L545" s="2976"/>
      <c r="M545" s="2976"/>
      <c r="N545" s="2976"/>
      <c r="O545" s="2976"/>
      <c r="P545" s="2976"/>
      <c r="Q545" s="2976"/>
      <c r="R545" s="2976"/>
      <c r="S545" s="2976"/>
      <c r="T545" s="2976"/>
      <c r="U545" s="2976"/>
      <c r="V545" s="2976"/>
      <c r="W545" s="2976"/>
      <c r="X545" s="2976"/>
      <c r="Y545" s="2976"/>
      <c r="Z545" s="2976"/>
      <c r="AA545" s="2976"/>
      <c r="AB545" s="2976"/>
      <c r="AC545" s="2976"/>
      <c r="AD545" s="2976"/>
      <c r="AE545" s="2976"/>
      <c r="AF545" s="2976"/>
    </row>
    <row r="546" spans="1:32">
      <c r="A546" s="2972">
        <v>545</v>
      </c>
      <c r="B546" s="2974" t="s">
        <v>3200</v>
      </c>
      <c r="C546" s="2973" t="s">
        <v>3212</v>
      </c>
      <c r="D546" s="2972" t="s">
        <v>3183</v>
      </c>
      <c r="E546" s="2974">
        <v>601</v>
      </c>
      <c r="F546" s="2974">
        <v>55.78</v>
      </c>
      <c r="G546" s="2979">
        <v>12.45</v>
      </c>
      <c r="H546" s="2979">
        <v>68.23</v>
      </c>
      <c r="I546" s="2979" t="s">
        <v>3055</v>
      </c>
      <c r="J546" s="2974" t="s">
        <v>3143</v>
      </c>
      <c r="L546" s="2976"/>
      <c r="M546" s="2976"/>
      <c r="N546" s="2976"/>
      <c r="O546" s="2976"/>
      <c r="P546" s="2976"/>
      <c r="Q546" s="2976"/>
      <c r="R546" s="2976"/>
      <c r="S546" s="2976"/>
      <c r="T546" s="2976"/>
      <c r="U546" s="2976"/>
      <c r="V546" s="2976"/>
      <c r="W546" s="2976"/>
      <c r="X546" s="2976"/>
      <c r="Y546" s="2976"/>
      <c r="Z546" s="2976"/>
      <c r="AA546" s="2976"/>
      <c r="AB546" s="2976"/>
      <c r="AC546" s="2976"/>
      <c r="AD546" s="2976"/>
      <c r="AE546" s="2976"/>
      <c r="AF546" s="2976"/>
    </row>
    <row r="547" spans="1:32">
      <c r="A547" s="2972">
        <v>546</v>
      </c>
      <c r="B547" s="2974" t="s">
        <v>3200</v>
      </c>
      <c r="C547" s="2973" t="s">
        <v>3212</v>
      </c>
      <c r="D547" s="2972" t="s">
        <v>3183</v>
      </c>
      <c r="E547" s="2974">
        <v>602</v>
      </c>
      <c r="F547" s="2974">
        <v>56.82</v>
      </c>
      <c r="G547" s="2979">
        <v>12.68</v>
      </c>
      <c r="H547" s="2979">
        <v>69.5</v>
      </c>
      <c r="I547" s="2979" t="s">
        <v>3055</v>
      </c>
      <c r="J547" s="2974" t="s">
        <v>3144</v>
      </c>
      <c r="L547" s="2976"/>
      <c r="M547" s="2976"/>
      <c r="N547" s="2976"/>
      <c r="O547" s="2976"/>
      <c r="P547" s="2976"/>
      <c r="Q547" s="2976"/>
      <c r="R547" s="2976"/>
      <c r="S547" s="2976"/>
      <c r="T547" s="2976"/>
      <c r="U547" s="2976"/>
      <c r="V547" s="2976"/>
      <c r="W547" s="2976"/>
      <c r="X547" s="2976"/>
      <c r="Y547" s="2976"/>
      <c r="Z547" s="2976"/>
      <c r="AA547" s="2976"/>
      <c r="AB547" s="2976"/>
      <c r="AC547" s="2976"/>
      <c r="AD547" s="2976"/>
      <c r="AE547" s="2976"/>
      <c r="AF547" s="2976"/>
    </row>
    <row r="548" spans="1:32">
      <c r="A548" s="2972">
        <v>547</v>
      </c>
      <c r="B548" s="2974" t="s">
        <v>3200</v>
      </c>
      <c r="C548" s="2973" t="s">
        <v>3212</v>
      </c>
      <c r="D548" s="2972" t="s">
        <v>3183</v>
      </c>
      <c r="E548" s="2974">
        <v>603</v>
      </c>
      <c r="F548" s="2974">
        <v>56.86</v>
      </c>
      <c r="G548" s="2979">
        <v>12.69</v>
      </c>
      <c r="H548" s="2979">
        <v>69.55</v>
      </c>
      <c r="I548" s="2979" t="s">
        <v>3055</v>
      </c>
      <c r="J548" s="2974" t="s">
        <v>3144</v>
      </c>
      <c r="L548" s="2976"/>
      <c r="M548" s="2976"/>
      <c r="N548" s="2976"/>
      <c r="O548" s="2976"/>
      <c r="P548" s="2976"/>
      <c r="Q548" s="2976"/>
      <c r="R548" s="2976"/>
      <c r="S548" s="2976"/>
      <c r="T548" s="2976"/>
      <c r="U548" s="2976"/>
      <c r="V548" s="2976"/>
      <c r="W548" s="2976"/>
      <c r="X548" s="2976"/>
      <c r="Y548" s="2976"/>
      <c r="Z548" s="2976"/>
      <c r="AA548" s="2976"/>
      <c r="AB548" s="2976"/>
      <c r="AC548" s="2976"/>
      <c r="AD548" s="2976"/>
      <c r="AE548" s="2976"/>
      <c r="AF548" s="2976"/>
    </row>
    <row r="549" spans="1:32">
      <c r="A549" s="2972">
        <v>548</v>
      </c>
      <c r="B549" s="2974" t="s">
        <v>3200</v>
      </c>
      <c r="C549" s="2973" t="s">
        <v>3212</v>
      </c>
      <c r="D549" s="2972" t="s">
        <v>3183</v>
      </c>
      <c r="E549" s="2974">
        <v>605</v>
      </c>
      <c r="F549" s="2974">
        <v>56.86</v>
      </c>
      <c r="G549" s="2979">
        <v>12.69</v>
      </c>
      <c r="H549" s="2979">
        <v>69.55</v>
      </c>
      <c r="I549" s="2979" t="s">
        <v>3055</v>
      </c>
      <c r="J549" s="2974" t="s">
        <v>3144</v>
      </c>
      <c r="L549" s="2976"/>
      <c r="M549" s="2976"/>
      <c r="N549" s="2976"/>
      <c r="O549" s="2976"/>
      <c r="P549" s="2976"/>
      <c r="Q549" s="2976"/>
      <c r="R549" s="2976"/>
      <c r="S549" s="2976"/>
      <c r="T549" s="2976"/>
      <c r="U549" s="2976"/>
      <c r="V549" s="2976"/>
      <c r="W549" s="2976"/>
      <c r="X549" s="2976"/>
      <c r="Y549" s="2976"/>
      <c r="Z549" s="2976"/>
      <c r="AA549" s="2976"/>
      <c r="AB549" s="2976"/>
      <c r="AC549" s="2976"/>
      <c r="AD549" s="2976"/>
      <c r="AE549" s="2976"/>
      <c r="AF549" s="2976"/>
    </row>
    <row r="550" spans="1:32">
      <c r="A550" s="2972">
        <v>549</v>
      </c>
      <c r="B550" s="2974" t="s">
        <v>3200</v>
      </c>
      <c r="C550" s="2973" t="s">
        <v>3212</v>
      </c>
      <c r="D550" s="2972" t="s">
        <v>3183</v>
      </c>
      <c r="E550" s="2974">
        <v>606</v>
      </c>
      <c r="F550" s="2980">
        <v>57.02</v>
      </c>
      <c r="G550" s="2979">
        <v>12.72</v>
      </c>
      <c r="H550" s="2979">
        <v>69.740000000000009</v>
      </c>
      <c r="I550" s="2979" t="s">
        <v>3055</v>
      </c>
      <c r="J550" s="2974" t="s">
        <v>3144</v>
      </c>
      <c r="L550" s="2976"/>
      <c r="M550" s="2976"/>
      <c r="N550" s="2976"/>
      <c r="O550" s="2976"/>
      <c r="P550" s="2976"/>
      <c r="Q550" s="2976"/>
      <c r="R550" s="2976"/>
      <c r="S550" s="2976"/>
      <c r="T550" s="2976"/>
      <c r="U550" s="2976"/>
      <c r="V550" s="2976"/>
      <c r="W550" s="2976"/>
      <c r="X550" s="2976"/>
      <c r="Y550" s="2976"/>
      <c r="Z550" s="2976"/>
      <c r="AA550" s="2976"/>
      <c r="AB550" s="2976"/>
      <c r="AC550" s="2976"/>
      <c r="AD550" s="2976"/>
      <c r="AE550" s="2976"/>
      <c r="AF550" s="2976"/>
    </row>
    <row r="551" spans="1:32">
      <c r="A551" s="2972">
        <v>550</v>
      </c>
      <c r="B551" s="2974" t="s">
        <v>3200</v>
      </c>
      <c r="C551" s="2973" t="s">
        <v>3212</v>
      </c>
      <c r="D551" s="2972" t="s">
        <v>3183</v>
      </c>
      <c r="E551" s="2974">
        <v>607</v>
      </c>
      <c r="F551" s="2974">
        <v>55.9</v>
      </c>
      <c r="G551" s="2979">
        <v>12.47</v>
      </c>
      <c r="H551" s="2979">
        <v>68.37</v>
      </c>
      <c r="I551" s="2979" t="s">
        <v>3055</v>
      </c>
      <c r="J551" s="2974" t="s">
        <v>3143</v>
      </c>
      <c r="L551" s="2976"/>
      <c r="M551" s="2976"/>
      <c r="N551" s="2976"/>
      <c r="O551" s="2976"/>
      <c r="P551" s="2976"/>
      <c r="Q551" s="2976"/>
      <c r="R551" s="2976"/>
      <c r="S551" s="2976"/>
      <c r="T551" s="2976"/>
      <c r="U551" s="2976"/>
      <c r="V551" s="2976"/>
      <c r="W551" s="2976"/>
      <c r="X551" s="2976"/>
      <c r="Y551" s="2976"/>
      <c r="Z551" s="2976"/>
      <c r="AA551" s="2976"/>
      <c r="AB551" s="2976"/>
      <c r="AC551" s="2976"/>
      <c r="AD551" s="2976"/>
      <c r="AE551" s="2976"/>
      <c r="AF551" s="2976"/>
    </row>
    <row r="552" spans="1:32">
      <c r="A552" s="2972">
        <v>551</v>
      </c>
      <c r="B552" s="2974" t="s">
        <v>3200</v>
      </c>
      <c r="C552" s="2973" t="s">
        <v>3212</v>
      </c>
      <c r="D552" s="2972" t="s">
        <v>3183</v>
      </c>
      <c r="E552" s="2974">
        <v>608</v>
      </c>
      <c r="F552" s="2974">
        <v>52.68</v>
      </c>
      <c r="G552" s="2979">
        <v>11.75</v>
      </c>
      <c r="H552" s="2979">
        <v>64.430000000000007</v>
      </c>
      <c r="I552" s="2979" t="s">
        <v>3055</v>
      </c>
      <c r="J552" s="2974" t="s">
        <v>3143</v>
      </c>
      <c r="L552" s="2976"/>
      <c r="M552" s="2976"/>
      <c r="N552" s="2976"/>
      <c r="O552" s="2976"/>
      <c r="P552" s="2976"/>
      <c r="Q552" s="2976"/>
      <c r="R552" s="2976"/>
      <c r="S552" s="2976"/>
      <c r="T552" s="2976"/>
      <c r="U552" s="2976"/>
      <c r="V552" s="2976"/>
      <c r="W552" s="2976"/>
      <c r="X552" s="2976"/>
      <c r="Y552" s="2976"/>
      <c r="Z552" s="2976"/>
      <c r="AA552" s="2976"/>
      <c r="AB552" s="2976"/>
      <c r="AC552" s="2976"/>
      <c r="AD552" s="2976"/>
      <c r="AE552" s="2976"/>
      <c r="AF552" s="2976"/>
    </row>
    <row r="553" spans="1:32">
      <c r="A553" s="2972">
        <v>552</v>
      </c>
      <c r="B553" s="2974" t="s">
        <v>3234</v>
      </c>
      <c r="C553" s="2982" t="s">
        <v>3153</v>
      </c>
      <c r="D553" s="2972" t="s">
        <v>3183</v>
      </c>
      <c r="E553" s="2974">
        <v>301</v>
      </c>
      <c r="F553" s="2974">
        <v>54.01</v>
      </c>
      <c r="G553" s="2974">
        <v>14.91</v>
      </c>
      <c r="H553" s="2974">
        <v>68.92</v>
      </c>
      <c r="I553" s="2974" t="s">
        <v>3055</v>
      </c>
      <c r="J553" s="2974" t="s">
        <v>3154</v>
      </c>
      <c r="L553" s="2976"/>
      <c r="M553" s="2976"/>
      <c r="N553" s="2976"/>
      <c r="O553" s="2976"/>
      <c r="P553" s="2976"/>
      <c r="Q553" s="2976"/>
      <c r="R553" s="2976"/>
      <c r="S553" s="2976"/>
      <c r="T553" s="2976"/>
      <c r="U553" s="2976"/>
      <c r="V553" s="2976"/>
      <c r="W553" s="2976"/>
      <c r="X553" s="2976"/>
      <c r="Y553" s="2976"/>
      <c r="Z553" s="2976"/>
      <c r="AA553" s="2976"/>
      <c r="AB553" s="2976"/>
      <c r="AC553" s="2976"/>
      <c r="AD553" s="2976"/>
      <c r="AE553" s="2976"/>
      <c r="AF553" s="2976"/>
    </row>
    <row r="554" spans="1:32">
      <c r="A554" s="2972">
        <v>553</v>
      </c>
      <c r="B554" s="2974" t="s">
        <v>3234</v>
      </c>
      <c r="C554" s="2982" t="s">
        <v>3153</v>
      </c>
      <c r="D554" s="2972" t="s">
        <v>3183</v>
      </c>
      <c r="E554" s="2974">
        <v>302</v>
      </c>
      <c r="F554" s="2974">
        <v>56.75</v>
      </c>
      <c r="G554" s="2974">
        <v>15.66</v>
      </c>
      <c r="H554" s="2974">
        <v>72.41</v>
      </c>
      <c r="I554" s="2974" t="s">
        <v>3055</v>
      </c>
      <c r="J554" s="2974" t="s">
        <v>3155</v>
      </c>
      <c r="L554" s="2976"/>
      <c r="M554" s="2976"/>
      <c r="N554" s="2976"/>
      <c r="O554" s="2976"/>
      <c r="P554" s="2976"/>
      <c r="Q554" s="2976"/>
      <c r="R554" s="2976"/>
      <c r="S554" s="2976"/>
      <c r="T554" s="2976"/>
      <c r="U554" s="2976"/>
      <c r="V554" s="2976"/>
      <c r="W554" s="2976"/>
      <c r="X554" s="2976"/>
      <c r="Y554" s="2976"/>
      <c r="Z554" s="2976"/>
      <c r="AA554" s="2976"/>
      <c r="AB554" s="2976"/>
      <c r="AC554" s="2976"/>
      <c r="AD554" s="2976"/>
      <c r="AE554" s="2976"/>
      <c r="AF554" s="2976"/>
    </row>
    <row r="555" spans="1:32">
      <c r="A555" s="2972">
        <v>554</v>
      </c>
      <c r="B555" s="2974" t="s">
        <v>3234</v>
      </c>
      <c r="C555" s="2982" t="s">
        <v>3153</v>
      </c>
      <c r="D555" s="2972" t="s">
        <v>3183</v>
      </c>
      <c r="E555" s="2974">
        <v>303</v>
      </c>
      <c r="F555" s="2974">
        <v>56.78</v>
      </c>
      <c r="G555" s="2974">
        <v>15.67</v>
      </c>
      <c r="H555" s="2974">
        <v>72.45</v>
      </c>
      <c r="I555" s="2974" t="s">
        <v>3055</v>
      </c>
      <c r="J555" s="2974" t="s">
        <v>3155</v>
      </c>
      <c r="L555" s="2976"/>
      <c r="M555" s="2976"/>
      <c r="N555" s="2976"/>
      <c r="O555" s="2976"/>
      <c r="P555" s="2976"/>
      <c r="Q555" s="2976"/>
      <c r="R555" s="2976"/>
      <c r="S555" s="2976"/>
      <c r="T555" s="2976"/>
      <c r="U555" s="2976"/>
      <c r="V555" s="2976"/>
      <c r="W555" s="2976"/>
      <c r="X555" s="2976"/>
      <c r="Y555" s="2976"/>
      <c r="Z555" s="2976"/>
      <c r="AA555" s="2976"/>
      <c r="AB555" s="2976"/>
      <c r="AC555" s="2976"/>
      <c r="AD555" s="2976"/>
      <c r="AE555" s="2976"/>
      <c r="AF555" s="2976"/>
    </row>
    <row r="556" spans="1:32">
      <c r="A556" s="2972">
        <v>555</v>
      </c>
      <c r="B556" s="2974" t="s">
        <v>3234</v>
      </c>
      <c r="C556" s="2982" t="s">
        <v>3153</v>
      </c>
      <c r="D556" s="2972" t="s">
        <v>3183</v>
      </c>
      <c r="E556" s="2974">
        <v>305</v>
      </c>
      <c r="F556" s="2974">
        <v>56.78</v>
      </c>
      <c r="G556" s="2974">
        <v>15.67</v>
      </c>
      <c r="H556" s="2974">
        <v>72.45</v>
      </c>
      <c r="I556" s="2974" t="s">
        <v>3055</v>
      </c>
      <c r="J556" s="2974" t="s">
        <v>3155</v>
      </c>
      <c r="L556" s="2976"/>
      <c r="M556" s="2976"/>
      <c r="N556" s="2976"/>
      <c r="O556" s="2976"/>
      <c r="P556" s="2976"/>
      <c r="Q556" s="2976"/>
      <c r="R556" s="2976"/>
      <c r="S556" s="2976"/>
      <c r="T556" s="2976"/>
      <c r="U556" s="2976"/>
      <c r="V556" s="2976"/>
      <c r="W556" s="2976"/>
      <c r="X556" s="2976"/>
      <c r="Y556" s="2976"/>
      <c r="Z556" s="2976"/>
      <c r="AA556" s="2976"/>
      <c r="AB556" s="2976"/>
      <c r="AC556" s="2976"/>
      <c r="AD556" s="2976"/>
      <c r="AE556" s="2976"/>
      <c r="AF556" s="2976"/>
    </row>
    <row r="557" spans="1:32">
      <c r="A557" s="2972">
        <v>556</v>
      </c>
      <c r="B557" s="2974" t="s">
        <v>3234</v>
      </c>
      <c r="C557" s="2982" t="s">
        <v>3153</v>
      </c>
      <c r="D557" s="2972" t="s">
        <v>3183</v>
      </c>
      <c r="E557" s="2974">
        <v>306</v>
      </c>
      <c r="F557" s="2974">
        <v>56.75</v>
      </c>
      <c r="G557" s="2974">
        <v>15.66</v>
      </c>
      <c r="H557" s="2974">
        <v>72.41</v>
      </c>
      <c r="I557" s="2974" t="s">
        <v>3055</v>
      </c>
      <c r="J557" s="2974" t="s">
        <v>3155</v>
      </c>
      <c r="L557" s="2976"/>
      <c r="M557" s="2976"/>
      <c r="N557" s="2976"/>
      <c r="O557" s="2976"/>
      <c r="P557" s="2976"/>
      <c r="Q557" s="2976"/>
      <c r="R557" s="2976"/>
      <c r="S557" s="2976"/>
      <c r="T557" s="2976"/>
      <c r="U557" s="2976"/>
      <c r="V557" s="2976"/>
      <c r="W557" s="2976"/>
      <c r="X557" s="2976"/>
      <c r="Y557" s="2976"/>
      <c r="Z557" s="2976"/>
      <c r="AA557" s="2976"/>
      <c r="AB557" s="2976"/>
      <c r="AC557" s="2976"/>
      <c r="AD557" s="2976"/>
      <c r="AE557" s="2976"/>
      <c r="AF557" s="2976"/>
    </row>
    <row r="558" spans="1:32">
      <c r="A558" s="2972">
        <v>557</v>
      </c>
      <c r="B558" s="2974" t="s">
        <v>3234</v>
      </c>
      <c r="C558" s="2982" t="s">
        <v>3153</v>
      </c>
      <c r="D558" s="2972" t="s">
        <v>3183</v>
      </c>
      <c r="E558" s="2974">
        <v>307</v>
      </c>
      <c r="F558" s="2974">
        <v>54.01</v>
      </c>
      <c r="G558" s="2974">
        <v>14.91</v>
      </c>
      <c r="H558" s="2974">
        <v>68.92</v>
      </c>
      <c r="I558" s="2974" t="s">
        <v>3055</v>
      </c>
      <c r="J558" s="2974" t="s">
        <v>3154</v>
      </c>
      <c r="L558" s="2976"/>
      <c r="M558" s="2976"/>
      <c r="N558" s="2976"/>
      <c r="O558" s="2976"/>
      <c r="P558" s="2976"/>
      <c r="Q558" s="2976"/>
      <c r="R558" s="2976"/>
      <c r="S558" s="2976"/>
      <c r="T558" s="2976"/>
      <c r="U558" s="2976"/>
      <c r="V558" s="2976"/>
      <c r="W558" s="2976"/>
      <c r="X558" s="2976"/>
      <c r="Y558" s="2976"/>
      <c r="Z558" s="2976"/>
      <c r="AA558" s="2976"/>
      <c r="AB558" s="2976"/>
      <c r="AC558" s="2976"/>
      <c r="AD558" s="2976"/>
      <c r="AE558" s="2976"/>
      <c r="AF558" s="2976"/>
    </row>
    <row r="559" spans="1:32">
      <c r="A559" s="2972">
        <v>558</v>
      </c>
      <c r="B559" s="2974" t="s">
        <v>3234</v>
      </c>
      <c r="C559" s="2982" t="s">
        <v>3156</v>
      </c>
      <c r="D559" s="2972" t="s">
        <v>3183</v>
      </c>
      <c r="E559" s="2974" t="s">
        <v>3145</v>
      </c>
      <c r="F559" s="2974">
        <v>54.01</v>
      </c>
      <c r="G559" s="2974">
        <v>14.91</v>
      </c>
      <c r="H559" s="2974">
        <v>68.92</v>
      </c>
      <c r="I559" s="2974" t="s">
        <v>3055</v>
      </c>
      <c r="J559" s="2974" t="s">
        <v>3154</v>
      </c>
      <c r="L559" s="2976"/>
      <c r="M559" s="2976"/>
      <c r="N559" s="2976"/>
      <c r="O559" s="2976"/>
      <c r="P559" s="2976"/>
      <c r="Q559" s="2976"/>
      <c r="R559" s="2976"/>
      <c r="S559" s="2976"/>
      <c r="T559" s="2976"/>
      <c r="U559" s="2976"/>
      <c r="V559" s="2976"/>
      <c r="W559" s="2976"/>
      <c r="X559" s="2976"/>
      <c r="Y559" s="2976"/>
      <c r="Z559" s="2976"/>
      <c r="AA559" s="2976"/>
      <c r="AB559" s="2976"/>
      <c r="AC559" s="2976"/>
      <c r="AD559" s="2976"/>
      <c r="AE559" s="2976"/>
      <c r="AF559" s="2976"/>
    </row>
    <row r="560" spans="1:32">
      <c r="A560" s="2972">
        <v>559</v>
      </c>
      <c r="B560" s="2974" t="s">
        <v>3234</v>
      </c>
      <c r="C560" s="2982" t="s">
        <v>3156</v>
      </c>
      <c r="D560" s="2972" t="s">
        <v>3183</v>
      </c>
      <c r="E560" s="2974" t="s">
        <v>3146</v>
      </c>
      <c r="F560" s="2974">
        <v>56.75</v>
      </c>
      <c r="G560" s="2974">
        <v>15.66</v>
      </c>
      <c r="H560" s="2974">
        <v>72.41</v>
      </c>
      <c r="I560" s="2974" t="s">
        <v>3055</v>
      </c>
      <c r="J560" s="2974" t="s">
        <v>3155</v>
      </c>
      <c r="L560" s="2976"/>
      <c r="M560" s="2976"/>
      <c r="N560" s="2976"/>
      <c r="O560" s="2976"/>
      <c r="P560" s="2976"/>
      <c r="Q560" s="2976"/>
      <c r="R560" s="2976"/>
      <c r="S560" s="2976"/>
      <c r="T560" s="2976"/>
      <c r="U560" s="2976"/>
      <c r="V560" s="2976"/>
      <c r="W560" s="2976"/>
      <c r="X560" s="2976"/>
      <c r="Y560" s="2976"/>
      <c r="Z560" s="2976"/>
      <c r="AA560" s="2976"/>
      <c r="AB560" s="2976"/>
      <c r="AC560" s="2976"/>
      <c r="AD560" s="2976"/>
      <c r="AE560" s="2976"/>
      <c r="AF560" s="2976"/>
    </row>
    <row r="561" spans="1:32">
      <c r="A561" s="2972">
        <v>560</v>
      </c>
      <c r="B561" s="2974" t="s">
        <v>3234</v>
      </c>
      <c r="C561" s="2982" t="s">
        <v>3156</v>
      </c>
      <c r="D561" s="2972" t="s">
        <v>3183</v>
      </c>
      <c r="E561" s="2974" t="s">
        <v>3147</v>
      </c>
      <c r="F561" s="2974">
        <v>56.78</v>
      </c>
      <c r="G561" s="2974">
        <v>15.67</v>
      </c>
      <c r="H561" s="2974">
        <v>72.45</v>
      </c>
      <c r="I561" s="2974" t="s">
        <v>3055</v>
      </c>
      <c r="J561" s="2974" t="s">
        <v>3155</v>
      </c>
      <c r="L561" s="2976"/>
      <c r="M561" s="2976"/>
      <c r="N561" s="2976"/>
      <c r="O561" s="2976"/>
      <c r="P561" s="2976"/>
      <c r="Q561" s="2976"/>
      <c r="R561" s="2976"/>
      <c r="S561" s="2976"/>
      <c r="T561" s="2976"/>
      <c r="U561" s="2976"/>
      <c r="V561" s="2976"/>
      <c r="W561" s="2976"/>
      <c r="X561" s="2976"/>
      <c r="Y561" s="2976"/>
      <c r="Z561" s="2976"/>
      <c r="AA561" s="2976"/>
      <c r="AB561" s="2976"/>
      <c r="AC561" s="2976"/>
      <c r="AD561" s="2976"/>
      <c r="AE561" s="2976"/>
      <c r="AF561" s="2976"/>
    </row>
    <row r="562" spans="1:32">
      <c r="A562" s="2972">
        <v>561</v>
      </c>
      <c r="B562" s="2974" t="s">
        <v>3234</v>
      </c>
      <c r="C562" s="2982" t="s">
        <v>3156</v>
      </c>
      <c r="D562" s="2972" t="s">
        <v>3183</v>
      </c>
      <c r="E562" s="2974" t="s">
        <v>3148</v>
      </c>
      <c r="F562" s="2974">
        <v>56.78</v>
      </c>
      <c r="G562" s="2974">
        <v>15.67</v>
      </c>
      <c r="H562" s="2974">
        <v>72.45</v>
      </c>
      <c r="I562" s="2974" t="s">
        <v>3055</v>
      </c>
      <c r="J562" s="2974" t="s">
        <v>3155</v>
      </c>
      <c r="L562" s="2976"/>
      <c r="M562" s="2976"/>
      <c r="N562" s="2976"/>
      <c r="O562" s="2976"/>
      <c r="P562" s="2976"/>
      <c r="Q562" s="2976"/>
      <c r="R562" s="2976"/>
      <c r="S562" s="2976"/>
      <c r="T562" s="2976"/>
      <c r="U562" s="2976"/>
      <c r="V562" s="2976"/>
      <c r="W562" s="2976"/>
      <c r="X562" s="2976"/>
      <c r="Y562" s="2976"/>
      <c r="Z562" s="2976"/>
      <c r="AA562" s="2976"/>
      <c r="AB562" s="2976"/>
      <c r="AC562" s="2976"/>
      <c r="AD562" s="2976"/>
      <c r="AE562" s="2976"/>
      <c r="AF562" s="2976"/>
    </row>
    <row r="563" spans="1:32">
      <c r="A563" s="2972">
        <v>562</v>
      </c>
      <c r="B563" s="2974" t="s">
        <v>3234</v>
      </c>
      <c r="C563" s="2982" t="s">
        <v>3156</v>
      </c>
      <c r="D563" s="2972" t="s">
        <v>3183</v>
      </c>
      <c r="E563" s="2974" t="s">
        <v>3149</v>
      </c>
      <c r="F563" s="2974">
        <v>56.75</v>
      </c>
      <c r="G563" s="2974">
        <v>15.66</v>
      </c>
      <c r="H563" s="2974">
        <v>72.41</v>
      </c>
      <c r="I563" s="2974" t="s">
        <v>3055</v>
      </c>
      <c r="J563" s="2974" t="s">
        <v>3155</v>
      </c>
      <c r="L563" s="2976"/>
      <c r="M563" s="2976"/>
      <c r="N563" s="2976"/>
      <c r="O563" s="2976"/>
      <c r="P563" s="2976"/>
      <c r="Q563" s="2976"/>
      <c r="R563" s="2976"/>
      <c r="S563" s="2976"/>
      <c r="T563" s="2976"/>
      <c r="U563" s="2976"/>
      <c r="V563" s="2976"/>
      <c r="W563" s="2976"/>
      <c r="X563" s="2976"/>
      <c r="Y563" s="2976"/>
      <c r="Z563" s="2976"/>
      <c r="AA563" s="2976"/>
      <c r="AB563" s="2976"/>
      <c r="AC563" s="2976"/>
      <c r="AD563" s="2976"/>
      <c r="AE563" s="2976"/>
      <c r="AF563" s="2976"/>
    </row>
    <row r="564" spans="1:32">
      <c r="A564" s="2972">
        <v>563</v>
      </c>
      <c r="B564" s="2974" t="s">
        <v>3234</v>
      </c>
      <c r="C564" s="2982" t="s">
        <v>3156</v>
      </c>
      <c r="D564" s="2972" t="s">
        <v>3183</v>
      </c>
      <c r="E564" s="2974" t="s">
        <v>3150</v>
      </c>
      <c r="F564" s="2974">
        <v>54.01</v>
      </c>
      <c r="G564" s="2974">
        <v>14.91</v>
      </c>
      <c r="H564" s="2974">
        <v>68.92</v>
      </c>
      <c r="I564" s="2974" t="s">
        <v>3055</v>
      </c>
      <c r="J564" s="2974" t="s">
        <v>3154</v>
      </c>
      <c r="L564" s="2976"/>
      <c r="M564" s="2976"/>
      <c r="N564" s="2976"/>
      <c r="O564" s="2976"/>
      <c r="P564" s="2976"/>
      <c r="Q564" s="2976"/>
      <c r="R564" s="2976"/>
      <c r="S564" s="2976"/>
      <c r="T564" s="2976"/>
      <c r="U564" s="2976"/>
      <c r="V564" s="2976"/>
      <c r="W564" s="2976"/>
      <c r="X564" s="2976"/>
      <c r="Y564" s="2976"/>
      <c r="Z564" s="2976"/>
      <c r="AA564" s="2976"/>
      <c r="AB564" s="2976"/>
      <c r="AC564" s="2976"/>
      <c r="AD564" s="2976"/>
      <c r="AE564" s="2976"/>
      <c r="AF564" s="2976"/>
    </row>
    <row r="565" spans="1:32">
      <c r="A565" s="2972">
        <v>564</v>
      </c>
      <c r="B565" s="2974" t="s">
        <v>3234</v>
      </c>
      <c r="C565" s="2982" t="s">
        <v>3157</v>
      </c>
      <c r="D565" s="2972" t="s">
        <v>3183</v>
      </c>
      <c r="E565" s="2974">
        <v>501</v>
      </c>
      <c r="F565" s="2974">
        <v>54.01</v>
      </c>
      <c r="G565" s="2974">
        <v>14.91</v>
      </c>
      <c r="H565" s="2974">
        <v>68.92</v>
      </c>
      <c r="I565" s="2974" t="s">
        <v>3055</v>
      </c>
      <c r="J565" s="2974" t="s">
        <v>3154</v>
      </c>
      <c r="L565" s="2976"/>
      <c r="M565" s="2976"/>
      <c r="N565" s="2976"/>
      <c r="O565" s="2976"/>
      <c r="P565" s="2976"/>
      <c r="Q565" s="2976"/>
      <c r="R565" s="2976"/>
      <c r="S565" s="2976"/>
      <c r="T565" s="2976"/>
      <c r="U565" s="2976"/>
      <c r="V565" s="2976"/>
      <c r="W565" s="2976"/>
      <c r="X565" s="2976"/>
      <c r="Y565" s="2976"/>
      <c r="Z565" s="2976"/>
      <c r="AA565" s="2976"/>
      <c r="AB565" s="2976"/>
      <c r="AC565" s="2976"/>
      <c r="AD565" s="2976"/>
      <c r="AE565" s="2976"/>
      <c r="AF565" s="2976"/>
    </row>
    <row r="566" spans="1:32">
      <c r="A566" s="2972">
        <v>565</v>
      </c>
      <c r="B566" s="2974" t="s">
        <v>3234</v>
      </c>
      <c r="C566" s="2982" t="s">
        <v>3157</v>
      </c>
      <c r="D566" s="2972" t="s">
        <v>3183</v>
      </c>
      <c r="E566" s="2974">
        <v>502</v>
      </c>
      <c r="F566" s="2974">
        <v>56.75</v>
      </c>
      <c r="G566" s="2974">
        <v>15.66</v>
      </c>
      <c r="H566" s="2974">
        <v>72.41</v>
      </c>
      <c r="I566" s="2974" t="s">
        <v>3055</v>
      </c>
      <c r="J566" s="2974" t="s">
        <v>3155</v>
      </c>
      <c r="L566" s="2976"/>
      <c r="M566" s="2976"/>
      <c r="N566" s="2976"/>
      <c r="O566" s="2976"/>
      <c r="P566" s="2976"/>
      <c r="Q566" s="2976"/>
      <c r="R566" s="2976"/>
      <c r="S566" s="2976"/>
      <c r="T566" s="2976"/>
      <c r="U566" s="2976"/>
      <c r="V566" s="2976"/>
      <c r="W566" s="2976"/>
      <c r="X566" s="2976"/>
      <c r="Y566" s="2976"/>
      <c r="Z566" s="2976"/>
      <c r="AA566" s="2976"/>
      <c r="AB566" s="2976"/>
      <c r="AC566" s="2976"/>
      <c r="AD566" s="2976"/>
      <c r="AE566" s="2976"/>
      <c r="AF566" s="2976"/>
    </row>
    <row r="567" spans="1:32">
      <c r="A567" s="2972">
        <v>566</v>
      </c>
      <c r="B567" s="2974" t="s">
        <v>3234</v>
      </c>
      <c r="C567" s="2982" t="s">
        <v>3157</v>
      </c>
      <c r="D567" s="2972" t="s">
        <v>3183</v>
      </c>
      <c r="E567" s="2974">
        <v>503</v>
      </c>
      <c r="F567" s="2974">
        <v>56.78</v>
      </c>
      <c r="G567" s="2974">
        <v>15.67</v>
      </c>
      <c r="H567" s="2974">
        <v>72.45</v>
      </c>
      <c r="I567" s="2974" t="s">
        <v>3055</v>
      </c>
      <c r="J567" s="2974" t="s">
        <v>3155</v>
      </c>
      <c r="L567" s="2976"/>
      <c r="M567" s="2976"/>
      <c r="N567" s="2976"/>
      <c r="O567" s="2976"/>
      <c r="P567" s="2976"/>
      <c r="Q567" s="2976"/>
      <c r="R567" s="2976"/>
      <c r="S567" s="2976"/>
      <c r="T567" s="2976"/>
      <c r="U567" s="2976"/>
      <c r="V567" s="2976"/>
      <c r="W567" s="2976"/>
      <c r="X567" s="2976"/>
      <c r="Y567" s="2976"/>
      <c r="Z567" s="2976"/>
      <c r="AA567" s="2976"/>
      <c r="AB567" s="2976"/>
      <c r="AC567" s="2976"/>
      <c r="AD567" s="2976"/>
      <c r="AE567" s="2976"/>
      <c r="AF567" s="2976"/>
    </row>
    <row r="568" spans="1:32">
      <c r="A568" s="2972">
        <v>567</v>
      </c>
      <c r="B568" s="2974" t="s">
        <v>3234</v>
      </c>
      <c r="C568" s="2982" t="s">
        <v>3157</v>
      </c>
      <c r="D568" s="2972" t="s">
        <v>3183</v>
      </c>
      <c r="E568" s="2974">
        <v>505</v>
      </c>
      <c r="F568" s="2974">
        <v>56.78</v>
      </c>
      <c r="G568" s="2974">
        <v>15.67</v>
      </c>
      <c r="H568" s="2974">
        <v>72.45</v>
      </c>
      <c r="I568" s="2974" t="s">
        <v>3055</v>
      </c>
      <c r="J568" s="2974" t="s">
        <v>3155</v>
      </c>
      <c r="L568" s="2976"/>
      <c r="M568" s="2976"/>
      <c r="N568" s="2976"/>
      <c r="O568" s="2976"/>
      <c r="P568" s="2976"/>
      <c r="Q568" s="2976"/>
      <c r="R568" s="2976"/>
      <c r="S568" s="2976"/>
      <c r="T568" s="2976"/>
      <c r="U568" s="2976"/>
      <c r="V568" s="2976"/>
      <c r="W568" s="2976"/>
      <c r="X568" s="2976"/>
      <c r="Y568" s="2976"/>
      <c r="Z568" s="2976"/>
      <c r="AA568" s="2976"/>
      <c r="AB568" s="2976"/>
      <c r="AC568" s="2976"/>
      <c r="AD568" s="2976"/>
      <c r="AE568" s="2976"/>
      <c r="AF568" s="2976"/>
    </row>
    <row r="569" spans="1:32">
      <c r="A569" s="2972">
        <v>568</v>
      </c>
      <c r="B569" s="2974" t="s">
        <v>3234</v>
      </c>
      <c r="C569" s="2982" t="s">
        <v>3157</v>
      </c>
      <c r="D569" s="2972" t="s">
        <v>3183</v>
      </c>
      <c r="E569" s="2974">
        <v>506</v>
      </c>
      <c r="F569" s="2974">
        <v>56.75</v>
      </c>
      <c r="G569" s="2974">
        <v>15.66</v>
      </c>
      <c r="H569" s="2974">
        <v>72.41</v>
      </c>
      <c r="I569" s="2974" t="s">
        <v>3055</v>
      </c>
      <c r="J569" s="2974" t="s">
        <v>3155</v>
      </c>
      <c r="L569" s="2976"/>
      <c r="M569" s="2976"/>
      <c r="N569" s="2976"/>
      <c r="O569" s="2976"/>
      <c r="P569" s="2976"/>
      <c r="Q569" s="2976"/>
      <c r="R569" s="2976"/>
      <c r="S569" s="2976"/>
      <c r="T569" s="2976"/>
      <c r="U569" s="2976"/>
      <c r="V569" s="2976"/>
      <c r="W569" s="2976"/>
      <c r="X569" s="2976"/>
      <c r="Y569" s="2976"/>
      <c r="Z569" s="2976"/>
      <c r="AA569" s="2976"/>
      <c r="AB569" s="2976"/>
      <c r="AC569" s="2976"/>
      <c r="AD569" s="2976"/>
      <c r="AE569" s="2976"/>
      <c r="AF569" s="2976"/>
    </row>
    <row r="570" spans="1:32">
      <c r="A570" s="2972">
        <v>569</v>
      </c>
      <c r="B570" s="2974" t="s">
        <v>3234</v>
      </c>
      <c r="C570" s="2982" t="s">
        <v>3157</v>
      </c>
      <c r="D570" s="2972" t="s">
        <v>3183</v>
      </c>
      <c r="E570" s="2974">
        <v>507</v>
      </c>
      <c r="F570" s="2974">
        <v>54.01</v>
      </c>
      <c r="G570" s="2974">
        <v>14.91</v>
      </c>
      <c r="H570" s="2974">
        <v>68.92</v>
      </c>
      <c r="I570" s="2974" t="s">
        <v>3055</v>
      </c>
      <c r="J570" s="2974" t="s">
        <v>3154</v>
      </c>
      <c r="L570" s="2976"/>
      <c r="M570" s="2976"/>
      <c r="N570" s="2976"/>
      <c r="O570" s="2976"/>
      <c r="P570" s="2976"/>
      <c r="Q570" s="2976"/>
      <c r="R570" s="2976"/>
      <c r="S570" s="2976"/>
      <c r="T570" s="2976"/>
      <c r="U570" s="2976"/>
      <c r="V570" s="2976"/>
      <c r="W570" s="2976"/>
      <c r="X570" s="2976"/>
      <c r="Y570" s="2976"/>
      <c r="Z570" s="2976"/>
      <c r="AA570" s="2976"/>
      <c r="AB570" s="2976"/>
      <c r="AC570" s="2976"/>
      <c r="AD570" s="2976"/>
      <c r="AE570" s="2976"/>
      <c r="AF570" s="2976"/>
    </row>
    <row r="571" spans="1:32">
      <c r="A571" s="2972">
        <v>570</v>
      </c>
      <c r="B571" s="2974" t="s">
        <v>3234</v>
      </c>
      <c r="C571" s="2982" t="s">
        <v>3158</v>
      </c>
      <c r="D571" s="2972" t="s">
        <v>3183</v>
      </c>
      <c r="E571" s="2974">
        <v>601</v>
      </c>
      <c r="F571" s="2974">
        <v>54.01</v>
      </c>
      <c r="G571" s="2974">
        <v>14.91</v>
      </c>
      <c r="H571" s="2974">
        <v>68.92</v>
      </c>
      <c r="I571" s="2974" t="s">
        <v>3055</v>
      </c>
      <c r="J571" s="2974" t="s">
        <v>3154</v>
      </c>
      <c r="L571" s="2976"/>
      <c r="M571" s="2976"/>
      <c r="N571" s="2976"/>
      <c r="O571" s="2976"/>
      <c r="P571" s="2976"/>
      <c r="Q571" s="2976"/>
      <c r="R571" s="2976"/>
      <c r="S571" s="2976"/>
      <c r="T571" s="2976"/>
      <c r="U571" s="2976"/>
      <c r="V571" s="2976"/>
      <c r="W571" s="2976"/>
      <c r="X571" s="2976"/>
      <c r="Y571" s="2976"/>
      <c r="Z571" s="2976"/>
      <c r="AA571" s="2976"/>
      <c r="AB571" s="2976"/>
      <c r="AC571" s="2976"/>
      <c r="AD571" s="2976"/>
      <c r="AE571" s="2976"/>
      <c r="AF571" s="2976"/>
    </row>
    <row r="572" spans="1:32">
      <c r="A572" s="2972">
        <v>571</v>
      </c>
      <c r="B572" s="2974" t="s">
        <v>3234</v>
      </c>
      <c r="C572" s="2982" t="s">
        <v>3158</v>
      </c>
      <c r="D572" s="2972" t="s">
        <v>3183</v>
      </c>
      <c r="E572" s="2974">
        <v>602</v>
      </c>
      <c r="F572" s="2974">
        <v>56.75</v>
      </c>
      <c r="G572" s="2974">
        <v>15.66</v>
      </c>
      <c r="H572" s="2974">
        <v>72.41</v>
      </c>
      <c r="I572" s="2974" t="s">
        <v>3055</v>
      </c>
      <c r="J572" s="2974" t="s">
        <v>3155</v>
      </c>
      <c r="L572" s="2976"/>
      <c r="M572" s="2976"/>
      <c r="N572" s="2976"/>
      <c r="O572" s="2976"/>
      <c r="P572" s="2976"/>
      <c r="Q572" s="2976"/>
      <c r="R572" s="2976"/>
      <c r="S572" s="2976"/>
      <c r="T572" s="2976"/>
      <c r="U572" s="2976"/>
      <c r="V572" s="2976"/>
      <c r="W572" s="2976"/>
      <c r="X572" s="2976"/>
      <c r="Y572" s="2976"/>
      <c r="Z572" s="2976"/>
      <c r="AA572" s="2976"/>
      <c r="AB572" s="2976"/>
      <c r="AC572" s="2976"/>
      <c r="AD572" s="2976"/>
      <c r="AE572" s="2976"/>
      <c r="AF572" s="2976"/>
    </row>
    <row r="573" spans="1:32">
      <c r="A573" s="2972">
        <v>572</v>
      </c>
      <c r="B573" s="2974" t="s">
        <v>3234</v>
      </c>
      <c r="C573" s="2982" t="s">
        <v>3158</v>
      </c>
      <c r="D573" s="2972" t="s">
        <v>3183</v>
      </c>
      <c r="E573" s="2974">
        <v>603</v>
      </c>
      <c r="F573" s="2974">
        <v>56.78</v>
      </c>
      <c r="G573" s="2974">
        <v>15.67</v>
      </c>
      <c r="H573" s="2974">
        <v>72.45</v>
      </c>
      <c r="I573" s="2974" t="s">
        <v>3055</v>
      </c>
      <c r="J573" s="2974" t="s">
        <v>3155</v>
      </c>
      <c r="L573" s="2976"/>
      <c r="M573" s="2976"/>
      <c r="N573" s="2976"/>
      <c r="O573" s="2976"/>
      <c r="P573" s="2976"/>
      <c r="Q573" s="2976"/>
      <c r="R573" s="2976"/>
      <c r="S573" s="2976"/>
      <c r="T573" s="2976"/>
      <c r="U573" s="2976"/>
      <c r="V573" s="2976"/>
      <c r="W573" s="2976"/>
      <c r="X573" s="2976"/>
      <c r="Y573" s="2976"/>
      <c r="Z573" s="2976"/>
      <c r="AA573" s="2976"/>
      <c r="AB573" s="2976"/>
      <c r="AC573" s="2976"/>
      <c r="AD573" s="2976"/>
      <c r="AE573" s="2976"/>
      <c r="AF573" s="2976"/>
    </row>
    <row r="574" spans="1:32">
      <c r="A574" s="2972">
        <v>573</v>
      </c>
      <c r="B574" s="2974" t="s">
        <v>3234</v>
      </c>
      <c r="C574" s="2982" t="s">
        <v>3158</v>
      </c>
      <c r="D574" s="2972" t="s">
        <v>3183</v>
      </c>
      <c r="E574" s="2974">
        <v>605</v>
      </c>
      <c r="F574" s="2974">
        <v>56.78</v>
      </c>
      <c r="G574" s="2974">
        <v>15.67</v>
      </c>
      <c r="H574" s="2974">
        <v>72.45</v>
      </c>
      <c r="I574" s="2974" t="s">
        <v>3055</v>
      </c>
      <c r="J574" s="2974" t="s">
        <v>3155</v>
      </c>
      <c r="L574" s="2976"/>
      <c r="M574" s="2976"/>
      <c r="N574" s="2976"/>
      <c r="O574" s="2976"/>
      <c r="P574" s="2976"/>
      <c r="Q574" s="2976"/>
      <c r="R574" s="2976"/>
      <c r="S574" s="2976"/>
      <c r="T574" s="2976"/>
      <c r="U574" s="2976"/>
      <c r="V574" s="2976"/>
      <c r="W574" s="2976"/>
      <c r="X574" s="2976"/>
      <c r="Y574" s="2976"/>
      <c r="Z574" s="2976"/>
      <c r="AA574" s="2976"/>
      <c r="AB574" s="2976"/>
      <c r="AC574" s="2976"/>
      <c r="AD574" s="2976"/>
      <c r="AE574" s="2976"/>
      <c r="AF574" s="2976"/>
    </row>
    <row r="575" spans="1:32">
      <c r="A575" s="2972">
        <v>574</v>
      </c>
      <c r="B575" s="2974" t="s">
        <v>3234</v>
      </c>
      <c r="C575" s="2982" t="s">
        <v>3158</v>
      </c>
      <c r="D575" s="2972" t="s">
        <v>3183</v>
      </c>
      <c r="E575" s="2974">
        <v>606</v>
      </c>
      <c r="F575" s="2974">
        <v>56.75</v>
      </c>
      <c r="G575" s="2974">
        <v>15.66</v>
      </c>
      <c r="H575" s="2974">
        <v>72.41</v>
      </c>
      <c r="I575" s="2974" t="s">
        <v>3055</v>
      </c>
      <c r="J575" s="2974" t="s">
        <v>3155</v>
      </c>
      <c r="L575" s="2976"/>
      <c r="M575" s="2976"/>
      <c r="N575" s="2976"/>
      <c r="O575" s="2976"/>
      <c r="P575" s="2976"/>
      <c r="Q575" s="2976"/>
      <c r="R575" s="2976"/>
      <c r="S575" s="2976"/>
      <c r="T575" s="2976"/>
      <c r="U575" s="2976"/>
      <c r="V575" s="2976"/>
      <c r="W575" s="2976"/>
      <c r="X575" s="2976"/>
      <c r="Y575" s="2976"/>
      <c r="Z575" s="2976"/>
      <c r="AA575" s="2976"/>
      <c r="AB575" s="2976"/>
      <c r="AC575" s="2976"/>
      <c r="AD575" s="2976"/>
      <c r="AE575" s="2976"/>
      <c r="AF575" s="2976"/>
    </row>
    <row r="576" spans="1:32">
      <c r="A576" s="2972">
        <v>575</v>
      </c>
      <c r="B576" s="2974" t="s">
        <v>3234</v>
      </c>
      <c r="C576" s="2982" t="s">
        <v>3158</v>
      </c>
      <c r="D576" s="2972" t="s">
        <v>3183</v>
      </c>
      <c r="E576" s="2974">
        <v>607</v>
      </c>
      <c r="F576" s="2974">
        <v>54.01</v>
      </c>
      <c r="G576" s="2974">
        <v>14.91</v>
      </c>
      <c r="H576" s="2974">
        <v>68.92</v>
      </c>
      <c r="I576" s="2974" t="s">
        <v>3055</v>
      </c>
      <c r="J576" s="2974" t="s">
        <v>3154</v>
      </c>
      <c r="L576" s="2976"/>
      <c r="M576" s="2976"/>
      <c r="N576" s="2976"/>
      <c r="O576" s="2976"/>
      <c r="P576" s="2976"/>
      <c r="Q576" s="2976"/>
      <c r="R576" s="2976"/>
      <c r="S576" s="2976"/>
      <c r="T576" s="2976"/>
      <c r="U576" s="2976"/>
      <c r="V576" s="2976"/>
      <c r="W576" s="2976"/>
      <c r="X576" s="2976"/>
      <c r="Y576" s="2976"/>
      <c r="Z576" s="2976"/>
      <c r="AA576" s="2976"/>
      <c r="AB576" s="2976"/>
      <c r="AC576" s="2976"/>
      <c r="AD576" s="2976"/>
      <c r="AE576" s="2976"/>
      <c r="AF576" s="2976"/>
    </row>
    <row r="577" spans="1:32">
      <c r="A577" s="2972">
        <v>576</v>
      </c>
      <c r="B577" s="2974" t="s">
        <v>3235</v>
      </c>
      <c r="C577" s="2982" t="s">
        <v>3153</v>
      </c>
      <c r="D577" s="2972" t="s">
        <v>3183</v>
      </c>
      <c r="E577" s="2982">
        <v>301</v>
      </c>
      <c r="F577" s="2983">
        <v>55.51</v>
      </c>
      <c r="G577" s="2979">
        <v>14.17</v>
      </c>
      <c r="H577" s="2979">
        <v>69.679999999999993</v>
      </c>
      <c r="I577" s="2980" t="s">
        <v>3055</v>
      </c>
      <c r="J577" s="2981" t="s">
        <v>3154</v>
      </c>
      <c r="L577" s="2976"/>
      <c r="M577" s="2976"/>
      <c r="N577" s="2976"/>
      <c r="O577" s="2976"/>
      <c r="P577" s="2976"/>
      <c r="Q577" s="2976"/>
      <c r="R577" s="2976"/>
      <c r="S577" s="2976"/>
      <c r="T577" s="2976"/>
      <c r="U577" s="2976"/>
      <c r="V577" s="2976"/>
      <c r="W577" s="2976"/>
      <c r="X577" s="2976"/>
      <c r="Y577" s="2976"/>
      <c r="Z577" s="2976"/>
      <c r="AA577" s="2976"/>
      <c r="AB577" s="2976"/>
      <c r="AC577" s="2976"/>
      <c r="AD577" s="2976"/>
      <c r="AE577" s="2976"/>
      <c r="AF577" s="2976"/>
    </row>
    <row r="578" spans="1:32">
      <c r="A578" s="2972">
        <v>577</v>
      </c>
      <c r="B578" s="2974" t="s">
        <v>3235</v>
      </c>
      <c r="C578" s="2982" t="s">
        <v>3153</v>
      </c>
      <c r="D578" s="2972" t="s">
        <v>3183</v>
      </c>
      <c r="E578" s="2982">
        <v>302</v>
      </c>
      <c r="F578" s="2983">
        <v>56.75</v>
      </c>
      <c r="G578" s="2979">
        <v>14.48</v>
      </c>
      <c r="H578" s="2979">
        <v>71.23</v>
      </c>
      <c r="I578" s="2980" t="s">
        <v>3055</v>
      </c>
      <c r="J578" s="2981" t="s">
        <v>3155</v>
      </c>
      <c r="L578" s="2976"/>
      <c r="M578" s="2976"/>
      <c r="N578" s="2976"/>
      <c r="O578" s="2976"/>
      <c r="P578" s="2976"/>
      <c r="Q578" s="2976"/>
      <c r="R578" s="2976"/>
      <c r="S578" s="2976"/>
      <c r="T578" s="2976"/>
      <c r="U578" s="2976"/>
      <c r="V578" s="2976"/>
      <c r="W578" s="2976"/>
      <c r="X578" s="2976"/>
      <c r="Y578" s="2976"/>
      <c r="Z578" s="2976"/>
      <c r="AA578" s="2976"/>
      <c r="AB578" s="2976"/>
      <c r="AC578" s="2976"/>
      <c r="AD578" s="2976"/>
      <c r="AE578" s="2976"/>
      <c r="AF578" s="2976"/>
    </row>
    <row r="579" spans="1:32">
      <c r="A579" s="2972">
        <v>578</v>
      </c>
      <c r="B579" s="2974" t="s">
        <v>3235</v>
      </c>
      <c r="C579" s="2982" t="s">
        <v>3153</v>
      </c>
      <c r="D579" s="2972" t="s">
        <v>3183</v>
      </c>
      <c r="E579" s="2982">
        <v>303</v>
      </c>
      <c r="F579" s="2983">
        <v>56.78</v>
      </c>
      <c r="G579" s="2979">
        <v>14.49</v>
      </c>
      <c r="H579" s="2979">
        <v>71.27</v>
      </c>
      <c r="I579" s="2980" t="s">
        <v>3055</v>
      </c>
      <c r="J579" s="2981" t="s">
        <v>3155</v>
      </c>
      <c r="L579" s="2976"/>
      <c r="M579" s="2976"/>
      <c r="N579" s="2976"/>
      <c r="O579" s="2976"/>
      <c r="P579" s="2976"/>
      <c r="Q579" s="2976"/>
      <c r="R579" s="2976"/>
      <c r="S579" s="2976"/>
      <c r="T579" s="2976"/>
      <c r="U579" s="2976"/>
      <c r="V579" s="2976"/>
      <c r="W579" s="2976"/>
      <c r="X579" s="2976"/>
      <c r="Y579" s="2976"/>
      <c r="Z579" s="2976"/>
      <c r="AA579" s="2976"/>
      <c r="AB579" s="2976"/>
      <c r="AC579" s="2976"/>
      <c r="AD579" s="2976"/>
      <c r="AE579" s="2976"/>
      <c r="AF579" s="2976"/>
    </row>
    <row r="580" spans="1:32">
      <c r="A580" s="2972">
        <v>579</v>
      </c>
      <c r="B580" s="2974" t="s">
        <v>3235</v>
      </c>
      <c r="C580" s="2982" t="s">
        <v>3153</v>
      </c>
      <c r="D580" s="2972" t="s">
        <v>3183</v>
      </c>
      <c r="E580" s="2982">
        <v>305</v>
      </c>
      <c r="F580" s="2983">
        <v>56.78</v>
      </c>
      <c r="G580" s="2979">
        <v>14.49</v>
      </c>
      <c r="H580" s="2979">
        <v>71.27</v>
      </c>
      <c r="I580" s="2980" t="s">
        <v>3055</v>
      </c>
      <c r="J580" s="2981" t="s">
        <v>3155</v>
      </c>
      <c r="L580" s="2976"/>
      <c r="M580" s="2976"/>
      <c r="N580" s="2976"/>
      <c r="O580" s="2976"/>
      <c r="P580" s="2976"/>
      <c r="Q580" s="2976"/>
      <c r="R580" s="2976"/>
      <c r="S580" s="2976"/>
      <c r="T580" s="2976"/>
      <c r="U580" s="2976"/>
      <c r="V580" s="2976"/>
      <c r="W580" s="2976"/>
      <c r="X580" s="2976"/>
      <c r="Y580" s="2976"/>
      <c r="Z580" s="2976"/>
      <c r="AA580" s="2976"/>
      <c r="AB580" s="2976"/>
      <c r="AC580" s="2976"/>
      <c r="AD580" s="2976"/>
      <c r="AE580" s="2976"/>
      <c r="AF580" s="2976"/>
    </row>
    <row r="581" spans="1:32">
      <c r="A581" s="2972">
        <v>580</v>
      </c>
      <c r="B581" s="2974" t="s">
        <v>3235</v>
      </c>
      <c r="C581" s="2982" t="s">
        <v>3153</v>
      </c>
      <c r="D581" s="2972" t="s">
        <v>3183</v>
      </c>
      <c r="E581" s="2982">
        <v>306</v>
      </c>
      <c r="F581" s="2983">
        <v>56.78</v>
      </c>
      <c r="G581" s="2979">
        <v>14.49</v>
      </c>
      <c r="H581" s="2979">
        <v>71.27</v>
      </c>
      <c r="I581" s="2980" t="s">
        <v>3055</v>
      </c>
      <c r="J581" s="2981" t="s">
        <v>3155</v>
      </c>
      <c r="L581" s="2976"/>
      <c r="M581" s="2976"/>
      <c r="N581" s="2976"/>
      <c r="O581" s="2976"/>
      <c r="P581" s="2976"/>
      <c r="Q581" s="2976"/>
      <c r="R581" s="2976"/>
      <c r="S581" s="2976"/>
      <c r="T581" s="2976"/>
      <c r="U581" s="2976"/>
      <c r="V581" s="2976"/>
      <c r="W581" s="2976"/>
      <c r="X581" s="2976"/>
      <c r="Y581" s="2976"/>
      <c r="Z581" s="2976"/>
      <c r="AA581" s="2976"/>
      <c r="AB581" s="2976"/>
      <c r="AC581" s="2976"/>
      <c r="AD581" s="2976"/>
      <c r="AE581" s="2976"/>
      <c r="AF581" s="2976"/>
    </row>
    <row r="582" spans="1:32">
      <c r="A582" s="2972">
        <v>581</v>
      </c>
      <c r="B582" s="2974" t="s">
        <v>3235</v>
      </c>
      <c r="C582" s="2982" t="s">
        <v>3153</v>
      </c>
      <c r="D582" s="2972" t="s">
        <v>3183</v>
      </c>
      <c r="E582" s="2982">
        <v>307</v>
      </c>
      <c r="F582" s="2983">
        <v>55.66</v>
      </c>
      <c r="G582" s="2979">
        <v>14.21</v>
      </c>
      <c r="H582" s="2979">
        <v>69.87</v>
      </c>
      <c r="I582" s="2980" t="s">
        <v>3055</v>
      </c>
      <c r="J582" s="2981" t="s">
        <v>3154</v>
      </c>
      <c r="L582" s="2976"/>
      <c r="M582" s="2976"/>
      <c r="N582" s="2976"/>
      <c r="O582" s="2976"/>
      <c r="P582" s="2976"/>
      <c r="Q582" s="2976"/>
      <c r="R582" s="2976"/>
      <c r="S582" s="2976"/>
      <c r="T582" s="2976"/>
      <c r="U582" s="2976"/>
      <c r="V582" s="2976"/>
      <c r="W582" s="2976"/>
      <c r="X582" s="2976"/>
      <c r="Y582" s="2976"/>
      <c r="Z582" s="2976"/>
      <c r="AA582" s="2976"/>
      <c r="AB582" s="2976"/>
      <c r="AC582" s="2976"/>
      <c r="AD582" s="2976"/>
      <c r="AE582" s="2976"/>
      <c r="AF582" s="2976"/>
    </row>
    <row r="583" spans="1:32">
      <c r="A583" s="2972">
        <v>582</v>
      </c>
      <c r="B583" s="2974" t="s">
        <v>3235</v>
      </c>
      <c r="C583" s="2982" t="s">
        <v>3153</v>
      </c>
      <c r="D583" s="2972" t="s">
        <v>3183</v>
      </c>
      <c r="E583" s="2982">
        <v>308</v>
      </c>
      <c r="F583" s="2983">
        <v>52.68</v>
      </c>
      <c r="G583" s="2979">
        <v>13.45</v>
      </c>
      <c r="H583" s="2979">
        <v>66.13</v>
      </c>
      <c r="I583" s="2980" t="s">
        <v>3055</v>
      </c>
      <c r="J583" s="2981" t="s">
        <v>3154</v>
      </c>
      <c r="L583" s="2976"/>
      <c r="M583" s="2976"/>
      <c r="N583" s="2976"/>
      <c r="O583" s="2976"/>
      <c r="P583" s="2976"/>
      <c r="Q583" s="2976"/>
      <c r="R583" s="2976"/>
      <c r="S583" s="2976"/>
      <c r="T583" s="2976"/>
      <c r="U583" s="2976"/>
      <c r="V583" s="2976"/>
      <c r="W583" s="2976"/>
      <c r="X583" s="2976"/>
      <c r="Y583" s="2976"/>
      <c r="Z583" s="2976"/>
      <c r="AA583" s="2976"/>
      <c r="AB583" s="2976"/>
      <c r="AC583" s="2976"/>
      <c r="AD583" s="2976"/>
      <c r="AE583" s="2976"/>
      <c r="AF583" s="2976"/>
    </row>
    <row r="584" spans="1:32">
      <c r="A584" s="2972">
        <v>583</v>
      </c>
      <c r="B584" s="2974" t="s">
        <v>3235</v>
      </c>
      <c r="C584" s="2982" t="s">
        <v>3156</v>
      </c>
      <c r="D584" s="2972" t="s">
        <v>3183</v>
      </c>
      <c r="E584" s="2982" t="s">
        <v>3145</v>
      </c>
      <c r="F584" s="2983">
        <v>55.51</v>
      </c>
      <c r="G584" s="2979">
        <v>14.17</v>
      </c>
      <c r="H584" s="2979">
        <v>69.679999999999993</v>
      </c>
      <c r="I584" s="2980" t="s">
        <v>3055</v>
      </c>
      <c r="J584" s="2981" t="s">
        <v>3154</v>
      </c>
      <c r="L584" s="2976"/>
      <c r="M584" s="2976"/>
      <c r="N584" s="2976"/>
      <c r="O584" s="2976"/>
      <c r="P584" s="2976"/>
      <c r="Q584" s="2976"/>
      <c r="R584" s="2976"/>
      <c r="S584" s="2976"/>
      <c r="T584" s="2976"/>
      <c r="U584" s="2976"/>
      <c r="V584" s="2976"/>
      <c r="W584" s="2976"/>
      <c r="X584" s="2976"/>
      <c r="Y584" s="2976"/>
      <c r="Z584" s="2976"/>
      <c r="AA584" s="2976"/>
      <c r="AB584" s="2976"/>
      <c r="AC584" s="2976"/>
      <c r="AD584" s="2976"/>
      <c r="AE584" s="2976"/>
      <c r="AF584" s="2976"/>
    </row>
    <row r="585" spans="1:32">
      <c r="A585" s="2972">
        <v>584</v>
      </c>
      <c r="B585" s="2974" t="s">
        <v>3235</v>
      </c>
      <c r="C585" s="2982" t="s">
        <v>3156</v>
      </c>
      <c r="D585" s="2972" t="s">
        <v>3183</v>
      </c>
      <c r="E585" s="2982" t="s">
        <v>3146</v>
      </c>
      <c r="F585" s="2983">
        <v>56.75</v>
      </c>
      <c r="G585" s="2979">
        <v>14.48</v>
      </c>
      <c r="H585" s="2979">
        <v>71.23</v>
      </c>
      <c r="I585" s="2980" t="s">
        <v>3055</v>
      </c>
      <c r="J585" s="2981" t="s">
        <v>3155</v>
      </c>
      <c r="L585" s="2976"/>
      <c r="M585" s="2976"/>
      <c r="N585" s="2976"/>
      <c r="O585" s="2976"/>
      <c r="P585" s="2976"/>
      <c r="Q585" s="2976"/>
      <c r="R585" s="2976"/>
      <c r="S585" s="2976"/>
      <c r="T585" s="2976"/>
      <c r="U585" s="2976"/>
      <c r="V585" s="2976"/>
      <c r="W585" s="2976"/>
      <c r="X585" s="2976"/>
      <c r="Y585" s="2976"/>
      <c r="Z585" s="2976"/>
      <c r="AA585" s="2976"/>
      <c r="AB585" s="2976"/>
      <c r="AC585" s="2976"/>
      <c r="AD585" s="2976"/>
      <c r="AE585" s="2976"/>
      <c r="AF585" s="2976"/>
    </row>
    <row r="586" spans="1:32">
      <c r="A586" s="2972">
        <v>585</v>
      </c>
      <c r="B586" s="2974" t="s">
        <v>3235</v>
      </c>
      <c r="C586" s="2982" t="s">
        <v>3156</v>
      </c>
      <c r="D586" s="2972" t="s">
        <v>3183</v>
      </c>
      <c r="E586" s="2982" t="s">
        <v>3147</v>
      </c>
      <c r="F586" s="2983">
        <v>56.78</v>
      </c>
      <c r="G586" s="2979">
        <v>14.49</v>
      </c>
      <c r="H586" s="2979">
        <v>71.27</v>
      </c>
      <c r="I586" s="2980" t="s">
        <v>3055</v>
      </c>
      <c r="J586" s="2981" t="s">
        <v>3155</v>
      </c>
      <c r="L586" s="2976"/>
      <c r="M586" s="2976"/>
      <c r="N586" s="2976"/>
      <c r="O586" s="2976"/>
      <c r="P586" s="2976"/>
      <c r="Q586" s="2976"/>
      <c r="R586" s="2976"/>
      <c r="S586" s="2976"/>
      <c r="T586" s="2976"/>
      <c r="U586" s="2976"/>
      <c r="V586" s="2976"/>
      <c r="W586" s="2976"/>
      <c r="X586" s="2976"/>
      <c r="Y586" s="2976"/>
      <c r="Z586" s="2976"/>
      <c r="AA586" s="2976"/>
      <c r="AB586" s="2976"/>
      <c r="AC586" s="2976"/>
      <c r="AD586" s="2976"/>
      <c r="AE586" s="2976"/>
      <c r="AF586" s="2976"/>
    </row>
    <row r="587" spans="1:32">
      <c r="A587" s="2972">
        <v>586</v>
      </c>
      <c r="B587" s="2974" t="s">
        <v>3235</v>
      </c>
      <c r="C587" s="2982" t="s">
        <v>3156</v>
      </c>
      <c r="D587" s="2972" t="s">
        <v>3183</v>
      </c>
      <c r="E587" s="2982" t="s">
        <v>3148</v>
      </c>
      <c r="F587" s="2983">
        <v>56.78</v>
      </c>
      <c r="G587" s="2979">
        <v>14.49</v>
      </c>
      <c r="H587" s="2979">
        <v>71.27</v>
      </c>
      <c r="I587" s="2980" t="s">
        <v>3055</v>
      </c>
      <c r="J587" s="2981" t="s">
        <v>3155</v>
      </c>
      <c r="L587" s="2976"/>
      <c r="M587" s="2976"/>
      <c r="N587" s="2976"/>
      <c r="O587" s="2976"/>
      <c r="P587" s="2976"/>
      <c r="Q587" s="2976"/>
      <c r="R587" s="2976"/>
      <c r="S587" s="2976"/>
      <c r="T587" s="2976"/>
      <c r="U587" s="2976"/>
      <c r="V587" s="2976"/>
      <c r="W587" s="2976"/>
      <c r="X587" s="2976"/>
      <c r="Y587" s="2976"/>
      <c r="Z587" s="2976"/>
      <c r="AA587" s="2976"/>
      <c r="AB587" s="2976"/>
      <c r="AC587" s="2976"/>
      <c r="AD587" s="2976"/>
      <c r="AE587" s="2976"/>
      <c r="AF587" s="2976"/>
    </row>
    <row r="588" spans="1:32">
      <c r="A588" s="2972">
        <v>587</v>
      </c>
      <c r="B588" s="2974" t="s">
        <v>3235</v>
      </c>
      <c r="C588" s="2982" t="s">
        <v>3156</v>
      </c>
      <c r="D588" s="2972" t="s">
        <v>3183</v>
      </c>
      <c r="E588" s="2982" t="s">
        <v>3149</v>
      </c>
      <c r="F588" s="2983">
        <v>56.78</v>
      </c>
      <c r="G588" s="2979">
        <v>14.49</v>
      </c>
      <c r="H588" s="2979">
        <v>71.27</v>
      </c>
      <c r="I588" s="2980" t="s">
        <v>3055</v>
      </c>
      <c r="J588" s="2981" t="s">
        <v>3155</v>
      </c>
      <c r="L588" s="2976"/>
      <c r="M588" s="2976"/>
      <c r="N588" s="2976"/>
      <c r="O588" s="2976"/>
      <c r="P588" s="2976"/>
      <c r="Q588" s="2976"/>
      <c r="R588" s="2976"/>
      <c r="S588" s="2976"/>
      <c r="T588" s="2976"/>
      <c r="U588" s="2976"/>
      <c r="V588" s="2976"/>
      <c r="W588" s="2976"/>
      <c r="X588" s="2976"/>
      <c r="Y588" s="2976"/>
      <c r="Z588" s="2976"/>
      <c r="AA588" s="2976"/>
      <c r="AB588" s="2976"/>
      <c r="AC588" s="2976"/>
      <c r="AD588" s="2976"/>
      <c r="AE588" s="2976"/>
      <c r="AF588" s="2976"/>
    </row>
    <row r="589" spans="1:32">
      <c r="A589" s="2972">
        <v>588</v>
      </c>
      <c r="B589" s="2974" t="s">
        <v>3235</v>
      </c>
      <c r="C589" s="2982" t="s">
        <v>3156</v>
      </c>
      <c r="D589" s="2972" t="s">
        <v>3183</v>
      </c>
      <c r="E589" s="2982" t="s">
        <v>3150</v>
      </c>
      <c r="F589" s="2983">
        <v>55.66</v>
      </c>
      <c r="G589" s="2979">
        <v>14.21</v>
      </c>
      <c r="H589" s="2979">
        <v>69.87</v>
      </c>
      <c r="I589" s="2980" t="s">
        <v>3055</v>
      </c>
      <c r="J589" s="2981" t="s">
        <v>3154</v>
      </c>
      <c r="L589" s="2976"/>
      <c r="M589" s="2976"/>
      <c r="N589" s="2976"/>
      <c r="O589" s="2976"/>
      <c r="P589" s="2976"/>
      <c r="Q589" s="2976"/>
      <c r="R589" s="2976"/>
      <c r="S589" s="2976"/>
      <c r="T589" s="2976"/>
      <c r="U589" s="2976"/>
      <c r="V589" s="2976"/>
      <c r="W589" s="2976"/>
      <c r="X589" s="2976"/>
      <c r="Y589" s="2976"/>
      <c r="Z589" s="2976"/>
      <c r="AA589" s="2976"/>
      <c r="AB589" s="2976"/>
      <c r="AC589" s="2976"/>
      <c r="AD589" s="2976"/>
      <c r="AE589" s="2976"/>
      <c r="AF589" s="2976"/>
    </row>
    <row r="590" spans="1:32">
      <c r="A590" s="2972">
        <v>589</v>
      </c>
      <c r="B590" s="2974" t="s">
        <v>3235</v>
      </c>
      <c r="C590" s="2982" t="s">
        <v>3156</v>
      </c>
      <c r="D590" s="2972" t="s">
        <v>3183</v>
      </c>
      <c r="E590" s="2982" t="s">
        <v>3151</v>
      </c>
      <c r="F590" s="2983">
        <v>52.68</v>
      </c>
      <c r="G590" s="2979">
        <v>13.45</v>
      </c>
      <c r="H590" s="2979">
        <v>66.13</v>
      </c>
      <c r="I590" s="2980" t="s">
        <v>3055</v>
      </c>
      <c r="J590" s="2981" t="s">
        <v>3154</v>
      </c>
      <c r="L590" s="2976"/>
      <c r="M590" s="2976"/>
      <c r="N590" s="2976"/>
      <c r="O590" s="2976"/>
      <c r="P590" s="2976"/>
      <c r="Q590" s="2976"/>
      <c r="R590" s="2976"/>
      <c r="S590" s="2976"/>
      <c r="T590" s="2976"/>
      <c r="U590" s="2976"/>
      <c r="V590" s="2976"/>
      <c r="W590" s="2976"/>
      <c r="X590" s="2976"/>
      <c r="Y590" s="2976"/>
      <c r="Z590" s="2976"/>
      <c r="AA590" s="2976"/>
      <c r="AB590" s="2976"/>
      <c r="AC590" s="2976"/>
      <c r="AD590" s="2976"/>
      <c r="AE590" s="2976"/>
      <c r="AF590" s="2976"/>
    </row>
    <row r="591" spans="1:32">
      <c r="A591" s="2972">
        <v>590</v>
      </c>
      <c r="B591" s="2974" t="s">
        <v>3235</v>
      </c>
      <c r="C591" s="2982" t="s">
        <v>3157</v>
      </c>
      <c r="D591" s="2972" t="s">
        <v>3183</v>
      </c>
      <c r="E591" s="2982">
        <v>501</v>
      </c>
      <c r="F591" s="2983">
        <v>55.51</v>
      </c>
      <c r="G591" s="2979">
        <v>14.17</v>
      </c>
      <c r="H591" s="2979">
        <v>69.679999999999993</v>
      </c>
      <c r="I591" s="2980" t="s">
        <v>3055</v>
      </c>
      <c r="J591" s="2981" t="s">
        <v>3154</v>
      </c>
      <c r="L591" s="2976"/>
      <c r="M591" s="2976"/>
      <c r="N591" s="2976"/>
      <c r="O591" s="2976"/>
      <c r="P591" s="2976"/>
      <c r="Q591" s="2976"/>
      <c r="R591" s="2976"/>
      <c r="S591" s="2976"/>
      <c r="T591" s="2976"/>
      <c r="U591" s="2976"/>
      <c r="V591" s="2976"/>
      <c r="W591" s="2976"/>
      <c r="X591" s="2976"/>
      <c r="Y591" s="2976"/>
      <c r="Z591" s="2976"/>
      <c r="AA591" s="2976"/>
      <c r="AB591" s="2976"/>
      <c r="AC591" s="2976"/>
      <c r="AD591" s="2976"/>
      <c r="AE591" s="2976"/>
      <c r="AF591" s="2976"/>
    </row>
    <row r="592" spans="1:32">
      <c r="A592" s="2972">
        <v>591</v>
      </c>
      <c r="B592" s="2974" t="s">
        <v>3235</v>
      </c>
      <c r="C592" s="2982" t="s">
        <v>3157</v>
      </c>
      <c r="D592" s="2972" t="s">
        <v>3183</v>
      </c>
      <c r="E592" s="2982">
        <v>502</v>
      </c>
      <c r="F592" s="2983">
        <v>56.75</v>
      </c>
      <c r="G592" s="2979">
        <v>14.48</v>
      </c>
      <c r="H592" s="2979">
        <v>71.23</v>
      </c>
      <c r="I592" s="2980" t="s">
        <v>3055</v>
      </c>
      <c r="J592" s="2981" t="s">
        <v>3155</v>
      </c>
      <c r="L592" s="2976"/>
      <c r="M592" s="2976"/>
      <c r="N592" s="2976"/>
      <c r="O592" s="2976"/>
      <c r="P592" s="2976"/>
      <c r="Q592" s="2976"/>
      <c r="R592" s="2976"/>
      <c r="S592" s="2976"/>
      <c r="T592" s="2976"/>
      <c r="U592" s="2976"/>
      <c r="V592" s="2976"/>
      <c r="W592" s="2976"/>
      <c r="X592" s="2976"/>
      <c r="Y592" s="2976"/>
      <c r="Z592" s="2976"/>
      <c r="AA592" s="2976"/>
      <c r="AB592" s="2976"/>
      <c r="AC592" s="2976"/>
      <c r="AD592" s="2976"/>
      <c r="AE592" s="2976"/>
      <c r="AF592" s="2976"/>
    </row>
    <row r="593" spans="1:32">
      <c r="A593" s="2972">
        <v>592</v>
      </c>
      <c r="B593" s="2974" t="s">
        <v>3235</v>
      </c>
      <c r="C593" s="2982" t="s">
        <v>3157</v>
      </c>
      <c r="D593" s="2972" t="s">
        <v>3183</v>
      </c>
      <c r="E593" s="2982">
        <v>503</v>
      </c>
      <c r="F593" s="2983">
        <v>56.78</v>
      </c>
      <c r="G593" s="2979">
        <v>14.49</v>
      </c>
      <c r="H593" s="2979">
        <v>71.27</v>
      </c>
      <c r="I593" s="2980" t="s">
        <v>3055</v>
      </c>
      <c r="J593" s="2981" t="s">
        <v>3155</v>
      </c>
      <c r="L593" s="2976"/>
      <c r="M593" s="2976"/>
      <c r="N593" s="2976"/>
      <c r="O593" s="2976"/>
      <c r="P593" s="2976"/>
      <c r="Q593" s="2976"/>
      <c r="R593" s="2976"/>
      <c r="S593" s="2976"/>
      <c r="T593" s="2976"/>
      <c r="U593" s="2976"/>
      <c r="V593" s="2976"/>
      <c r="W593" s="2976"/>
      <c r="X593" s="2976"/>
      <c r="Y593" s="2976"/>
      <c r="Z593" s="2976"/>
      <c r="AA593" s="2976"/>
      <c r="AB593" s="2976"/>
      <c r="AC593" s="2976"/>
      <c r="AD593" s="2976"/>
      <c r="AE593" s="2976"/>
      <c r="AF593" s="2976"/>
    </row>
    <row r="594" spans="1:32">
      <c r="A594" s="2972">
        <v>593</v>
      </c>
      <c r="B594" s="2974" t="s">
        <v>3235</v>
      </c>
      <c r="C594" s="2982" t="s">
        <v>3157</v>
      </c>
      <c r="D594" s="2972" t="s">
        <v>3183</v>
      </c>
      <c r="E594" s="2982">
        <v>505</v>
      </c>
      <c r="F594" s="2983">
        <v>56.78</v>
      </c>
      <c r="G594" s="2979">
        <v>14.49</v>
      </c>
      <c r="H594" s="2979">
        <v>71.27</v>
      </c>
      <c r="I594" s="2980" t="s">
        <v>3055</v>
      </c>
      <c r="J594" s="2981" t="s">
        <v>3155</v>
      </c>
      <c r="L594" s="2976"/>
      <c r="M594" s="2976"/>
      <c r="N594" s="2976"/>
      <c r="O594" s="2976"/>
      <c r="P594" s="2976"/>
      <c r="Q594" s="2976"/>
      <c r="R594" s="2976"/>
      <c r="S594" s="2976"/>
      <c r="T594" s="2976"/>
      <c r="U594" s="2976"/>
      <c r="V594" s="2976"/>
      <c r="W594" s="2976"/>
      <c r="X594" s="2976"/>
      <c r="Y594" s="2976"/>
      <c r="Z594" s="2976"/>
      <c r="AA594" s="2976"/>
      <c r="AB594" s="2976"/>
      <c r="AC594" s="2976"/>
      <c r="AD594" s="2976"/>
      <c r="AE594" s="2976"/>
      <c r="AF594" s="2976"/>
    </row>
    <row r="595" spans="1:32">
      <c r="A595" s="2972">
        <v>594</v>
      </c>
      <c r="B595" s="2974" t="s">
        <v>3235</v>
      </c>
      <c r="C595" s="2982" t="s">
        <v>3157</v>
      </c>
      <c r="D595" s="2972" t="s">
        <v>3183</v>
      </c>
      <c r="E595" s="2982">
        <v>506</v>
      </c>
      <c r="F595" s="2983">
        <v>56.78</v>
      </c>
      <c r="G595" s="2979">
        <v>14.49</v>
      </c>
      <c r="H595" s="2979">
        <v>71.27</v>
      </c>
      <c r="I595" s="2980" t="s">
        <v>3055</v>
      </c>
      <c r="J595" s="2981" t="s">
        <v>3155</v>
      </c>
      <c r="L595" s="2976"/>
      <c r="M595" s="2976"/>
      <c r="N595" s="2976"/>
      <c r="O595" s="2976"/>
      <c r="P595" s="2976"/>
      <c r="Q595" s="2976"/>
      <c r="R595" s="2976"/>
      <c r="S595" s="2976"/>
      <c r="T595" s="2976"/>
      <c r="U595" s="2976"/>
      <c r="V595" s="2976"/>
      <c r="W595" s="2976"/>
      <c r="X595" s="2976"/>
      <c r="Y595" s="2976"/>
      <c r="Z595" s="2976"/>
      <c r="AA595" s="2976"/>
      <c r="AB595" s="2976"/>
      <c r="AC595" s="2976"/>
      <c r="AD595" s="2976"/>
      <c r="AE595" s="2976"/>
      <c r="AF595" s="2976"/>
    </row>
    <row r="596" spans="1:32">
      <c r="A596" s="2972">
        <v>595</v>
      </c>
      <c r="B596" s="2974" t="s">
        <v>3235</v>
      </c>
      <c r="C596" s="2982" t="s">
        <v>3157</v>
      </c>
      <c r="D596" s="2972" t="s">
        <v>3183</v>
      </c>
      <c r="E596" s="2982">
        <v>507</v>
      </c>
      <c r="F596" s="2983">
        <v>55.66</v>
      </c>
      <c r="G596" s="2979">
        <v>14.21</v>
      </c>
      <c r="H596" s="2979">
        <v>69.87</v>
      </c>
      <c r="I596" s="2980" t="s">
        <v>3055</v>
      </c>
      <c r="J596" s="2981" t="s">
        <v>3154</v>
      </c>
      <c r="L596" s="2976"/>
      <c r="M596" s="2976"/>
      <c r="N596" s="2976"/>
      <c r="O596" s="2976"/>
      <c r="P596" s="2976"/>
      <c r="Q596" s="2976"/>
      <c r="R596" s="2976"/>
      <c r="S596" s="2976"/>
      <c r="T596" s="2976"/>
      <c r="U596" s="2976"/>
      <c r="V596" s="2976"/>
      <c r="W596" s="2976"/>
      <c r="X596" s="2976"/>
      <c r="Y596" s="2976"/>
      <c r="Z596" s="2976"/>
      <c r="AA596" s="2976"/>
      <c r="AB596" s="2976"/>
      <c r="AC596" s="2976"/>
      <c r="AD596" s="2976"/>
      <c r="AE596" s="2976"/>
      <c r="AF596" s="2976"/>
    </row>
    <row r="597" spans="1:32">
      <c r="A597" s="2972">
        <v>596</v>
      </c>
      <c r="B597" s="2974" t="s">
        <v>3235</v>
      </c>
      <c r="C597" s="2982" t="s">
        <v>3157</v>
      </c>
      <c r="D597" s="2972" t="s">
        <v>3183</v>
      </c>
      <c r="E597" s="2982">
        <v>508</v>
      </c>
      <c r="F597" s="2983">
        <v>52.68</v>
      </c>
      <c r="G597" s="2979">
        <v>13.45</v>
      </c>
      <c r="H597" s="2979">
        <v>66.13</v>
      </c>
      <c r="I597" s="2980" t="s">
        <v>3055</v>
      </c>
      <c r="J597" s="2981" t="s">
        <v>3154</v>
      </c>
      <c r="L597" s="2976"/>
      <c r="M597" s="2976"/>
      <c r="N597" s="2976"/>
      <c r="O597" s="2976"/>
      <c r="P597" s="2976"/>
      <c r="Q597" s="2976"/>
      <c r="R597" s="2976"/>
      <c r="S597" s="2976"/>
      <c r="T597" s="2976"/>
      <c r="U597" s="2976"/>
      <c r="V597" s="2976"/>
      <c r="W597" s="2976"/>
      <c r="X597" s="2976"/>
      <c r="Y597" s="2976"/>
      <c r="Z597" s="2976"/>
      <c r="AA597" s="2976"/>
      <c r="AB597" s="2976"/>
      <c r="AC597" s="2976"/>
      <c r="AD597" s="2976"/>
      <c r="AE597" s="2976"/>
      <c r="AF597" s="2976"/>
    </row>
    <row r="598" spans="1:32">
      <c r="A598" s="2972">
        <v>597</v>
      </c>
      <c r="B598" s="2974" t="s">
        <v>3236</v>
      </c>
      <c r="C598" s="2982" t="s">
        <v>3152</v>
      </c>
      <c r="D598" s="2972" t="s">
        <v>3183</v>
      </c>
      <c r="E598" s="2982">
        <v>101</v>
      </c>
      <c r="F598" s="2983">
        <v>54.01</v>
      </c>
      <c r="G598" s="2979">
        <v>12.99</v>
      </c>
      <c r="H598" s="2979">
        <v>67</v>
      </c>
      <c r="I598" s="2974" t="s">
        <v>3055</v>
      </c>
      <c r="J598" s="2981" t="s">
        <v>3154</v>
      </c>
      <c r="L598" s="2976"/>
      <c r="M598" s="2976"/>
      <c r="N598" s="2976"/>
      <c r="O598" s="2976"/>
      <c r="P598" s="2976"/>
      <c r="Q598" s="2976"/>
      <c r="R598" s="2976"/>
      <c r="S598" s="2976"/>
      <c r="T598" s="2976"/>
      <c r="U598" s="2976"/>
      <c r="V598" s="2976"/>
      <c r="W598" s="2976"/>
      <c r="X598" s="2976"/>
      <c r="Y598" s="2976"/>
      <c r="Z598" s="2976"/>
      <c r="AA598" s="2976"/>
      <c r="AB598" s="2976"/>
      <c r="AC598" s="2976"/>
      <c r="AD598" s="2976"/>
      <c r="AE598" s="2976"/>
      <c r="AF598" s="2976"/>
    </row>
    <row r="599" spans="1:32">
      <c r="A599" s="2972">
        <v>598</v>
      </c>
      <c r="B599" s="2974" t="s">
        <v>3236</v>
      </c>
      <c r="C599" s="2982" t="s">
        <v>3152</v>
      </c>
      <c r="D599" s="2972" t="s">
        <v>3183</v>
      </c>
      <c r="E599" s="2982">
        <v>102</v>
      </c>
      <c r="F599" s="2983">
        <v>56.75</v>
      </c>
      <c r="G599" s="2979">
        <v>13.65</v>
      </c>
      <c r="H599" s="2979">
        <v>70.400000000000006</v>
      </c>
      <c r="I599" s="2974" t="s">
        <v>3055</v>
      </c>
      <c r="J599" s="2981" t="s">
        <v>3155</v>
      </c>
      <c r="L599" s="2976"/>
      <c r="M599" s="2976"/>
      <c r="N599" s="2976"/>
      <c r="O599" s="2976"/>
      <c r="P599" s="2976"/>
      <c r="Q599" s="2976"/>
      <c r="R599" s="2976"/>
      <c r="S599" s="2976"/>
      <c r="T599" s="2976"/>
      <c r="U599" s="2976"/>
      <c r="V599" s="2976"/>
      <c r="W599" s="2976"/>
      <c r="X599" s="2976"/>
      <c r="Y599" s="2976"/>
      <c r="Z599" s="2976"/>
      <c r="AA599" s="2976"/>
      <c r="AB599" s="2976"/>
      <c r="AC599" s="2976"/>
      <c r="AD599" s="2976"/>
      <c r="AE599" s="2976"/>
      <c r="AF599" s="2976"/>
    </row>
    <row r="600" spans="1:32">
      <c r="A600" s="2972">
        <v>599</v>
      </c>
      <c r="B600" s="2974" t="s">
        <v>3236</v>
      </c>
      <c r="C600" s="2982" t="s">
        <v>3152</v>
      </c>
      <c r="D600" s="2972" t="s">
        <v>3183</v>
      </c>
      <c r="E600" s="2982">
        <v>103</v>
      </c>
      <c r="F600" s="2983">
        <v>56.78</v>
      </c>
      <c r="G600" s="2979">
        <v>13.66</v>
      </c>
      <c r="H600" s="2979">
        <v>70.44</v>
      </c>
      <c r="I600" s="2974" t="s">
        <v>3055</v>
      </c>
      <c r="J600" s="2981" t="s">
        <v>3155</v>
      </c>
      <c r="L600" s="2976"/>
      <c r="M600" s="2976"/>
      <c r="N600" s="2976"/>
      <c r="O600" s="2976"/>
      <c r="P600" s="2976"/>
      <c r="Q600" s="2976"/>
      <c r="R600" s="2976"/>
      <c r="S600" s="2976"/>
      <c r="T600" s="2976"/>
      <c r="U600" s="2976"/>
      <c r="V600" s="2976"/>
      <c r="W600" s="2976"/>
      <c r="X600" s="2976"/>
      <c r="Y600" s="2976"/>
      <c r="Z600" s="2976"/>
      <c r="AA600" s="2976"/>
      <c r="AB600" s="2976"/>
      <c r="AC600" s="2976"/>
      <c r="AD600" s="2976"/>
      <c r="AE600" s="2976"/>
      <c r="AF600" s="2976"/>
    </row>
    <row r="601" spans="1:32">
      <c r="A601" s="2972">
        <v>600</v>
      </c>
      <c r="B601" s="2974" t="s">
        <v>3236</v>
      </c>
      <c r="C601" s="2982" t="s">
        <v>3152</v>
      </c>
      <c r="D601" s="2972" t="s">
        <v>3183</v>
      </c>
      <c r="E601" s="2982">
        <v>105</v>
      </c>
      <c r="F601" s="2983">
        <v>56.75</v>
      </c>
      <c r="G601" s="2979">
        <v>13.65</v>
      </c>
      <c r="H601" s="2979">
        <v>70.400000000000006</v>
      </c>
      <c r="I601" s="2974" t="s">
        <v>3055</v>
      </c>
      <c r="J601" s="2981" t="s">
        <v>3155</v>
      </c>
      <c r="L601" s="2976"/>
      <c r="M601" s="2976"/>
      <c r="N601" s="2976"/>
      <c r="O601" s="2976"/>
      <c r="P601" s="2976"/>
      <c r="Q601" s="2976"/>
      <c r="R601" s="2976"/>
      <c r="S601" s="2976"/>
      <c r="T601" s="2976"/>
      <c r="U601" s="2976"/>
      <c r="V601" s="2976"/>
      <c r="W601" s="2976"/>
      <c r="X601" s="2976"/>
      <c r="Y601" s="2976"/>
      <c r="Z601" s="2976"/>
      <c r="AA601" s="2976"/>
      <c r="AB601" s="2976"/>
      <c r="AC601" s="2976"/>
      <c r="AD601" s="2976"/>
      <c r="AE601" s="2976"/>
      <c r="AF601" s="2976"/>
    </row>
    <row r="602" spans="1:32">
      <c r="A602" s="2972">
        <v>601</v>
      </c>
      <c r="B602" s="2974" t="s">
        <v>3236</v>
      </c>
      <c r="C602" s="2982" t="s">
        <v>3159</v>
      </c>
      <c r="D602" s="2972" t="s">
        <v>3183</v>
      </c>
      <c r="E602" s="2982">
        <v>201</v>
      </c>
      <c r="F602" s="2983">
        <v>54.01</v>
      </c>
      <c r="G602" s="2979">
        <v>12.99</v>
      </c>
      <c r="H602" s="2979">
        <v>67</v>
      </c>
      <c r="I602" s="2974" t="s">
        <v>3055</v>
      </c>
      <c r="J602" s="2981" t="s">
        <v>3154</v>
      </c>
      <c r="L602" s="2976"/>
      <c r="M602" s="2976"/>
      <c r="N602" s="2976"/>
      <c r="O602" s="2976"/>
      <c r="P602" s="2976"/>
      <c r="Q602" s="2976"/>
      <c r="R602" s="2976"/>
      <c r="S602" s="2976"/>
      <c r="T602" s="2976"/>
      <c r="U602" s="2976"/>
      <c r="V602" s="2976"/>
      <c r="W602" s="2976"/>
      <c r="X602" s="2976"/>
      <c r="Y602" s="2976"/>
      <c r="Z602" s="2976"/>
      <c r="AA602" s="2976"/>
      <c r="AB602" s="2976"/>
      <c r="AC602" s="2976"/>
      <c r="AD602" s="2976"/>
      <c r="AE602" s="2976"/>
      <c r="AF602" s="2976"/>
    </row>
    <row r="603" spans="1:32">
      <c r="A603" s="2972">
        <v>602</v>
      </c>
      <c r="B603" s="2974" t="s">
        <v>3236</v>
      </c>
      <c r="C603" s="2982" t="s">
        <v>3159</v>
      </c>
      <c r="D603" s="2972" t="s">
        <v>3183</v>
      </c>
      <c r="E603" s="2982">
        <v>202</v>
      </c>
      <c r="F603" s="2983">
        <v>56.75</v>
      </c>
      <c r="G603" s="2979">
        <v>13.65</v>
      </c>
      <c r="H603" s="2979">
        <v>70.400000000000006</v>
      </c>
      <c r="I603" s="2974" t="s">
        <v>3055</v>
      </c>
      <c r="J603" s="2981" t="s">
        <v>3155</v>
      </c>
      <c r="L603" s="2976"/>
      <c r="M603" s="2976"/>
      <c r="N603" s="2976"/>
      <c r="O603" s="2976"/>
      <c r="P603" s="2976"/>
      <c r="Q603" s="2976"/>
      <c r="R603" s="2976"/>
      <c r="S603" s="2976"/>
      <c r="T603" s="2976"/>
      <c r="U603" s="2976"/>
      <c r="V603" s="2976"/>
      <c r="W603" s="2976"/>
      <c r="X603" s="2976"/>
      <c r="Y603" s="2976"/>
      <c r="Z603" s="2976"/>
      <c r="AA603" s="2976"/>
      <c r="AB603" s="2976"/>
      <c r="AC603" s="2976"/>
      <c r="AD603" s="2976"/>
      <c r="AE603" s="2976"/>
      <c r="AF603" s="2976"/>
    </row>
    <row r="604" spans="1:32">
      <c r="A604" s="2972">
        <v>603</v>
      </c>
      <c r="B604" s="2974" t="s">
        <v>3236</v>
      </c>
      <c r="C604" s="2982" t="s">
        <v>3159</v>
      </c>
      <c r="D604" s="2972" t="s">
        <v>3183</v>
      </c>
      <c r="E604" s="2982">
        <v>203</v>
      </c>
      <c r="F604" s="2983">
        <v>56.78</v>
      </c>
      <c r="G604" s="2979">
        <v>13.66</v>
      </c>
      <c r="H604" s="2979">
        <v>70.44</v>
      </c>
      <c r="I604" s="2974" t="s">
        <v>3055</v>
      </c>
      <c r="J604" s="2981" t="s">
        <v>3155</v>
      </c>
      <c r="L604" s="2976"/>
      <c r="M604" s="2976"/>
      <c r="N604" s="2976"/>
      <c r="O604" s="2976"/>
      <c r="P604" s="2976"/>
      <c r="Q604" s="2976"/>
      <c r="R604" s="2976"/>
      <c r="S604" s="2976"/>
      <c r="T604" s="2976"/>
      <c r="U604" s="2976"/>
      <c r="V604" s="2976"/>
      <c r="W604" s="2976"/>
      <c r="X604" s="2976"/>
      <c r="Y604" s="2976"/>
      <c r="Z604" s="2976"/>
      <c r="AA604" s="2976"/>
      <c r="AB604" s="2976"/>
      <c r="AC604" s="2976"/>
      <c r="AD604" s="2976"/>
      <c r="AE604" s="2976"/>
      <c r="AF604" s="2976"/>
    </row>
    <row r="605" spans="1:32">
      <c r="A605" s="2972">
        <v>604</v>
      </c>
      <c r="B605" s="2974" t="s">
        <v>3236</v>
      </c>
      <c r="C605" s="2982" t="s">
        <v>3159</v>
      </c>
      <c r="D605" s="2972" t="s">
        <v>3183</v>
      </c>
      <c r="E605" s="2982">
        <v>205</v>
      </c>
      <c r="F605" s="2983">
        <v>56.78</v>
      </c>
      <c r="G605" s="2979">
        <v>13.66</v>
      </c>
      <c r="H605" s="2979">
        <v>70.44</v>
      </c>
      <c r="I605" s="2974" t="s">
        <v>3055</v>
      </c>
      <c r="J605" s="2981" t="s">
        <v>3155</v>
      </c>
      <c r="L605" s="2976"/>
      <c r="M605" s="2976"/>
      <c r="N605" s="2976"/>
      <c r="O605" s="2976"/>
      <c r="P605" s="2976"/>
      <c r="Q605" s="2976"/>
      <c r="R605" s="2976"/>
      <c r="S605" s="2976"/>
      <c r="T605" s="2976"/>
      <c r="U605" s="2976"/>
      <c r="V605" s="2976"/>
      <c r="W605" s="2976"/>
      <c r="X605" s="2976"/>
      <c r="Y605" s="2976"/>
      <c r="Z605" s="2976"/>
      <c r="AA605" s="2976"/>
      <c r="AB605" s="2976"/>
      <c r="AC605" s="2976"/>
      <c r="AD605" s="2976"/>
      <c r="AE605" s="2976"/>
      <c r="AF605" s="2976"/>
    </row>
    <row r="606" spans="1:32">
      <c r="A606" s="2972">
        <v>605</v>
      </c>
      <c r="B606" s="2974" t="s">
        <v>3236</v>
      </c>
      <c r="C606" s="2982" t="s">
        <v>3159</v>
      </c>
      <c r="D606" s="2972" t="s">
        <v>3183</v>
      </c>
      <c r="E606" s="2982">
        <v>206</v>
      </c>
      <c r="F606" s="2983">
        <v>56.75</v>
      </c>
      <c r="G606" s="2979">
        <v>13.65</v>
      </c>
      <c r="H606" s="2979">
        <v>70.400000000000006</v>
      </c>
      <c r="I606" s="2974" t="s">
        <v>3055</v>
      </c>
      <c r="J606" s="2981" t="s">
        <v>3155</v>
      </c>
      <c r="L606" s="2976"/>
      <c r="M606" s="2976"/>
      <c r="N606" s="2976"/>
      <c r="O606" s="2976"/>
      <c r="P606" s="2976"/>
      <c r="Q606" s="2976"/>
      <c r="R606" s="2976"/>
      <c r="S606" s="2976"/>
      <c r="T606" s="2976"/>
      <c r="U606" s="2976"/>
      <c r="V606" s="2976"/>
      <c r="W606" s="2976"/>
      <c r="X606" s="2976"/>
      <c r="Y606" s="2976"/>
      <c r="Z606" s="2976"/>
      <c r="AA606" s="2976"/>
      <c r="AB606" s="2976"/>
      <c r="AC606" s="2976"/>
      <c r="AD606" s="2976"/>
      <c r="AE606" s="2976"/>
      <c r="AF606" s="2976"/>
    </row>
    <row r="607" spans="1:32">
      <c r="A607" s="2972">
        <v>606</v>
      </c>
      <c r="B607" s="2974" t="s">
        <v>3236</v>
      </c>
      <c r="C607" s="2982" t="s">
        <v>3153</v>
      </c>
      <c r="D607" s="2972" t="s">
        <v>3183</v>
      </c>
      <c r="E607" s="2982">
        <v>301</v>
      </c>
      <c r="F607" s="2983">
        <v>54.01</v>
      </c>
      <c r="G607" s="2979">
        <v>12.99</v>
      </c>
      <c r="H607" s="2979">
        <v>67</v>
      </c>
      <c r="I607" s="2974" t="s">
        <v>3055</v>
      </c>
      <c r="J607" s="2981" t="s">
        <v>3154</v>
      </c>
      <c r="L607" s="2976"/>
      <c r="M607" s="2976"/>
      <c r="N607" s="2976"/>
      <c r="O607" s="2976"/>
      <c r="P607" s="2976"/>
      <c r="Q607" s="2976"/>
      <c r="R607" s="2976"/>
      <c r="S607" s="2976"/>
      <c r="T607" s="2976"/>
      <c r="U607" s="2976"/>
      <c r="V607" s="2976"/>
      <c r="W607" s="2976"/>
      <c r="X607" s="2976"/>
      <c r="Y607" s="2976"/>
      <c r="Z607" s="2976"/>
      <c r="AA607" s="2976"/>
      <c r="AB607" s="2976"/>
      <c r="AC607" s="2976"/>
      <c r="AD607" s="2976"/>
      <c r="AE607" s="2976"/>
      <c r="AF607" s="2976"/>
    </row>
    <row r="608" spans="1:32">
      <c r="A608" s="2972">
        <v>607</v>
      </c>
      <c r="B608" s="2974" t="s">
        <v>3236</v>
      </c>
      <c r="C608" s="2982" t="s">
        <v>3153</v>
      </c>
      <c r="D608" s="2972" t="s">
        <v>3183</v>
      </c>
      <c r="E608" s="2982">
        <v>302</v>
      </c>
      <c r="F608" s="2983">
        <v>56.75</v>
      </c>
      <c r="G608" s="2979">
        <v>13.65</v>
      </c>
      <c r="H608" s="2979">
        <v>70.400000000000006</v>
      </c>
      <c r="I608" s="2974" t="s">
        <v>3055</v>
      </c>
      <c r="J608" s="2981" t="s">
        <v>3155</v>
      </c>
      <c r="L608" s="2976"/>
      <c r="M608" s="2976"/>
      <c r="N608" s="2976"/>
      <c r="O608" s="2976"/>
      <c r="P608" s="2976"/>
      <c r="Q608" s="2976"/>
      <c r="R608" s="2976"/>
      <c r="S608" s="2976"/>
      <c r="T608" s="2976"/>
      <c r="U608" s="2976"/>
      <c r="V608" s="2976"/>
      <c r="W608" s="2976"/>
      <c r="X608" s="2976"/>
      <c r="Y608" s="2976"/>
      <c r="Z608" s="2976"/>
      <c r="AA608" s="2976"/>
      <c r="AB608" s="2976"/>
      <c r="AC608" s="2976"/>
      <c r="AD608" s="2976"/>
      <c r="AE608" s="2976"/>
      <c r="AF608" s="2976"/>
    </row>
    <row r="609" spans="1:32">
      <c r="A609" s="2972">
        <v>608</v>
      </c>
      <c r="B609" s="2974" t="s">
        <v>3236</v>
      </c>
      <c r="C609" s="2982" t="s">
        <v>3153</v>
      </c>
      <c r="D609" s="2972" t="s">
        <v>3183</v>
      </c>
      <c r="E609" s="2982">
        <v>303</v>
      </c>
      <c r="F609" s="2983">
        <v>56.78</v>
      </c>
      <c r="G609" s="2979">
        <v>13.66</v>
      </c>
      <c r="H609" s="2979">
        <v>70.44</v>
      </c>
      <c r="I609" s="2974" t="s">
        <v>3055</v>
      </c>
      <c r="J609" s="2981" t="s">
        <v>3155</v>
      </c>
      <c r="L609" s="2976"/>
      <c r="M609" s="2976"/>
      <c r="N609" s="2976"/>
      <c r="O609" s="2976"/>
      <c r="P609" s="2976"/>
      <c r="Q609" s="2976"/>
      <c r="R609" s="2976"/>
      <c r="S609" s="2976"/>
      <c r="T609" s="2976"/>
      <c r="U609" s="2976"/>
      <c r="V609" s="2976"/>
      <c r="W609" s="2976"/>
      <c r="X609" s="2976"/>
      <c r="Y609" s="2976"/>
      <c r="Z609" s="2976"/>
      <c r="AA609" s="2976"/>
      <c r="AB609" s="2976"/>
      <c r="AC609" s="2976"/>
      <c r="AD609" s="2976"/>
      <c r="AE609" s="2976"/>
      <c r="AF609" s="2976"/>
    </row>
    <row r="610" spans="1:32">
      <c r="A610" s="2972">
        <v>609</v>
      </c>
      <c r="B610" s="2974" t="s">
        <v>3236</v>
      </c>
      <c r="C610" s="2982" t="s">
        <v>3153</v>
      </c>
      <c r="D610" s="2972" t="s">
        <v>3183</v>
      </c>
      <c r="E610" s="2982">
        <v>305</v>
      </c>
      <c r="F610" s="2983">
        <v>56.78</v>
      </c>
      <c r="G610" s="2979">
        <v>13.66</v>
      </c>
      <c r="H610" s="2979">
        <v>70.44</v>
      </c>
      <c r="I610" s="2974" t="s">
        <v>3055</v>
      </c>
      <c r="J610" s="2981" t="s">
        <v>3155</v>
      </c>
      <c r="L610" s="2976"/>
      <c r="M610" s="2976"/>
      <c r="N610" s="2976"/>
      <c r="O610" s="2976"/>
      <c r="P610" s="2976"/>
      <c r="Q610" s="2976"/>
      <c r="R610" s="2976"/>
      <c r="S610" s="2976"/>
      <c r="T610" s="2976"/>
      <c r="U610" s="2976"/>
      <c r="V610" s="2976"/>
      <c r="W610" s="2976"/>
      <c r="X610" s="2976"/>
      <c r="Y610" s="2976"/>
      <c r="Z610" s="2976"/>
      <c r="AA610" s="2976"/>
      <c r="AB610" s="2976"/>
      <c r="AC610" s="2976"/>
      <c r="AD610" s="2976"/>
      <c r="AE610" s="2976"/>
      <c r="AF610" s="2976"/>
    </row>
    <row r="611" spans="1:32">
      <c r="A611" s="2972">
        <v>610</v>
      </c>
      <c r="B611" s="2974" t="s">
        <v>3236</v>
      </c>
      <c r="C611" s="2982" t="s">
        <v>3153</v>
      </c>
      <c r="D611" s="2972" t="s">
        <v>3183</v>
      </c>
      <c r="E611" s="2982">
        <v>306</v>
      </c>
      <c r="F611" s="2983">
        <v>56.75</v>
      </c>
      <c r="G611" s="2979">
        <v>13.65</v>
      </c>
      <c r="H611" s="2979">
        <v>70.400000000000006</v>
      </c>
      <c r="I611" s="2974" t="s">
        <v>3055</v>
      </c>
      <c r="J611" s="2981" t="s">
        <v>3155</v>
      </c>
      <c r="L611" s="2976"/>
      <c r="M611" s="2976"/>
      <c r="N611" s="2976"/>
      <c r="O611" s="2976"/>
      <c r="P611" s="2976"/>
      <c r="Q611" s="2976"/>
      <c r="R611" s="2976"/>
      <c r="S611" s="2976"/>
      <c r="T611" s="2976"/>
      <c r="U611" s="2976"/>
      <c r="V611" s="2976"/>
      <c r="W611" s="2976"/>
      <c r="X611" s="2976"/>
      <c r="Y611" s="2976"/>
      <c r="Z611" s="2976"/>
      <c r="AA611" s="2976"/>
      <c r="AB611" s="2976"/>
      <c r="AC611" s="2976"/>
      <c r="AD611" s="2976"/>
      <c r="AE611" s="2976"/>
      <c r="AF611" s="2976"/>
    </row>
    <row r="612" spans="1:32">
      <c r="A612" s="2972">
        <v>611</v>
      </c>
      <c r="B612" s="2974" t="s">
        <v>3236</v>
      </c>
      <c r="C612" s="2982" t="s">
        <v>3153</v>
      </c>
      <c r="D612" s="2972" t="s">
        <v>3183</v>
      </c>
      <c r="E612" s="2982">
        <v>307</v>
      </c>
      <c r="F612" s="2983">
        <v>54.01</v>
      </c>
      <c r="G612" s="2979">
        <v>12.99</v>
      </c>
      <c r="H612" s="2979">
        <v>67</v>
      </c>
      <c r="I612" s="2974" t="s">
        <v>3055</v>
      </c>
      <c r="J612" s="2981" t="s">
        <v>3154</v>
      </c>
      <c r="L612" s="2976"/>
      <c r="M612" s="2976"/>
      <c r="N612" s="2976"/>
      <c r="O612" s="2976"/>
      <c r="P612" s="2976"/>
      <c r="Q612" s="2976"/>
      <c r="R612" s="2976"/>
      <c r="S612" s="2976"/>
      <c r="T612" s="2976"/>
      <c r="U612" s="2976"/>
      <c r="V612" s="2976"/>
      <c r="W612" s="2976"/>
      <c r="X612" s="2976"/>
      <c r="Y612" s="2976"/>
      <c r="Z612" s="2976"/>
      <c r="AA612" s="2976"/>
      <c r="AB612" s="2976"/>
      <c r="AC612" s="2976"/>
      <c r="AD612" s="2976"/>
      <c r="AE612" s="2976"/>
      <c r="AF612" s="2976"/>
    </row>
    <row r="613" spans="1:32">
      <c r="A613" s="2972">
        <v>612</v>
      </c>
      <c r="B613" s="2974" t="s">
        <v>3236</v>
      </c>
      <c r="C613" s="2982" t="s">
        <v>3156</v>
      </c>
      <c r="D613" s="2972" t="s">
        <v>3183</v>
      </c>
      <c r="E613" s="2982" t="s">
        <v>3145</v>
      </c>
      <c r="F613" s="2983">
        <v>54.01</v>
      </c>
      <c r="G613" s="2979">
        <v>12.99</v>
      </c>
      <c r="H613" s="2979">
        <v>67</v>
      </c>
      <c r="I613" s="2974" t="s">
        <v>3055</v>
      </c>
      <c r="J613" s="2981" t="s">
        <v>3154</v>
      </c>
      <c r="L613" s="2976"/>
      <c r="M613" s="2976"/>
      <c r="N613" s="2976"/>
      <c r="O613" s="2976"/>
      <c r="P613" s="2976"/>
      <c r="Q613" s="2976"/>
      <c r="R613" s="2976"/>
      <c r="S613" s="2976"/>
      <c r="T613" s="2976"/>
      <c r="U613" s="2976"/>
      <c r="V613" s="2976"/>
      <c r="W613" s="2976"/>
      <c r="X613" s="2976"/>
      <c r="Y613" s="2976"/>
      <c r="Z613" s="2976"/>
      <c r="AA613" s="2976"/>
      <c r="AB613" s="2976"/>
      <c r="AC613" s="2976"/>
      <c r="AD613" s="2976"/>
      <c r="AE613" s="2976"/>
      <c r="AF613" s="2976"/>
    </row>
    <row r="614" spans="1:32">
      <c r="A614" s="2972">
        <v>613</v>
      </c>
      <c r="B614" s="2974" t="s">
        <v>3236</v>
      </c>
      <c r="C614" s="2982" t="s">
        <v>3156</v>
      </c>
      <c r="D614" s="2972" t="s">
        <v>3183</v>
      </c>
      <c r="E614" s="2982" t="s">
        <v>3146</v>
      </c>
      <c r="F614" s="2983">
        <v>56.75</v>
      </c>
      <c r="G614" s="2979">
        <v>13.65</v>
      </c>
      <c r="H614" s="2979">
        <v>70.400000000000006</v>
      </c>
      <c r="I614" s="2974" t="s">
        <v>3055</v>
      </c>
      <c r="J614" s="2981" t="s">
        <v>3155</v>
      </c>
      <c r="L614" s="2976"/>
      <c r="M614" s="2976"/>
      <c r="N614" s="2976"/>
      <c r="O614" s="2976"/>
      <c r="P614" s="2976"/>
      <c r="Q614" s="2976"/>
      <c r="R614" s="2976"/>
      <c r="S614" s="2976"/>
      <c r="T614" s="2976"/>
      <c r="U614" s="2976"/>
      <c r="V614" s="2976"/>
      <c r="W614" s="2976"/>
      <c r="X614" s="2976"/>
      <c r="Y614" s="2976"/>
      <c r="Z614" s="2976"/>
      <c r="AA614" s="2976"/>
      <c r="AB614" s="2976"/>
      <c r="AC614" s="2976"/>
      <c r="AD614" s="2976"/>
      <c r="AE614" s="2976"/>
      <c r="AF614" s="2976"/>
    </row>
    <row r="615" spans="1:32">
      <c r="A615" s="2972">
        <v>614</v>
      </c>
      <c r="B615" s="2974" t="s">
        <v>3236</v>
      </c>
      <c r="C615" s="2982" t="s">
        <v>3156</v>
      </c>
      <c r="D615" s="2972" t="s">
        <v>3183</v>
      </c>
      <c r="E615" s="2982" t="s">
        <v>3147</v>
      </c>
      <c r="F615" s="2983">
        <v>56.78</v>
      </c>
      <c r="G615" s="2979">
        <v>13.66</v>
      </c>
      <c r="H615" s="2979">
        <v>70.44</v>
      </c>
      <c r="I615" s="2974" t="s">
        <v>3055</v>
      </c>
      <c r="J615" s="2981" t="s">
        <v>3155</v>
      </c>
      <c r="L615" s="2976"/>
      <c r="M615" s="2976"/>
      <c r="N615" s="2976"/>
      <c r="O615" s="2976"/>
      <c r="P615" s="2976"/>
      <c r="Q615" s="2976"/>
      <c r="R615" s="2976"/>
      <c r="S615" s="2976"/>
      <c r="T615" s="2976"/>
      <c r="U615" s="2976"/>
      <c r="V615" s="2976"/>
      <c r="W615" s="2976"/>
      <c r="X615" s="2976"/>
      <c r="Y615" s="2976"/>
      <c r="Z615" s="2976"/>
      <c r="AA615" s="2976"/>
      <c r="AB615" s="2976"/>
      <c r="AC615" s="2976"/>
      <c r="AD615" s="2976"/>
      <c r="AE615" s="2976"/>
      <c r="AF615" s="2976"/>
    </row>
    <row r="616" spans="1:32">
      <c r="A616" s="2972">
        <v>615</v>
      </c>
      <c r="B616" s="2974" t="s">
        <v>3236</v>
      </c>
      <c r="C616" s="2982" t="s">
        <v>3156</v>
      </c>
      <c r="D616" s="2972" t="s">
        <v>3183</v>
      </c>
      <c r="E616" s="2982" t="s">
        <v>3148</v>
      </c>
      <c r="F616" s="2983">
        <v>56.78</v>
      </c>
      <c r="G616" s="2979">
        <v>13.66</v>
      </c>
      <c r="H616" s="2979">
        <v>70.44</v>
      </c>
      <c r="I616" s="2974" t="s">
        <v>3055</v>
      </c>
      <c r="J616" s="2981" t="s">
        <v>3155</v>
      </c>
      <c r="L616" s="2976"/>
      <c r="M616" s="2976"/>
      <c r="N616" s="2976"/>
      <c r="O616" s="2976"/>
      <c r="P616" s="2976"/>
      <c r="Q616" s="2976"/>
      <c r="R616" s="2976"/>
      <c r="S616" s="2976"/>
      <c r="T616" s="2976"/>
      <c r="U616" s="2976"/>
      <c r="V616" s="2976"/>
      <c r="W616" s="2976"/>
      <c r="X616" s="2976"/>
      <c r="Y616" s="2976"/>
      <c r="Z616" s="2976"/>
      <c r="AA616" s="2976"/>
      <c r="AB616" s="2976"/>
      <c r="AC616" s="2976"/>
      <c r="AD616" s="2976"/>
      <c r="AE616" s="2976"/>
      <c r="AF616" s="2976"/>
    </row>
    <row r="617" spans="1:32">
      <c r="A617" s="2972">
        <v>616</v>
      </c>
      <c r="B617" s="2974" t="s">
        <v>3236</v>
      </c>
      <c r="C617" s="2982" t="s">
        <v>3156</v>
      </c>
      <c r="D617" s="2972" t="s">
        <v>3183</v>
      </c>
      <c r="E617" s="2982" t="s">
        <v>3149</v>
      </c>
      <c r="F617" s="2983">
        <v>56.75</v>
      </c>
      <c r="G617" s="2979">
        <v>13.65</v>
      </c>
      <c r="H617" s="2979">
        <v>70.400000000000006</v>
      </c>
      <c r="I617" s="2974" t="s">
        <v>3055</v>
      </c>
      <c r="J617" s="2981" t="s">
        <v>3155</v>
      </c>
      <c r="L617" s="2976"/>
      <c r="M617" s="2976"/>
      <c r="N617" s="2976"/>
      <c r="O617" s="2976"/>
      <c r="P617" s="2976"/>
      <c r="Q617" s="2976"/>
      <c r="R617" s="2976"/>
      <c r="S617" s="2976"/>
      <c r="T617" s="2976"/>
      <c r="U617" s="2976"/>
      <c r="V617" s="2976"/>
      <c r="W617" s="2976"/>
      <c r="X617" s="2976"/>
      <c r="Y617" s="2976"/>
      <c r="Z617" s="2976"/>
      <c r="AA617" s="2976"/>
      <c r="AB617" s="2976"/>
      <c r="AC617" s="2976"/>
      <c r="AD617" s="2976"/>
      <c r="AE617" s="2976"/>
      <c r="AF617" s="2976"/>
    </row>
    <row r="618" spans="1:32">
      <c r="A618" s="2972">
        <v>617</v>
      </c>
      <c r="B618" s="2974" t="s">
        <v>3236</v>
      </c>
      <c r="C618" s="2982" t="s">
        <v>3156</v>
      </c>
      <c r="D618" s="2972" t="s">
        <v>3183</v>
      </c>
      <c r="E618" s="2982" t="s">
        <v>3150</v>
      </c>
      <c r="F618" s="2983">
        <v>54.01</v>
      </c>
      <c r="G618" s="2979">
        <v>12.99</v>
      </c>
      <c r="H618" s="2979">
        <v>67</v>
      </c>
      <c r="I618" s="2974" t="s">
        <v>3055</v>
      </c>
      <c r="J618" s="2981" t="s">
        <v>3154</v>
      </c>
      <c r="L618" s="2976"/>
      <c r="M618" s="2976"/>
      <c r="N618" s="2976"/>
      <c r="O618" s="2976"/>
      <c r="P618" s="2976"/>
      <c r="Q618" s="2976"/>
      <c r="R618" s="2976"/>
      <c r="S618" s="2976"/>
      <c r="T618" s="2976"/>
      <c r="U618" s="2976"/>
      <c r="V618" s="2976"/>
      <c r="W618" s="2976"/>
      <c r="X618" s="2976"/>
      <c r="Y618" s="2976"/>
      <c r="Z618" s="2976"/>
      <c r="AA618" s="2976"/>
      <c r="AB618" s="2976"/>
      <c r="AC618" s="2976"/>
      <c r="AD618" s="2976"/>
      <c r="AE618" s="2976"/>
      <c r="AF618" s="2976"/>
    </row>
    <row r="619" spans="1:32">
      <c r="A619" s="2972">
        <v>618</v>
      </c>
      <c r="B619" s="2974" t="s">
        <v>3236</v>
      </c>
      <c r="C619" s="2982" t="s">
        <v>3157</v>
      </c>
      <c r="D619" s="2972" t="s">
        <v>3183</v>
      </c>
      <c r="E619" s="2982">
        <v>501</v>
      </c>
      <c r="F619" s="2983">
        <v>54.01</v>
      </c>
      <c r="G619" s="2979">
        <v>12.99</v>
      </c>
      <c r="H619" s="2979">
        <v>67</v>
      </c>
      <c r="I619" s="2974" t="s">
        <v>3055</v>
      </c>
      <c r="J619" s="2981" t="s">
        <v>3154</v>
      </c>
      <c r="L619" s="2976"/>
      <c r="M619" s="2976"/>
      <c r="N619" s="2976"/>
      <c r="O619" s="2976"/>
      <c r="P619" s="2976"/>
      <c r="Q619" s="2976"/>
      <c r="R619" s="2976"/>
      <c r="S619" s="2976"/>
      <c r="T619" s="2976"/>
      <c r="U619" s="2976"/>
      <c r="V619" s="2976"/>
      <c r="W619" s="2976"/>
      <c r="X619" s="2976"/>
      <c r="Y619" s="2976"/>
      <c r="Z619" s="2976"/>
      <c r="AA619" s="2976"/>
      <c r="AB619" s="2976"/>
      <c r="AC619" s="2976"/>
      <c r="AD619" s="2976"/>
      <c r="AE619" s="2976"/>
      <c r="AF619" s="2976"/>
    </row>
    <row r="620" spans="1:32">
      <c r="A620" s="2972">
        <v>619</v>
      </c>
      <c r="B620" s="2974" t="s">
        <v>3236</v>
      </c>
      <c r="C620" s="2982" t="s">
        <v>3157</v>
      </c>
      <c r="D620" s="2972" t="s">
        <v>3183</v>
      </c>
      <c r="E620" s="2982">
        <v>502</v>
      </c>
      <c r="F620" s="2983">
        <v>56.75</v>
      </c>
      <c r="G620" s="2979">
        <v>13.65</v>
      </c>
      <c r="H620" s="2979">
        <v>70.400000000000006</v>
      </c>
      <c r="I620" s="2974" t="s">
        <v>3055</v>
      </c>
      <c r="J620" s="2981" t="s">
        <v>3155</v>
      </c>
      <c r="L620" s="2976"/>
      <c r="M620" s="2976"/>
      <c r="N620" s="2976"/>
      <c r="O620" s="2976"/>
      <c r="P620" s="2976"/>
      <c r="Q620" s="2976"/>
      <c r="R620" s="2976"/>
      <c r="S620" s="2976"/>
      <c r="T620" s="2976"/>
      <c r="U620" s="2976"/>
      <c r="V620" s="2976"/>
      <c r="W620" s="2976"/>
      <c r="X620" s="2976"/>
      <c r="Y620" s="2976"/>
      <c r="Z620" s="2976"/>
      <c r="AA620" s="2976"/>
      <c r="AB620" s="2976"/>
      <c r="AC620" s="2976"/>
      <c r="AD620" s="2976"/>
      <c r="AE620" s="2976"/>
      <c r="AF620" s="2976"/>
    </row>
    <row r="621" spans="1:32">
      <c r="A621" s="2972">
        <v>620</v>
      </c>
      <c r="B621" s="2974" t="s">
        <v>3236</v>
      </c>
      <c r="C621" s="2982" t="s">
        <v>3157</v>
      </c>
      <c r="D621" s="2972" t="s">
        <v>3183</v>
      </c>
      <c r="E621" s="2982">
        <v>503</v>
      </c>
      <c r="F621" s="2983">
        <v>56.78</v>
      </c>
      <c r="G621" s="2979">
        <v>13.66</v>
      </c>
      <c r="H621" s="2979">
        <v>70.44</v>
      </c>
      <c r="I621" s="2974" t="s">
        <v>3055</v>
      </c>
      <c r="J621" s="2981" t="s">
        <v>3155</v>
      </c>
      <c r="L621" s="2976"/>
      <c r="M621" s="2976"/>
      <c r="N621" s="2976"/>
      <c r="O621" s="2976"/>
      <c r="P621" s="2976"/>
      <c r="Q621" s="2976"/>
      <c r="R621" s="2976"/>
      <c r="S621" s="2976"/>
      <c r="T621" s="2976"/>
      <c r="U621" s="2976"/>
      <c r="V621" s="2976"/>
      <c r="W621" s="2976"/>
      <c r="X621" s="2976"/>
      <c r="Y621" s="2976"/>
      <c r="Z621" s="2976"/>
      <c r="AA621" s="2976"/>
      <c r="AB621" s="2976"/>
      <c r="AC621" s="2976"/>
      <c r="AD621" s="2976"/>
      <c r="AE621" s="2976"/>
      <c r="AF621" s="2976"/>
    </row>
    <row r="622" spans="1:32">
      <c r="A622" s="2972">
        <v>621</v>
      </c>
      <c r="B622" s="2974" t="s">
        <v>3236</v>
      </c>
      <c r="C622" s="2982" t="s">
        <v>3157</v>
      </c>
      <c r="D622" s="2972" t="s">
        <v>3183</v>
      </c>
      <c r="E622" s="2982">
        <v>505</v>
      </c>
      <c r="F622" s="2983">
        <v>56.78</v>
      </c>
      <c r="G622" s="2979">
        <v>13.66</v>
      </c>
      <c r="H622" s="2979">
        <v>70.44</v>
      </c>
      <c r="I622" s="2974" t="s">
        <v>3055</v>
      </c>
      <c r="J622" s="2981" t="s">
        <v>3155</v>
      </c>
      <c r="L622" s="2976"/>
      <c r="M622" s="2976"/>
      <c r="N622" s="2976"/>
      <c r="O622" s="2976"/>
      <c r="P622" s="2976"/>
      <c r="Q622" s="2976"/>
      <c r="R622" s="2976"/>
      <c r="S622" s="2976"/>
      <c r="T622" s="2976"/>
      <c r="U622" s="2976"/>
      <c r="V622" s="2976"/>
      <c r="W622" s="2976"/>
      <c r="X622" s="2976"/>
      <c r="Y622" s="2976"/>
      <c r="Z622" s="2976"/>
      <c r="AA622" s="2976"/>
      <c r="AB622" s="2976"/>
      <c r="AC622" s="2976"/>
      <c r="AD622" s="2976"/>
      <c r="AE622" s="2976"/>
      <c r="AF622" s="2976"/>
    </row>
    <row r="623" spans="1:32">
      <c r="A623" s="2972">
        <v>622</v>
      </c>
      <c r="B623" s="2974" t="s">
        <v>3236</v>
      </c>
      <c r="C623" s="2982" t="s">
        <v>3157</v>
      </c>
      <c r="D623" s="2972" t="s">
        <v>3183</v>
      </c>
      <c r="E623" s="2982">
        <v>506</v>
      </c>
      <c r="F623" s="2983">
        <v>56.75</v>
      </c>
      <c r="G623" s="2979">
        <v>13.65</v>
      </c>
      <c r="H623" s="2979">
        <v>70.400000000000006</v>
      </c>
      <c r="I623" s="2974" t="s">
        <v>3055</v>
      </c>
      <c r="J623" s="2981" t="s">
        <v>3155</v>
      </c>
      <c r="L623" s="2976"/>
      <c r="M623" s="2976"/>
      <c r="N623" s="2976"/>
      <c r="O623" s="2976"/>
      <c r="P623" s="2976"/>
      <c r="Q623" s="2976"/>
      <c r="R623" s="2976"/>
      <c r="S623" s="2976"/>
      <c r="T623" s="2976"/>
      <c r="U623" s="2976"/>
      <c r="V623" s="2976"/>
      <c r="W623" s="2976"/>
      <c r="X623" s="2976"/>
      <c r="Y623" s="2976"/>
      <c r="Z623" s="2976"/>
      <c r="AA623" s="2976"/>
      <c r="AB623" s="2976"/>
      <c r="AC623" s="2976"/>
      <c r="AD623" s="2976"/>
      <c r="AE623" s="2976"/>
      <c r="AF623" s="2976"/>
    </row>
    <row r="624" spans="1:32">
      <c r="A624" s="2972">
        <v>623</v>
      </c>
      <c r="B624" s="2974" t="s">
        <v>3236</v>
      </c>
      <c r="C624" s="2982" t="s">
        <v>3157</v>
      </c>
      <c r="D624" s="2972" t="s">
        <v>3183</v>
      </c>
      <c r="E624" s="2982">
        <v>507</v>
      </c>
      <c r="F624" s="2983">
        <v>54.01</v>
      </c>
      <c r="G624" s="2979">
        <v>12.99</v>
      </c>
      <c r="H624" s="2979">
        <v>67</v>
      </c>
      <c r="I624" s="2974" t="s">
        <v>3055</v>
      </c>
      <c r="J624" s="2981" t="s">
        <v>3154</v>
      </c>
      <c r="L624" s="2976"/>
      <c r="M624" s="2976"/>
      <c r="N624" s="2976"/>
      <c r="O624" s="2976"/>
      <c r="P624" s="2976"/>
      <c r="Q624" s="2976"/>
      <c r="R624" s="2976"/>
      <c r="S624" s="2976"/>
      <c r="T624" s="2976"/>
      <c r="U624" s="2976"/>
      <c r="V624" s="2976"/>
      <c r="W624" s="2976"/>
      <c r="X624" s="2976"/>
      <c r="Y624" s="2976"/>
      <c r="Z624" s="2976"/>
      <c r="AA624" s="2976"/>
      <c r="AB624" s="2976"/>
      <c r="AC624" s="2976"/>
      <c r="AD624" s="2976"/>
      <c r="AE624" s="2976"/>
      <c r="AF624" s="2976"/>
    </row>
    <row r="625" spans="1:32">
      <c r="A625" s="2972">
        <v>624</v>
      </c>
      <c r="B625" s="2974" t="s">
        <v>3237</v>
      </c>
      <c r="C625" s="2974" t="s">
        <v>3159</v>
      </c>
      <c r="D625" s="2972" t="s">
        <v>3183</v>
      </c>
      <c r="E625" s="2982">
        <v>201</v>
      </c>
      <c r="F625" s="2983">
        <v>55.51</v>
      </c>
      <c r="G625" s="2979">
        <v>13.72</v>
      </c>
      <c r="H625" s="2979">
        <v>69.23</v>
      </c>
      <c r="I625" s="2974" t="s">
        <v>3055</v>
      </c>
      <c r="J625" s="2981" t="s">
        <v>3154</v>
      </c>
      <c r="L625" s="2976"/>
      <c r="M625" s="2976"/>
      <c r="N625" s="2976"/>
      <c r="O625" s="2976"/>
      <c r="P625" s="2976"/>
      <c r="Q625" s="2976"/>
      <c r="R625" s="2976"/>
      <c r="S625" s="2976"/>
      <c r="T625" s="2976"/>
      <c r="U625" s="2976"/>
      <c r="V625" s="2976"/>
      <c r="W625" s="2976"/>
      <c r="X625" s="2976"/>
      <c r="Y625" s="2976"/>
      <c r="Z625" s="2976"/>
      <c r="AA625" s="2976"/>
      <c r="AB625" s="2976"/>
      <c r="AC625" s="2976"/>
      <c r="AD625" s="2976"/>
      <c r="AE625" s="2976"/>
      <c r="AF625" s="2976"/>
    </row>
    <row r="626" spans="1:32">
      <c r="A626" s="2972">
        <v>625</v>
      </c>
      <c r="B626" s="2974" t="s">
        <v>3237</v>
      </c>
      <c r="C626" s="2974" t="s">
        <v>3159</v>
      </c>
      <c r="D626" s="2972" t="s">
        <v>3183</v>
      </c>
      <c r="E626" s="2982">
        <v>202</v>
      </c>
      <c r="F626" s="2983">
        <v>56.75</v>
      </c>
      <c r="G626" s="2979">
        <v>14.02</v>
      </c>
      <c r="H626" s="2979">
        <v>70.77</v>
      </c>
      <c r="I626" s="2974" t="s">
        <v>3055</v>
      </c>
      <c r="J626" s="2981" t="s">
        <v>3155</v>
      </c>
      <c r="L626" s="2976"/>
      <c r="M626" s="2976"/>
      <c r="N626" s="2976"/>
      <c r="O626" s="2976"/>
      <c r="P626" s="2976"/>
      <c r="Q626" s="2976"/>
      <c r="R626" s="2976"/>
      <c r="S626" s="2976"/>
      <c r="T626" s="2976"/>
      <c r="U626" s="2976"/>
      <c r="V626" s="2976"/>
      <c r="W626" s="2976"/>
      <c r="X626" s="2976"/>
      <c r="Y626" s="2976"/>
      <c r="Z626" s="2976"/>
      <c r="AA626" s="2976"/>
      <c r="AB626" s="2976"/>
      <c r="AC626" s="2976"/>
      <c r="AD626" s="2976"/>
      <c r="AE626" s="2976"/>
      <c r="AF626" s="2976"/>
    </row>
    <row r="627" spans="1:32">
      <c r="A627" s="2972">
        <v>626</v>
      </c>
      <c r="B627" s="2974" t="s">
        <v>3237</v>
      </c>
      <c r="C627" s="2974" t="s">
        <v>3159</v>
      </c>
      <c r="D627" s="2972" t="s">
        <v>3183</v>
      </c>
      <c r="E627" s="2982">
        <v>203</v>
      </c>
      <c r="F627" s="2983">
        <v>56.78</v>
      </c>
      <c r="G627" s="2979">
        <v>14.03</v>
      </c>
      <c r="H627" s="2979">
        <v>70.81</v>
      </c>
      <c r="I627" s="2974" t="s">
        <v>3055</v>
      </c>
      <c r="J627" s="2981" t="s">
        <v>3155</v>
      </c>
      <c r="L627" s="2976"/>
      <c r="M627" s="2976"/>
      <c r="N627" s="2976"/>
      <c r="O627" s="2976"/>
      <c r="P627" s="2976"/>
      <c r="Q627" s="2976"/>
      <c r="R627" s="2976"/>
      <c r="S627" s="2976"/>
      <c r="T627" s="2976"/>
      <c r="U627" s="2976"/>
      <c r="V627" s="2976"/>
      <c r="W627" s="2976"/>
      <c r="X627" s="2976"/>
      <c r="Y627" s="2976"/>
      <c r="Z627" s="2976"/>
      <c r="AA627" s="2976"/>
      <c r="AB627" s="2976"/>
      <c r="AC627" s="2976"/>
      <c r="AD627" s="2976"/>
      <c r="AE627" s="2976"/>
      <c r="AF627" s="2976"/>
    </row>
    <row r="628" spans="1:32">
      <c r="A628" s="2972">
        <v>627</v>
      </c>
      <c r="B628" s="2974" t="s">
        <v>3237</v>
      </c>
      <c r="C628" s="2974" t="s">
        <v>3159</v>
      </c>
      <c r="D628" s="2972" t="s">
        <v>3183</v>
      </c>
      <c r="E628" s="2982">
        <v>205</v>
      </c>
      <c r="F628" s="2983">
        <v>56.78</v>
      </c>
      <c r="G628" s="2979">
        <v>14.03</v>
      </c>
      <c r="H628" s="2979">
        <v>70.81</v>
      </c>
      <c r="I628" s="2974" t="s">
        <v>3055</v>
      </c>
      <c r="J628" s="2981" t="s">
        <v>3155</v>
      </c>
      <c r="L628" s="2976"/>
      <c r="M628" s="2976"/>
      <c r="N628" s="2976"/>
      <c r="O628" s="2976"/>
      <c r="P628" s="2976"/>
      <c r="Q628" s="2976"/>
      <c r="R628" s="2976"/>
      <c r="S628" s="2976"/>
      <c r="T628" s="2976"/>
      <c r="U628" s="2976"/>
      <c r="V628" s="2976"/>
      <c r="W628" s="2976"/>
      <c r="X628" s="2976"/>
      <c r="Y628" s="2976"/>
      <c r="Z628" s="2976"/>
      <c r="AA628" s="2976"/>
      <c r="AB628" s="2976"/>
      <c r="AC628" s="2976"/>
      <c r="AD628" s="2976"/>
      <c r="AE628" s="2976"/>
      <c r="AF628" s="2976"/>
    </row>
    <row r="629" spans="1:32">
      <c r="A629" s="2972">
        <v>628</v>
      </c>
      <c r="B629" s="2974" t="s">
        <v>3237</v>
      </c>
      <c r="C629" s="2974" t="s">
        <v>3159</v>
      </c>
      <c r="D629" s="2972" t="s">
        <v>3183</v>
      </c>
      <c r="E629" s="2982">
        <v>206</v>
      </c>
      <c r="F629" s="2983">
        <v>56.78</v>
      </c>
      <c r="G629" s="2979">
        <v>14.03</v>
      </c>
      <c r="H629" s="2979">
        <v>70.81</v>
      </c>
      <c r="I629" s="2974" t="s">
        <v>3055</v>
      </c>
      <c r="J629" s="2981" t="s">
        <v>3155</v>
      </c>
      <c r="L629" s="2976"/>
      <c r="M629" s="2976"/>
      <c r="N629" s="2976"/>
      <c r="O629" s="2976"/>
      <c r="P629" s="2976"/>
      <c r="Q629" s="2976"/>
      <c r="R629" s="2976"/>
      <c r="S629" s="2976"/>
      <c r="T629" s="2976"/>
      <c r="U629" s="2976"/>
      <c r="V629" s="2976"/>
      <c r="W629" s="2976"/>
      <c r="X629" s="2976"/>
      <c r="Y629" s="2976"/>
      <c r="Z629" s="2976"/>
      <c r="AA629" s="2976"/>
      <c r="AB629" s="2976"/>
      <c r="AC629" s="2976"/>
      <c r="AD629" s="2976"/>
      <c r="AE629" s="2976"/>
      <c r="AF629" s="2976"/>
    </row>
    <row r="630" spans="1:32">
      <c r="A630" s="2972">
        <v>629</v>
      </c>
      <c r="B630" s="2974" t="s">
        <v>3237</v>
      </c>
      <c r="C630" s="2974" t="s">
        <v>3153</v>
      </c>
      <c r="D630" s="2972" t="s">
        <v>3183</v>
      </c>
      <c r="E630" s="2982">
        <v>301</v>
      </c>
      <c r="F630" s="2983">
        <v>55.51</v>
      </c>
      <c r="G630" s="2979">
        <v>13.72</v>
      </c>
      <c r="H630" s="2979">
        <v>69.23</v>
      </c>
      <c r="I630" s="2974" t="s">
        <v>3055</v>
      </c>
      <c r="J630" s="2981" t="s">
        <v>3154</v>
      </c>
      <c r="L630" s="2976"/>
      <c r="M630" s="2976"/>
      <c r="N630" s="2976"/>
      <c r="O630" s="2976"/>
      <c r="P630" s="2976"/>
      <c r="Q630" s="2976"/>
      <c r="R630" s="2976"/>
      <c r="S630" s="2976"/>
      <c r="T630" s="2976"/>
      <c r="U630" s="2976"/>
      <c r="V630" s="2976"/>
      <c r="W630" s="2976"/>
      <c r="X630" s="2976"/>
      <c r="Y630" s="2976"/>
      <c r="Z630" s="2976"/>
      <c r="AA630" s="2976"/>
      <c r="AB630" s="2976"/>
      <c r="AC630" s="2976"/>
      <c r="AD630" s="2976"/>
      <c r="AE630" s="2976"/>
      <c r="AF630" s="2976"/>
    </row>
    <row r="631" spans="1:32">
      <c r="A631" s="2972">
        <v>630</v>
      </c>
      <c r="B631" s="2974" t="s">
        <v>3237</v>
      </c>
      <c r="C631" s="2974" t="s">
        <v>3153</v>
      </c>
      <c r="D631" s="2972" t="s">
        <v>3183</v>
      </c>
      <c r="E631" s="2982">
        <v>302</v>
      </c>
      <c r="F631" s="2983">
        <v>56.75</v>
      </c>
      <c r="G631" s="2979">
        <v>14.02</v>
      </c>
      <c r="H631" s="2979">
        <v>70.77</v>
      </c>
      <c r="I631" s="2974" t="s">
        <v>3055</v>
      </c>
      <c r="J631" s="2981" t="s">
        <v>3155</v>
      </c>
      <c r="L631" s="2976"/>
      <c r="M631" s="2976"/>
      <c r="N631" s="2976"/>
      <c r="O631" s="2976"/>
      <c r="P631" s="2976"/>
      <c r="Q631" s="2976"/>
      <c r="R631" s="2976"/>
      <c r="S631" s="2976"/>
      <c r="T631" s="2976"/>
      <c r="U631" s="2976"/>
      <c r="V631" s="2976"/>
      <c r="W631" s="2976"/>
      <c r="X631" s="2976"/>
      <c r="Y631" s="2976"/>
      <c r="Z631" s="2976"/>
      <c r="AA631" s="2976"/>
      <c r="AB631" s="2976"/>
      <c r="AC631" s="2976"/>
      <c r="AD631" s="2976"/>
      <c r="AE631" s="2976"/>
      <c r="AF631" s="2976"/>
    </row>
    <row r="632" spans="1:32">
      <c r="A632" s="2972">
        <v>631</v>
      </c>
      <c r="B632" s="2974" t="s">
        <v>3237</v>
      </c>
      <c r="C632" s="2974" t="s">
        <v>3153</v>
      </c>
      <c r="D632" s="2972" t="s">
        <v>3183</v>
      </c>
      <c r="E632" s="2982">
        <v>303</v>
      </c>
      <c r="F632" s="2983">
        <v>56.78</v>
      </c>
      <c r="G632" s="2979">
        <v>14.03</v>
      </c>
      <c r="H632" s="2979">
        <v>70.81</v>
      </c>
      <c r="I632" s="2974" t="s">
        <v>3055</v>
      </c>
      <c r="J632" s="2981" t="s">
        <v>3155</v>
      </c>
      <c r="L632" s="2976"/>
      <c r="M632" s="2976"/>
      <c r="N632" s="2976"/>
      <c r="O632" s="2976"/>
      <c r="P632" s="2976"/>
      <c r="Q632" s="2976"/>
      <c r="R632" s="2976"/>
      <c r="S632" s="2976"/>
      <c r="T632" s="2976"/>
      <c r="U632" s="2976"/>
      <c r="V632" s="2976"/>
      <c r="W632" s="2976"/>
      <c r="X632" s="2976"/>
      <c r="Y632" s="2976"/>
      <c r="Z632" s="2976"/>
      <c r="AA632" s="2976"/>
      <c r="AB632" s="2976"/>
      <c r="AC632" s="2976"/>
      <c r="AD632" s="2976"/>
      <c r="AE632" s="2976"/>
      <c r="AF632" s="2976"/>
    </row>
    <row r="633" spans="1:32">
      <c r="A633" s="2972">
        <v>632</v>
      </c>
      <c r="B633" s="2974" t="s">
        <v>3237</v>
      </c>
      <c r="C633" s="2974" t="s">
        <v>3153</v>
      </c>
      <c r="D633" s="2972" t="s">
        <v>3183</v>
      </c>
      <c r="E633" s="2982">
        <v>305</v>
      </c>
      <c r="F633" s="2983">
        <v>56.78</v>
      </c>
      <c r="G633" s="2979">
        <v>14.03</v>
      </c>
      <c r="H633" s="2979">
        <v>70.81</v>
      </c>
      <c r="I633" s="2974" t="s">
        <v>3055</v>
      </c>
      <c r="J633" s="2981" t="s">
        <v>3155</v>
      </c>
      <c r="L633" s="2976"/>
      <c r="M633" s="2976"/>
      <c r="N633" s="2976"/>
      <c r="O633" s="2976"/>
      <c r="P633" s="2976"/>
      <c r="Q633" s="2976"/>
      <c r="R633" s="2976"/>
      <c r="S633" s="2976"/>
      <c r="T633" s="2976"/>
      <c r="U633" s="2976"/>
      <c r="V633" s="2976"/>
      <c r="W633" s="2976"/>
      <c r="X633" s="2976"/>
      <c r="Y633" s="2976"/>
      <c r="Z633" s="2976"/>
      <c r="AA633" s="2976"/>
      <c r="AB633" s="2976"/>
      <c r="AC633" s="2976"/>
      <c r="AD633" s="2976"/>
      <c r="AE633" s="2976"/>
      <c r="AF633" s="2976"/>
    </row>
    <row r="634" spans="1:32">
      <c r="A634" s="2972">
        <v>633</v>
      </c>
      <c r="B634" s="2974" t="s">
        <v>3237</v>
      </c>
      <c r="C634" s="2974" t="s">
        <v>3153</v>
      </c>
      <c r="D634" s="2972" t="s">
        <v>3183</v>
      </c>
      <c r="E634" s="2982">
        <v>306</v>
      </c>
      <c r="F634" s="2983">
        <v>56.78</v>
      </c>
      <c r="G634" s="2979">
        <v>14.03</v>
      </c>
      <c r="H634" s="2979">
        <v>70.81</v>
      </c>
      <c r="I634" s="2974" t="s">
        <v>3055</v>
      </c>
      <c r="J634" s="2981" t="s">
        <v>3155</v>
      </c>
      <c r="L634" s="2976"/>
      <c r="M634" s="2976"/>
      <c r="N634" s="2976"/>
      <c r="O634" s="2976"/>
      <c r="P634" s="2976"/>
      <c r="Q634" s="2976"/>
      <c r="R634" s="2976"/>
      <c r="S634" s="2976"/>
      <c r="T634" s="2976"/>
      <c r="U634" s="2976"/>
      <c r="V634" s="2976"/>
      <c r="W634" s="2976"/>
      <c r="X634" s="2976"/>
      <c r="Y634" s="2976"/>
      <c r="Z634" s="2976"/>
      <c r="AA634" s="2976"/>
      <c r="AB634" s="2976"/>
      <c r="AC634" s="2976"/>
      <c r="AD634" s="2976"/>
      <c r="AE634" s="2976"/>
      <c r="AF634" s="2976"/>
    </row>
    <row r="635" spans="1:32">
      <c r="A635" s="2972">
        <v>634</v>
      </c>
      <c r="B635" s="2974" t="s">
        <v>3237</v>
      </c>
      <c r="C635" s="2974" t="s">
        <v>3153</v>
      </c>
      <c r="D635" s="2972" t="s">
        <v>3183</v>
      </c>
      <c r="E635" s="2982">
        <v>307</v>
      </c>
      <c r="F635" s="2983">
        <v>55.66</v>
      </c>
      <c r="G635" s="2979">
        <v>13.75</v>
      </c>
      <c r="H635" s="2979">
        <v>69.41</v>
      </c>
      <c r="I635" s="2974" t="s">
        <v>3055</v>
      </c>
      <c r="J635" s="2981" t="s">
        <v>3154</v>
      </c>
      <c r="L635" s="2976"/>
      <c r="M635" s="2976"/>
      <c r="N635" s="2976"/>
      <c r="O635" s="2976"/>
      <c r="P635" s="2976"/>
      <c r="Q635" s="2976"/>
      <c r="R635" s="2976"/>
      <c r="S635" s="2976"/>
      <c r="T635" s="2976"/>
      <c r="U635" s="2976"/>
      <c r="V635" s="2976"/>
      <c r="W635" s="2976"/>
      <c r="X635" s="2976"/>
      <c r="Y635" s="2976"/>
      <c r="Z635" s="2976"/>
      <c r="AA635" s="2976"/>
      <c r="AB635" s="2976"/>
      <c r="AC635" s="2976"/>
      <c r="AD635" s="2976"/>
      <c r="AE635" s="2976"/>
      <c r="AF635" s="2976"/>
    </row>
    <row r="636" spans="1:32">
      <c r="A636" s="2972">
        <v>635</v>
      </c>
      <c r="B636" s="2974" t="s">
        <v>3237</v>
      </c>
      <c r="C636" s="2974" t="s">
        <v>3153</v>
      </c>
      <c r="D636" s="2972" t="s">
        <v>3183</v>
      </c>
      <c r="E636" s="2982">
        <v>308</v>
      </c>
      <c r="F636" s="2983">
        <v>52.68</v>
      </c>
      <c r="G636" s="2979">
        <v>13.02</v>
      </c>
      <c r="H636" s="2979">
        <v>65.7</v>
      </c>
      <c r="I636" s="2974" t="s">
        <v>3055</v>
      </c>
      <c r="J636" s="2981" t="s">
        <v>3154</v>
      </c>
      <c r="L636" s="2976"/>
      <c r="M636" s="2976"/>
      <c r="N636" s="2976"/>
      <c r="O636" s="2976"/>
      <c r="P636" s="2976"/>
      <c r="Q636" s="2976"/>
      <c r="R636" s="2976"/>
      <c r="S636" s="2976"/>
      <c r="T636" s="2976"/>
      <c r="U636" s="2976"/>
      <c r="V636" s="2976"/>
      <c r="W636" s="2976"/>
      <c r="X636" s="2976"/>
      <c r="Y636" s="2976"/>
      <c r="Z636" s="2976"/>
      <c r="AA636" s="2976"/>
      <c r="AB636" s="2976"/>
      <c r="AC636" s="2976"/>
      <c r="AD636" s="2976"/>
      <c r="AE636" s="2976"/>
      <c r="AF636" s="2976"/>
    </row>
    <row r="637" spans="1:32">
      <c r="A637" s="2972">
        <v>636</v>
      </c>
      <c r="B637" s="2974" t="s">
        <v>3201</v>
      </c>
      <c r="C637" s="2973" t="s">
        <v>3207</v>
      </c>
      <c r="D637" s="2981" t="s">
        <v>3213</v>
      </c>
      <c r="E637" s="2974">
        <v>101</v>
      </c>
      <c r="F637" s="2974">
        <v>53.84</v>
      </c>
      <c r="G637" s="2979">
        <v>12.44</v>
      </c>
      <c r="H637" s="2979">
        <v>66.28</v>
      </c>
      <c r="I637" s="2979" t="s">
        <v>3055</v>
      </c>
      <c r="J637" s="2974" t="s">
        <v>3143</v>
      </c>
      <c r="L637" s="2976"/>
      <c r="M637" s="2976"/>
      <c r="N637" s="2976"/>
      <c r="O637" s="2976"/>
      <c r="P637" s="2976"/>
      <c r="Q637" s="2976"/>
      <c r="R637" s="2976"/>
      <c r="S637" s="2976"/>
      <c r="T637" s="2976"/>
      <c r="U637" s="2976"/>
      <c r="V637" s="2976"/>
      <c r="W637" s="2976"/>
      <c r="X637" s="2976"/>
      <c r="Y637" s="2976"/>
      <c r="Z637" s="2976"/>
      <c r="AA637" s="2976"/>
      <c r="AB637" s="2976"/>
      <c r="AC637" s="2976"/>
      <c r="AD637" s="2976"/>
      <c r="AE637" s="2976"/>
      <c r="AF637" s="2976"/>
    </row>
    <row r="638" spans="1:32">
      <c r="A638" s="2972">
        <v>637</v>
      </c>
      <c r="B638" s="2974" t="s">
        <v>3201</v>
      </c>
      <c r="C638" s="2973" t="s">
        <v>3207</v>
      </c>
      <c r="D638" s="2981" t="s">
        <v>3213</v>
      </c>
      <c r="E638" s="2974">
        <v>102</v>
      </c>
      <c r="F638" s="2974">
        <v>56.67</v>
      </c>
      <c r="G638" s="2979">
        <v>13.1</v>
      </c>
      <c r="H638" s="2979">
        <v>69.77</v>
      </c>
      <c r="I638" s="2979" t="s">
        <v>3055</v>
      </c>
      <c r="J638" s="2974" t="s">
        <v>3144</v>
      </c>
      <c r="L638" s="2976"/>
      <c r="M638" s="2976"/>
      <c r="N638" s="2976"/>
      <c r="O638" s="2976"/>
      <c r="P638" s="2976"/>
      <c r="Q638" s="2976"/>
      <c r="R638" s="2976"/>
      <c r="S638" s="2976"/>
      <c r="T638" s="2976"/>
      <c r="U638" s="2976"/>
      <c r="V638" s="2976"/>
      <c r="W638" s="2976"/>
      <c r="X638" s="2976"/>
      <c r="Y638" s="2976"/>
      <c r="Z638" s="2976"/>
      <c r="AA638" s="2976"/>
      <c r="AB638" s="2976"/>
      <c r="AC638" s="2976"/>
      <c r="AD638" s="2976"/>
      <c r="AE638" s="2976"/>
      <c r="AF638" s="2976"/>
    </row>
    <row r="639" spans="1:32">
      <c r="A639" s="2972">
        <v>638</v>
      </c>
      <c r="B639" s="2974" t="s">
        <v>3201</v>
      </c>
      <c r="C639" s="2973" t="s">
        <v>3207</v>
      </c>
      <c r="D639" s="2981" t="s">
        <v>3213</v>
      </c>
      <c r="E639" s="2974">
        <v>103</v>
      </c>
      <c r="F639" s="2974">
        <v>56.81</v>
      </c>
      <c r="G639" s="2979">
        <v>13.13</v>
      </c>
      <c r="H639" s="2979">
        <v>69.94</v>
      </c>
      <c r="I639" s="2979" t="s">
        <v>3055</v>
      </c>
      <c r="J639" s="2974" t="s">
        <v>3144</v>
      </c>
      <c r="L639" s="2976"/>
      <c r="M639" s="2976"/>
      <c r="N639" s="2976"/>
      <c r="O639" s="2976"/>
      <c r="P639" s="2976"/>
      <c r="Q639" s="2976"/>
      <c r="R639" s="2976"/>
      <c r="S639" s="2976"/>
      <c r="T639" s="2976"/>
      <c r="U639" s="2976"/>
      <c r="V639" s="2976"/>
      <c r="W639" s="2976"/>
      <c r="X639" s="2976"/>
      <c r="Y639" s="2976"/>
      <c r="Z639" s="2976"/>
      <c r="AA639" s="2976"/>
      <c r="AB639" s="2976"/>
      <c r="AC639" s="2976"/>
      <c r="AD639" s="2976"/>
      <c r="AE639" s="2976"/>
      <c r="AF639" s="2976"/>
    </row>
    <row r="640" spans="1:32">
      <c r="A640" s="2972">
        <v>639</v>
      </c>
      <c r="B640" s="2974" t="s">
        <v>3201</v>
      </c>
      <c r="C640" s="2973" t="s">
        <v>3207</v>
      </c>
      <c r="D640" s="2981" t="s">
        <v>3213</v>
      </c>
      <c r="E640" s="2974">
        <v>105</v>
      </c>
      <c r="F640" s="2980">
        <v>56.81</v>
      </c>
      <c r="G640" s="2979">
        <v>13.13</v>
      </c>
      <c r="H640" s="2979">
        <v>69.94</v>
      </c>
      <c r="I640" s="2979" t="s">
        <v>3055</v>
      </c>
      <c r="J640" s="2974" t="s">
        <v>3144</v>
      </c>
      <c r="L640" s="2976"/>
      <c r="M640" s="2976"/>
      <c r="N640" s="2976"/>
      <c r="O640" s="2976"/>
      <c r="P640" s="2976"/>
      <c r="Q640" s="2976"/>
      <c r="R640" s="2976"/>
      <c r="S640" s="2976"/>
      <c r="T640" s="2976"/>
      <c r="U640" s="2976"/>
      <c r="V640" s="2976"/>
      <c r="W640" s="2976"/>
      <c r="X640" s="2976"/>
      <c r="Y640" s="2976"/>
      <c r="Z640" s="2976"/>
      <c r="AA640" s="2976"/>
      <c r="AB640" s="2976"/>
      <c r="AC640" s="2976"/>
      <c r="AD640" s="2976"/>
      <c r="AE640" s="2976"/>
      <c r="AF640" s="2976"/>
    </row>
    <row r="641" spans="1:32">
      <c r="A641" s="2972">
        <v>640</v>
      </c>
      <c r="B641" s="2974" t="s">
        <v>3201</v>
      </c>
      <c r="C641" s="2973" t="s">
        <v>3207</v>
      </c>
      <c r="D641" s="2981" t="s">
        <v>3213</v>
      </c>
      <c r="E641" s="2974">
        <v>106</v>
      </c>
      <c r="F641" s="2974">
        <v>56.67</v>
      </c>
      <c r="G641" s="2979">
        <v>13.1</v>
      </c>
      <c r="H641" s="2979">
        <v>69.77</v>
      </c>
      <c r="I641" s="2979" t="s">
        <v>3055</v>
      </c>
      <c r="J641" s="2974" t="s">
        <v>3144</v>
      </c>
      <c r="L641" s="2976"/>
      <c r="M641" s="2976"/>
      <c r="N641" s="2976"/>
      <c r="O641" s="2976"/>
      <c r="P641" s="2976"/>
      <c r="Q641" s="2976"/>
      <c r="R641" s="2976"/>
      <c r="S641" s="2976"/>
      <c r="T641" s="2976"/>
      <c r="U641" s="2976"/>
      <c r="V641" s="2976"/>
      <c r="W641" s="2976"/>
      <c r="X641" s="2976"/>
      <c r="Y641" s="2976"/>
      <c r="Z641" s="2976"/>
      <c r="AA641" s="2976"/>
      <c r="AB641" s="2976"/>
      <c r="AC641" s="2976"/>
      <c r="AD641" s="2976"/>
      <c r="AE641" s="2976"/>
      <c r="AF641" s="2976"/>
    </row>
    <row r="642" spans="1:32">
      <c r="A642" s="2972">
        <v>641</v>
      </c>
      <c r="B642" s="2974" t="s">
        <v>3201</v>
      </c>
      <c r="C642" s="2973" t="s">
        <v>3207</v>
      </c>
      <c r="D642" s="2981" t="s">
        <v>3213</v>
      </c>
      <c r="E642" s="2974">
        <v>107</v>
      </c>
      <c r="F642" s="2974">
        <v>53.84</v>
      </c>
      <c r="G642" s="2979">
        <v>12.44</v>
      </c>
      <c r="H642" s="2979">
        <v>66.28</v>
      </c>
      <c r="I642" s="2979" t="s">
        <v>3055</v>
      </c>
      <c r="J642" s="2974" t="s">
        <v>3143</v>
      </c>
      <c r="L642" s="2976"/>
      <c r="M642" s="2976"/>
      <c r="N642" s="2976"/>
      <c r="O642" s="2976"/>
      <c r="P642" s="2976"/>
      <c r="Q642" s="2976"/>
      <c r="R642" s="2976"/>
      <c r="S642" s="2976"/>
      <c r="T642" s="2976"/>
      <c r="U642" s="2976"/>
      <c r="V642" s="2976"/>
      <c r="W642" s="2976"/>
      <c r="X642" s="2976"/>
      <c r="Y642" s="2976"/>
      <c r="Z642" s="2976"/>
      <c r="AA642" s="2976"/>
      <c r="AB642" s="2976"/>
      <c r="AC642" s="2976"/>
      <c r="AD642" s="2976"/>
      <c r="AE642" s="2976"/>
      <c r="AF642" s="2976"/>
    </row>
    <row r="643" spans="1:32">
      <c r="A643" s="2972">
        <v>642</v>
      </c>
      <c r="B643" s="2974" t="s">
        <v>3201</v>
      </c>
      <c r="C643" s="2973" t="s">
        <v>3207</v>
      </c>
      <c r="D643" s="2981" t="s">
        <v>3215</v>
      </c>
      <c r="E643" s="2974">
        <v>101</v>
      </c>
      <c r="F643" s="2974">
        <v>53.84</v>
      </c>
      <c r="G643" s="2979">
        <v>12.44</v>
      </c>
      <c r="H643" s="2979">
        <v>66.28</v>
      </c>
      <c r="I643" s="2979" t="s">
        <v>3055</v>
      </c>
      <c r="J643" s="2974" t="s">
        <v>3143</v>
      </c>
      <c r="L643" s="2976"/>
      <c r="M643" s="2976"/>
      <c r="N643" s="2976"/>
      <c r="O643" s="2976"/>
      <c r="P643" s="2976"/>
      <c r="Q643" s="2976"/>
      <c r="R643" s="2976"/>
      <c r="S643" s="2976"/>
      <c r="T643" s="2976"/>
      <c r="U643" s="2976"/>
      <c r="V643" s="2976"/>
      <c r="W643" s="2976"/>
      <c r="X643" s="2976"/>
      <c r="Y643" s="2976"/>
      <c r="Z643" s="2976"/>
      <c r="AA643" s="2976"/>
      <c r="AB643" s="2976"/>
      <c r="AC643" s="2976"/>
      <c r="AD643" s="2976"/>
      <c r="AE643" s="2976"/>
      <c r="AF643" s="2976"/>
    </row>
    <row r="644" spans="1:32">
      <c r="A644" s="2972">
        <v>643</v>
      </c>
      <c r="B644" s="2974" t="s">
        <v>3201</v>
      </c>
      <c r="C644" s="2973" t="s">
        <v>3207</v>
      </c>
      <c r="D644" s="2981" t="s">
        <v>3215</v>
      </c>
      <c r="E644" s="2974">
        <v>102</v>
      </c>
      <c r="F644" s="2974">
        <v>56.67</v>
      </c>
      <c r="G644" s="2979">
        <v>13.1</v>
      </c>
      <c r="H644" s="2979">
        <v>69.77</v>
      </c>
      <c r="I644" s="2979" t="s">
        <v>3055</v>
      </c>
      <c r="J644" s="2974" t="s">
        <v>3144</v>
      </c>
      <c r="L644" s="2976"/>
      <c r="M644" s="2976"/>
      <c r="N644" s="2976"/>
      <c r="O644" s="2976"/>
      <c r="P644" s="2976"/>
      <c r="Q644" s="2976"/>
      <c r="R644" s="2976"/>
      <c r="S644" s="2976"/>
      <c r="T644" s="2976"/>
      <c r="U644" s="2976"/>
      <c r="V644" s="2976"/>
      <c r="W644" s="2976"/>
      <c r="X644" s="2976"/>
      <c r="Y644" s="2976"/>
      <c r="Z644" s="2976"/>
      <c r="AA644" s="2976"/>
      <c r="AB644" s="2976"/>
      <c r="AC644" s="2976"/>
      <c r="AD644" s="2976"/>
      <c r="AE644" s="2976"/>
      <c r="AF644" s="2976"/>
    </row>
    <row r="645" spans="1:32">
      <c r="A645" s="2972">
        <v>644</v>
      </c>
      <c r="B645" s="2974" t="s">
        <v>3201</v>
      </c>
      <c r="C645" s="2973" t="s">
        <v>3207</v>
      </c>
      <c r="D645" s="2981" t="s">
        <v>3215</v>
      </c>
      <c r="E645" s="2974">
        <v>103</v>
      </c>
      <c r="F645" s="2974">
        <v>56.81</v>
      </c>
      <c r="G645" s="2979">
        <v>13.13</v>
      </c>
      <c r="H645" s="2979">
        <v>69.94</v>
      </c>
      <c r="I645" s="2979" t="s">
        <v>3055</v>
      </c>
      <c r="J645" s="2974" t="s">
        <v>3144</v>
      </c>
      <c r="L645" s="2976"/>
      <c r="M645" s="2976"/>
      <c r="N645" s="2976"/>
      <c r="O645" s="2976"/>
      <c r="P645" s="2976"/>
      <c r="Q645" s="2976"/>
      <c r="R645" s="2976"/>
      <c r="S645" s="2976"/>
      <c r="T645" s="2976"/>
      <c r="U645" s="2976"/>
      <c r="V645" s="2976"/>
      <c r="W645" s="2976"/>
      <c r="X645" s="2976"/>
      <c r="Y645" s="2976"/>
      <c r="Z645" s="2976"/>
      <c r="AA645" s="2976"/>
      <c r="AB645" s="2976"/>
      <c r="AC645" s="2976"/>
      <c r="AD645" s="2976"/>
      <c r="AE645" s="2976"/>
      <c r="AF645" s="2976"/>
    </row>
    <row r="646" spans="1:32">
      <c r="A646" s="2972">
        <v>645</v>
      </c>
      <c r="B646" s="2974" t="s">
        <v>3201</v>
      </c>
      <c r="C646" s="2973" t="s">
        <v>3207</v>
      </c>
      <c r="D646" s="2981" t="s">
        <v>3215</v>
      </c>
      <c r="E646" s="2974">
        <v>105</v>
      </c>
      <c r="F646" s="2980">
        <v>56.81</v>
      </c>
      <c r="G646" s="2979">
        <v>13.13</v>
      </c>
      <c r="H646" s="2979">
        <v>69.94</v>
      </c>
      <c r="I646" s="2979" t="s">
        <v>3055</v>
      </c>
      <c r="J646" s="2974" t="s">
        <v>3144</v>
      </c>
      <c r="L646" s="2976"/>
      <c r="M646" s="2976"/>
      <c r="N646" s="2976"/>
      <c r="O646" s="2976"/>
      <c r="P646" s="2976"/>
      <c r="Q646" s="2976"/>
      <c r="R646" s="2976"/>
      <c r="S646" s="2976"/>
      <c r="T646" s="2976"/>
      <c r="U646" s="2976"/>
      <c r="V646" s="2976"/>
      <c r="W646" s="2976"/>
      <c r="X646" s="2976"/>
      <c r="Y646" s="2976"/>
      <c r="Z646" s="2976"/>
      <c r="AA646" s="2976"/>
      <c r="AB646" s="2976"/>
      <c r="AC646" s="2976"/>
      <c r="AD646" s="2976"/>
      <c r="AE646" s="2976"/>
      <c r="AF646" s="2976"/>
    </row>
    <row r="647" spans="1:32">
      <c r="A647" s="2972">
        <v>646</v>
      </c>
      <c r="B647" s="2974" t="s">
        <v>3201</v>
      </c>
      <c r="C647" s="2973" t="s">
        <v>3207</v>
      </c>
      <c r="D647" s="2981" t="s">
        <v>3215</v>
      </c>
      <c r="E647" s="2974">
        <v>106</v>
      </c>
      <c r="F647" s="2974">
        <v>56.67</v>
      </c>
      <c r="G647" s="2979">
        <v>13.1</v>
      </c>
      <c r="H647" s="2979">
        <v>69.77</v>
      </c>
      <c r="I647" s="2979" t="s">
        <v>3055</v>
      </c>
      <c r="J647" s="2974" t="s">
        <v>3144</v>
      </c>
      <c r="L647" s="2976"/>
      <c r="M647" s="2976"/>
      <c r="N647" s="2976"/>
      <c r="O647" s="2976"/>
      <c r="P647" s="2976"/>
      <c r="Q647" s="2976"/>
      <c r="R647" s="2976"/>
      <c r="S647" s="2976"/>
      <c r="T647" s="2976"/>
      <c r="U647" s="2976"/>
      <c r="V647" s="2976"/>
      <c r="W647" s="2976"/>
      <c r="X647" s="2976"/>
      <c r="Y647" s="2976"/>
      <c r="Z647" s="2976"/>
      <c r="AA647" s="2976"/>
      <c r="AB647" s="2976"/>
      <c r="AC647" s="2976"/>
      <c r="AD647" s="2976"/>
      <c r="AE647" s="2976"/>
      <c r="AF647" s="2976"/>
    </row>
    <row r="648" spans="1:32">
      <c r="A648" s="2972">
        <v>647</v>
      </c>
      <c r="B648" s="2974" t="s">
        <v>3201</v>
      </c>
      <c r="C648" s="2973" t="s">
        <v>3207</v>
      </c>
      <c r="D648" s="2981" t="s">
        <v>3215</v>
      </c>
      <c r="E648" s="2974">
        <v>107</v>
      </c>
      <c r="F648" s="2974">
        <v>53.84</v>
      </c>
      <c r="G648" s="2979">
        <v>12.44</v>
      </c>
      <c r="H648" s="2979">
        <v>66.28</v>
      </c>
      <c r="I648" s="2979" t="s">
        <v>3055</v>
      </c>
      <c r="J648" s="2974" t="s">
        <v>3143</v>
      </c>
      <c r="L648" s="2976"/>
      <c r="M648" s="2976"/>
      <c r="N648" s="2976"/>
      <c r="O648" s="2976"/>
      <c r="P648" s="2976"/>
      <c r="Q648" s="2976"/>
      <c r="R648" s="2976"/>
      <c r="S648" s="2976"/>
      <c r="T648" s="2976"/>
      <c r="U648" s="2976"/>
      <c r="V648" s="2976"/>
      <c r="W648" s="2976"/>
      <c r="X648" s="2976"/>
      <c r="Y648" s="2976"/>
      <c r="Z648" s="2976"/>
      <c r="AA648" s="2976"/>
      <c r="AB648" s="2976"/>
      <c r="AC648" s="2976"/>
      <c r="AD648" s="2976"/>
      <c r="AE648" s="2976"/>
      <c r="AF648" s="2976"/>
    </row>
    <row r="649" spans="1:32">
      <c r="A649" s="2972">
        <v>648</v>
      </c>
      <c r="B649" s="2974" t="s">
        <v>3201</v>
      </c>
      <c r="C649" s="2973" t="s">
        <v>3208</v>
      </c>
      <c r="D649" s="2981" t="s">
        <v>3213</v>
      </c>
      <c r="E649" s="2974">
        <v>206</v>
      </c>
      <c r="F649" s="2974">
        <v>56.67</v>
      </c>
      <c r="G649" s="2979">
        <v>13.1</v>
      </c>
      <c r="H649" s="2979">
        <v>69.77</v>
      </c>
      <c r="I649" s="2979" t="s">
        <v>3055</v>
      </c>
      <c r="J649" s="2974" t="s">
        <v>3144</v>
      </c>
      <c r="L649" s="2976"/>
      <c r="M649" s="2976"/>
      <c r="N649" s="2976"/>
      <c r="O649" s="2976"/>
      <c r="P649" s="2976"/>
      <c r="Q649" s="2976"/>
      <c r="R649" s="2976"/>
      <c r="S649" s="2976"/>
      <c r="T649" s="2976"/>
      <c r="U649" s="2976"/>
      <c r="V649" s="2976"/>
      <c r="W649" s="2976"/>
      <c r="X649" s="2976"/>
      <c r="Y649" s="2976"/>
      <c r="Z649" s="2976"/>
      <c r="AA649" s="2976"/>
      <c r="AB649" s="2976"/>
      <c r="AC649" s="2976"/>
      <c r="AD649" s="2976"/>
      <c r="AE649" s="2976"/>
      <c r="AF649" s="2976"/>
    </row>
    <row r="650" spans="1:32">
      <c r="A650" s="2972">
        <v>649</v>
      </c>
      <c r="B650" s="2974" t="s">
        <v>3201</v>
      </c>
      <c r="C650" s="2973" t="s">
        <v>3208</v>
      </c>
      <c r="D650" s="2981" t="s">
        <v>3213</v>
      </c>
      <c r="E650" s="2974">
        <v>207</v>
      </c>
      <c r="F650" s="2974">
        <v>53.84</v>
      </c>
      <c r="G650" s="2979">
        <v>12.44</v>
      </c>
      <c r="H650" s="2979">
        <v>66.28</v>
      </c>
      <c r="I650" s="2979" t="s">
        <v>3055</v>
      </c>
      <c r="J650" s="2974" t="s">
        <v>3143</v>
      </c>
      <c r="L650" s="2976"/>
      <c r="M650" s="2976"/>
      <c r="N650" s="2976"/>
      <c r="O650" s="2976"/>
      <c r="P650" s="2976"/>
      <c r="Q650" s="2976"/>
      <c r="R650" s="2976"/>
      <c r="S650" s="2976"/>
      <c r="T650" s="2976"/>
      <c r="U650" s="2976"/>
      <c r="V650" s="2976"/>
      <c r="W650" s="2976"/>
      <c r="X650" s="2976"/>
      <c r="Y650" s="2976"/>
      <c r="Z650" s="2976"/>
      <c r="AA650" s="2976"/>
      <c r="AB650" s="2976"/>
      <c r="AC650" s="2976"/>
      <c r="AD650" s="2976"/>
      <c r="AE650" s="2976"/>
      <c r="AF650" s="2976"/>
    </row>
    <row r="651" spans="1:32">
      <c r="A651" s="2972">
        <v>650</v>
      </c>
      <c r="B651" s="2974" t="s">
        <v>3201</v>
      </c>
      <c r="C651" s="2973" t="s">
        <v>3210</v>
      </c>
      <c r="D651" s="2981" t="s">
        <v>3213</v>
      </c>
      <c r="E651" s="2974" t="s">
        <v>3145</v>
      </c>
      <c r="F651" s="2974">
        <v>53.84</v>
      </c>
      <c r="G651" s="2979">
        <v>12.44</v>
      </c>
      <c r="H651" s="2979">
        <v>66.28</v>
      </c>
      <c r="I651" s="2979" t="s">
        <v>3055</v>
      </c>
      <c r="J651" s="2974" t="s">
        <v>3143</v>
      </c>
      <c r="L651" s="2976"/>
      <c r="M651" s="2976"/>
      <c r="N651" s="2976"/>
      <c r="O651" s="2976"/>
      <c r="P651" s="2976"/>
      <c r="Q651" s="2976"/>
      <c r="R651" s="2976"/>
      <c r="S651" s="2976"/>
      <c r="T651" s="2976"/>
      <c r="U651" s="2976"/>
      <c r="V651" s="2976"/>
      <c r="W651" s="2976"/>
      <c r="X651" s="2976"/>
      <c r="Y651" s="2976"/>
      <c r="Z651" s="2976"/>
      <c r="AA651" s="2976"/>
      <c r="AB651" s="2976"/>
      <c r="AC651" s="2976"/>
      <c r="AD651" s="2976"/>
      <c r="AE651" s="2976"/>
      <c r="AF651" s="2976"/>
    </row>
    <row r="652" spans="1:32">
      <c r="A652" s="2972">
        <v>651</v>
      </c>
      <c r="B652" s="2974" t="s">
        <v>3201</v>
      </c>
      <c r="C652" s="2973" t="s">
        <v>3210</v>
      </c>
      <c r="D652" s="2981" t="s">
        <v>3213</v>
      </c>
      <c r="E652" s="2974" t="s">
        <v>3150</v>
      </c>
      <c r="F652" s="2974">
        <v>53.84</v>
      </c>
      <c r="G652" s="2979">
        <v>12.44</v>
      </c>
      <c r="H652" s="2979">
        <v>66.28</v>
      </c>
      <c r="I652" s="2979" t="s">
        <v>3055</v>
      </c>
      <c r="J652" s="2974" t="s">
        <v>3143</v>
      </c>
      <c r="L652" s="2976"/>
      <c r="M652" s="2976"/>
      <c r="N652" s="2976"/>
      <c r="O652" s="2976"/>
      <c r="P652" s="2976"/>
      <c r="Q652" s="2976"/>
      <c r="R652" s="2976"/>
      <c r="S652" s="2976"/>
      <c r="T652" s="2976"/>
      <c r="U652" s="2976"/>
      <c r="V652" s="2976"/>
      <c r="W652" s="2976"/>
      <c r="X652" s="2976"/>
      <c r="Y652" s="2976"/>
      <c r="Z652" s="2976"/>
      <c r="AA652" s="2976"/>
      <c r="AB652" s="2976"/>
      <c r="AC652" s="2976"/>
      <c r="AD652" s="2976"/>
      <c r="AE652" s="2976"/>
      <c r="AF652" s="2976"/>
    </row>
    <row r="653" spans="1:32">
      <c r="A653" s="2972">
        <v>652</v>
      </c>
      <c r="B653" s="2974" t="s">
        <v>3201</v>
      </c>
      <c r="C653" s="2973" t="s">
        <v>3211</v>
      </c>
      <c r="D653" s="2981" t="s">
        <v>3213</v>
      </c>
      <c r="E653" s="2974">
        <v>506</v>
      </c>
      <c r="F653" s="2974">
        <v>56.67</v>
      </c>
      <c r="G653" s="2979">
        <v>13.1</v>
      </c>
      <c r="H653" s="2979">
        <v>69.77</v>
      </c>
      <c r="I653" s="2979" t="s">
        <v>3055</v>
      </c>
      <c r="J653" s="2974" t="s">
        <v>3144</v>
      </c>
      <c r="L653" s="2976"/>
      <c r="M653" s="2976"/>
      <c r="N653" s="2976"/>
      <c r="O653" s="2976"/>
      <c r="P653" s="2976"/>
      <c r="Q653" s="2976"/>
      <c r="R653" s="2976"/>
      <c r="S653" s="2976"/>
      <c r="T653" s="2976"/>
      <c r="U653" s="2976"/>
      <c r="V653" s="2976"/>
      <c r="W653" s="2976"/>
      <c r="X653" s="2976"/>
      <c r="Y653" s="2976"/>
      <c r="Z653" s="2976"/>
      <c r="AA653" s="2976"/>
      <c r="AB653" s="2976"/>
      <c r="AC653" s="2976"/>
      <c r="AD653" s="2976"/>
      <c r="AE653" s="2976"/>
      <c r="AF653" s="2976"/>
    </row>
    <row r="654" spans="1:32">
      <c r="A654" s="2972">
        <v>653</v>
      </c>
      <c r="B654" s="2974" t="s">
        <v>3201</v>
      </c>
      <c r="C654" s="2973" t="s">
        <v>3211</v>
      </c>
      <c r="D654" s="2981" t="s">
        <v>3213</v>
      </c>
      <c r="E654" s="2974">
        <v>507</v>
      </c>
      <c r="F654" s="2974">
        <v>53.84</v>
      </c>
      <c r="G654" s="2979">
        <v>12.44</v>
      </c>
      <c r="H654" s="2979">
        <v>66.28</v>
      </c>
      <c r="I654" s="2979" t="s">
        <v>3055</v>
      </c>
      <c r="J654" s="2974" t="s">
        <v>3143</v>
      </c>
      <c r="L654" s="2976"/>
      <c r="M654" s="2976"/>
      <c r="N654" s="2976"/>
      <c r="O654" s="2976"/>
      <c r="P654" s="2976"/>
      <c r="Q654" s="2976"/>
      <c r="R654" s="2976"/>
      <c r="S654" s="2976"/>
      <c r="T654" s="2976"/>
      <c r="U654" s="2976"/>
      <c r="V654" s="2976"/>
      <c r="W654" s="2976"/>
      <c r="X654" s="2976"/>
      <c r="Y654" s="2976"/>
      <c r="Z654" s="2976"/>
      <c r="AA654" s="2976"/>
      <c r="AB654" s="2976"/>
      <c r="AC654" s="2976"/>
      <c r="AD654" s="2976"/>
      <c r="AE654" s="2976"/>
      <c r="AF654" s="2976"/>
    </row>
    <row r="655" spans="1:32">
      <c r="A655" s="2972">
        <v>654</v>
      </c>
      <c r="B655" s="2974" t="s">
        <v>3201</v>
      </c>
      <c r="C655" s="2973" t="s">
        <v>3211</v>
      </c>
      <c r="D655" s="2981" t="s">
        <v>3215</v>
      </c>
      <c r="E655" s="2974">
        <v>507</v>
      </c>
      <c r="F655" s="2974">
        <v>53.84</v>
      </c>
      <c r="G655" s="2979">
        <v>12.44</v>
      </c>
      <c r="H655" s="2979">
        <v>66.28</v>
      </c>
      <c r="I655" s="2979" t="s">
        <v>3055</v>
      </c>
      <c r="J655" s="2974" t="s">
        <v>3143</v>
      </c>
      <c r="L655" s="2976"/>
      <c r="M655" s="2976"/>
      <c r="N655" s="2976"/>
      <c r="O655" s="2976"/>
      <c r="P655" s="2976"/>
      <c r="Q655" s="2976"/>
      <c r="R655" s="2976"/>
      <c r="S655" s="2976"/>
      <c r="T655" s="2976"/>
      <c r="U655" s="2976"/>
      <c r="V655" s="2976"/>
      <c r="W655" s="2976"/>
      <c r="X655" s="2976"/>
      <c r="Y655" s="2976"/>
      <c r="Z655" s="2976"/>
      <c r="AA655" s="2976"/>
      <c r="AB655" s="2976"/>
      <c r="AC655" s="2976"/>
      <c r="AD655" s="2976"/>
      <c r="AE655" s="2976"/>
      <c r="AF655" s="2976"/>
    </row>
    <row r="656" spans="1:32">
      <c r="A656" s="2972">
        <v>655</v>
      </c>
      <c r="B656" s="2974" t="s">
        <v>3201</v>
      </c>
      <c r="C656" s="2973" t="s">
        <v>3212</v>
      </c>
      <c r="D656" s="2981" t="s">
        <v>3213</v>
      </c>
      <c r="E656" s="2974">
        <v>602</v>
      </c>
      <c r="F656" s="2974">
        <v>56.67</v>
      </c>
      <c r="G656" s="2979">
        <v>13.1</v>
      </c>
      <c r="H656" s="2979">
        <v>69.77</v>
      </c>
      <c r="I656" s="2979" t="s">
        <v>3055</v>
      </c>
      <c r="J656" s="2974" t="s">
        <v>3144</v>
      </c>
      <c r="L656" s="2976"/>
      <c r="M656" s="2976"/>
      <c r="N656" s="2976"/>
      <c r="O656" s="2976"/>
      <c r="P656" s="2976"/>
      <c r="Q656" s="2976"/>
      <c r="R656" s="2976"/>
      <c r="S656" s="2976"/>
      <c r="T656" s="2976"/>
      <c r="U656" s="2976"/>
      <c r="V656" s="2976"/>
      <c r="W656" s="2976"/>
      <c r="X656" s="2976"/>
      <c r="Y656" s="2976"/>
      <c r="Z656" s="2976"/>
      <c r="AA656" s="2976"/>
      <c r="AB656" s="2976"/>
      <c r="AC656" s="2976"/>
      <c r="AD656" s="2976"/>
      <c r="AE656" s="2976"/>
      <c r="AF656" s="2976"/>
    </row>
    <row r="657" spans="1:32">
      <c r="A657" s="2972">
        <v>656</v>
      </c>
      <c r="B657" s="2974" t="s">
        <v>3201</v>
      </c>
      <c r="C657" s="2973" t="s">
        <v>3212</v>
      </c>
      <c r="D657" s="2981" t="s">
        <v>3213</v>
      </c>
      <c r="E657" s="2974">
        <v>603</v>
      </c>
      <c r="F657" s="2974">
        <v>56.81</v>
      </c>
      <c r="G657" s="2979">
        <v>13.13</v>
      </c>
      <c r="H657" s="2979">
        <v>69.94</v>
      </c>
      <c r="I657" s="2979" t="s">
        <v>3055</v>
      </c>
      <c r="J657" s="2974" t="s">
        <v>3144</v>
      </c>
      <c r="L657" s="2976"/>
      <c r="M657" s="2976"/>
      <c r="N657" s="2976"/>
      <c r="O657" s="2976"/>
      <c r="P657" s="2976"/>
      <c r="Q657" s="2976"/>
      <c r="R657" s="2976"/>
      <c r="S657" s="2976"/>
      <c r="T657" s="2976"/>
      <c r="U657" s="2976"/>
      <c r="V657" s="2976"/>
      <c r="W657" s="2976"/>
      <c r="X657" s="2976"/>
      <c r="Y657" s="2976"/>
      <c r="Z657" s="2976"/>
      <c r="AA657" s="2976"/>
      <c r="AB657" s="2976"/>
      <c r="AC657" s="2976"/>
      <c r="AD657" s="2976"/>
      <c r="AE657" s="2976"/>
      <c r="AF657" s="2976"/>
    </row>
    <row r="658" spans="1:32">
      <c r="A658" s="2972">
        <v>657</v>
      </c>
      <c r="B658" s="2974" t="s">
        <v>3201</v>
      </c>
      <c r="C658" s="2973" t="s">
        <v>3212</v>
      </c>
      <c r="D658" s="2981" t="s">
        <v>3213</v>
      </c>
      <c r="E658" s="2974">
        <v>605</v>
      </c>
      <c r="F658" s="2974">
        <v>56.81</v>
      </c>
      <c r="G658" s="2979">
        <v>13.13</v>
      </c>
      <c r="H658" s="2979">
        <v>69.94</v>
      </c>
      <c r="I658" s="2979" t="s">
        <v>3055</v>
      </c>
      <c r="J658" s="2974" t="s">
        <v>3144</v>
      </c>
      <c r="L658" s="2976"/>
      <c r="M658" s="2976"/>
      <c r="N658" s="2976"/>
      <c r="O658" s="2976"/>
      <c r="P658" s="2976"/>
      <c r="Q658" s="2976"/>
      <c r="R658" s="2976"/>
      <c r="S658" s="2976"/>
      <c r="T658" s="2976"/>
      <c r="U658" s="2976"/>
      <c r="V658" s="2976"/>
      <c r="W658" s="2976"/>
      <c r="X658" s="2976"/>
      <c r="Y658" s="2976"/>
      <c r="Z658" s="2976"/>
      <c r="AA658" s="2976"/>
      <c r="AB658" s="2976"/>
      <c r="AC658" s="2976"/>
      <c r="AD658" s="2976"/>
      <c r="AE658" s="2976"/>
      <c r="AF658" s="2976"/>
    </row>
    <row r="659" spans="1:32">
      <c r="A659" s="2972">
        <v>658</v>
      </c>
      <c r="B659" s="2974" t="s">
        <v>3201</v>
      </c>
      <c r="C659" s="2973" t="s">
        <v>3212</v>
      </c>
      <c r="D659" s="2981" t="s">
        <v>3213</v>
      </c>
      <c r="E659" s="2974">
        <v>606</v>
      </c>
      <c r="F659" s="2974">
        <v>56.67</v>
      </c>
      <c r="G659" s="2979">
        <v>13.1</v>
      </c>
      <c r="H659" s="2979">
        <v>69.77</v>
      </c>
      <c r="I659" s="2979" t="s">
        <v>3055</v>
      </c>
      <c r="J659" s="2974" t="s">
        <v>3144</v>
      </c>
      <c r="L659" s="2976"/>
      <c r="M659" s="2976"/>
      <c r="N659" s="2976"/>
      <c r="O659" s="2976"/>
      <c r="P659" s="2976"/>
      <c r="Q659" s="2976"/>
      <c r="R659" s="2976"/>
      <c r="S659" s="2976"/>
      <c r="T659" s="2976"/>
      <c r="U659" s="2976"/>
      <c r="V659" s="2976"/>
      <c r="W659" s="2976"/>
      <c r="X659" s="2976"/>
      <c r="Y659" s="2976"/>
      <c r="Z659" s="2976"/>
      <c r="AA659" s="2976"/>
      <c r="AB659" s="2976"/>
      <c r="AC659" s="2976"/>
      <c r="AD659" s="2976"/>
      <c r="AE659" s="2976"/>
      <c r="AF659" s="2976"/>
    </row>
    <row r="660" spans="1:32">
      <c r="A660" s="2972">
        <v>659</v>
      </c>
      <c r="B660" s="2974" t="s">
        <v>3201</v>
      </c>
      <c r="C660" s="2973" t="s">
        <v>3212</v>
      </c>
      <c r="D660" s="2981" t="s">
        <v>3215</v>
      </c>
      <c r="E660" s="2974">
        <v>603</v>
      </c>
      <c r="F660" s="2974">
        <v>56.81</v>
      </c>
      <c r="G660" s="2979">
        <v>13.13</v>
      </c>
      <c r="H660" s="2979">
        <v>69.94</v>
      </c>
      <c r="I660" s="2979" t="s">
        <v>3055</v>
      </c>
      <c r="J660" s="2974" t="s">
        <v>3144</v>
      </c>
      <c r="L660" s="2976"/>
      <c r="M660" s="2976"/>
      <c r="N660" s="2976"/>
      <c r="O660" s="2976"/>
      <c r="P660" s="2976"/>
      <c r="Q660" s="2976"/>
      <c r="R660" s="2976"/>
      <c r="S660" s="2976"/>
      <c r="T660" s="2976"/>
      <c r="U660" s="2976"/>
      <c r="V660" s="2976"/>
      <c r="W660" s="2976"/>
      <c r="X660" s="2976"/>
      <c r="Y660" s="2976"/>
      <c r="Z660" s="2976"/>
      <c r="AA660" s="2976"/>
      <c r="AB660" s="2976"/>
      <c r="AC660" s="2976"/>
      <c r="AD660" s="2976"/>
      <c r="AE660" s="2976"/>
      <c r="AF660" s="2976"/>
    </row>
    <row r="661" spans="1:32">
      <c r="A661" s="2972">
        <v>660</v>
      </c>
      <c r="B661" s="2974" t="s">
        <v>3201</v>
      </c>
      <c r="C661" s="2973" t="s">
        <v>3212</v>
      </c>
      <c r="D661" s="2981" t="s">
        <v>3215</v>
      </c>
      <c r="E661" s="2974">
        <v>605</v>
      </c>
      <c r="F661" s="2974">
        <v>56.81</v>
      </c>
      <c r="G661" s="2979">
        <v>13.13</v>
      </c>
      <c r="H661" s="2979">
        <v>69.94</v>
      </c>
      <c r="I661" s="2979" t="s">
        <v>3055</v>
      </c>
      <c r="J661" s="2974" t="s">
        <v>3144</v>
      </c>
      <c r="L661" s="2976"/>
      <c r="M661" s="2976"/>
      <c r="N661" s="2976"/>
      <c r="O661" s="2976"/>
      <c r="P661" s="2976"/>
      <c r="Q661" s="2976"/>
      <c r="R661" s="2976"/>
      <c r="S661" s="2976"/>
      <c r="T661" s="2976"/>
      <c r="U661" s="2976"/>
      <c r="V661" s="2976"/>
      <c r="W661" s="2976"/>
      <c r="X661" s="2976"/>
      <c r="Y661" s="2976"/>
      <c r="Z661" s="2976"/>
      <c r="AA661" s="2976"/>
      <c r="AB661" s="2976"/>
      <c r="AC661" s="2976"/>
      <c r="AD661" s="2976"/>
      <c r="AE661" s="2976"/>
      <c r="AF661" s="2976"/>
    </row>
    <row r="662" spans="1:32">
      <c r="A662" s="2972">
        <v>661</v>
      </c>
      <c r="B662" s="2974" t="s">
        <v>3201</v>
      </c>
      <c r="C662" s="2973" t="s">
        <v>3212</v>
      </c>
      <c r="D662" s="2981" t="s">
        <v>3215</v>
      </c>
      <c r="E662" s="2974">
        <v>606</v>
      </c>
      <c r="F662" s="2974">
        <v>56.67</v>
      </c>
      <c r="G662" s="2979">
        <v>13.1</v>
      </c>
      <c r="H662" s="2979">
        <v>69.77</v>
      </c>
      <c r="I662" s="2979" t="s">
        <v>3055</v>
      </c>
      <c r="J662" s="2974" t="s">
        <v>3144</v>
      </c>
      <c r="L662" s="2976"/>
      <c r="M662" s="2976"/>
      <c r="N662" s="2976"/>
      <c r="O662" s="2976"/>
      <c r="P662" s="2976"/>
      <c r="Q662" s="2976"/>
      <c r="R662" s="2976"/>
      <c r="S662" s="2976"/>
      <c r="T662" s="2976"/>
      <c r="U662" s="2976"/>
      <c r="V662" s="2976"/>
      <c r="W662" s="2976"/>
      <c r="X662" s="2976"/>
      <c r="Y662" s="2976"/>
      <c r="Z662" s="2976"/>
      <c r="AA662" s="2976"/>
      <c r="AB662" s="2976"/>
      <c r="AC662" s="2976"/>
      <c r="AD662" s="2976"/>
      <c r="AE662" s="2976"/>
      <c r="AF662" s="2976"/>
    </row>
    <row r="663" spans="1:32">
      <c r="A663" s="2972">
        <v>684</v>
      </c>
      <c r="B663" s="2972" t="s">
        <v>3205</v>
      </c>
      <c r="C663" s="2972" t="s">
        <v>3129</v>
      </c>
      <c r="D663" s="2972" t="s">
        <v>3183</v>
      </c>
      <c r="E663" s="2973" t="s">
        <v>3130</v>
      </c>
      <c r="F663" s="2972">
        <v>858.4</v>
      </c>
      <c r="G663" s="2972"/>
      <c r="H663" s="2972">
        <v>1326.1599999999999</v>
      </c>
      <c r="I663" s="2972" t="s">
        <v>3247</v>
      </c>
      <c r="J663" s="2974"/>
      <c r="L663" s="2976"/>
      <c r="M663" s="2976"/>
      <c r="N663" s="2976"/>
      <c r="O663" s="2976"/>
      <c r="P663" s="2976"/>
      <c r="Q663" s="2976"/>
      <c r="R663" s="2976"/>
      <c r="S663" s="2976"/>
      <c r="T663" s="2976"/>
      <c r="U663" s="2976"/>
      <c r="V663" s="2976"/>
      <c r="W663" s="2976"/>
      <c r="X663" s="2976"/>
      <c r="Y663" s="2976"/>
      <c r="Z663" s="2976"/>
      <c r="AA663" s="2976"/>
      <c r="AB663" s="2976"/>
      <c r="AC663" s="2976"/>
      <c r="AD663" s="2976"/>
      <c r="AE663" s="2976"/>
      <c r="AF663" s="2976"/>
    </row>
    <row r="664" spans="1:32">
      <c r="A664" s="2972">
        <v>685</v>
      </c>
      <c r="B664" s="2972" t="s">
        <v>3206</v>
      </c>
      <c r="C664" s="2972" t="s">
        <v>3129</v>
      </c>
      <c r="D664" s="2972" t="s">
        <v>3183</v>
      </c>
      <c r="E664" s="2973" t="s">
        <v>3130</v>
      </c>
      <c r="F664" s="2972">
        <v>469.63</v>
      </c>
      <c r="G664" s="2972"/>
      <c r="H664" s="2972">
        <v>884.71</v>
      </c>
      <c r="I664" s="2972" t="s">
        <v>3247</v>
      </c>
      <c r="J664" s="2974"/>
      <c r="L664" s="2976"/>
      <c r="M664" s="2976"/>
      <c r="N664" s="2976"/>
      <c r="O664" s="2976"/>
      <c r="P664" s="2976"/>
      <c r="Q664" s="2976"/>
      <c r="R664" s="2976"/>
      <c r="S664" s="2976"/>
      <c r="T664" s="2976"/>
      <c r="U664" s="2976"/>
      <c r="V664" s="2976"/>
      <c r="W664" s="2976"/>
      <c r="X664" s="2976"/>
      <c r="Y664" s="2976"/>
      <c r="Z664" s="2976"/>
      <c r="AA664" s="2976"/>
      <c r="AB664" s="2976"/>
      <c r="AC664" s="2976"/>
      <c r="AD664" s="2976"/>
      <c r="AE664" s="2976"/>
      <c r="AF664" s="2976"/>
    </row>
    <row r="665" spans="1:32">
      <c r="A665" s="2972">
        <v>662</v>
      </c>
      <c r="B665" s="2974" t="s">
        <v>3246</v>
      </c>
      <c r="C665" s="2982" t="s">
        <v>3152</v>
      </c>
      <c r="D665" s="2972" t="s">
        <v>3183</v>
      </c>
      <c r="E665" s="2982" t="s">
        <v>3132</v>
      </c>
      <c r="F665" s="2983">
        <v>94.9</v>
      </c>
      <c r="G665" s="2979">
        <v>3.5</v>
      </c>
      <c r="H665" s="2979">
        <v>98.4</v>
      </c>
      <c r="I665" s="2974" t="s">
        <v>1373</v>
      </c>
      <c r="J665" s="2981" t="s">
        <v>3133</v>
      </c>
      <c r="L665" s="2976"/>
      <c r="M665" s="2976"/>
      <c r="N665" s="2976"/>
      <c r="O665" s="2976"/>
      <c r="P665" s="2976"/>
      <c r="Q665" s="2976"/>
      <c r="R665" s="2976"/>
      <c r="S665" s="2976"/>
      <c r="T665" s="2976"/>
      <c r="U665" s="2976"/>
      <c r="V665" s="2976"/>
      <c r="W665" s="2976"/>
      <c r="X665" s="2976"/>
      <c r="Y665" s="2976"/>
      <c r="Z665" s="2976"/>
      <c r="AA665" s="2976"/>
      <c r="AB665" s="2976"/>
      <c r="AC665" s="2976"/>
      <c r="AD665" s="2976"/>
      <c r="AE665" s="2976"/>
      <c r="AF665" s="2976"/>
    </row>
    <row r="666" spans="1:32">
      <c r="A666" s="2972">
        <v>663</v>
      </c>
      <c r="B666" s="2974" t="s">
        <v>3246</v>
      </c>
      <c r="C666" s="2982" t="s">
        <v>3152</v>
      </c>
      <c r="D666" s="2972" t="s">
        <v>3183</v>
      </c>
      <c r="E666" s="2982" t="s">
        <v>3134</v>
      </c>
      <c r="F666" s="2983">
        <v>101.08</v>
      </c>
      <c r="G666" s="2979">
        <v>3.73</v>
      </c>
      <c r="H666" s="2979">
        <v>104.81</v>
      </c>
      <c r="I666" s="2974" t="s">
        <v>1373</v>
      </c>
      <c r="J666" s="2981" t="s">
        <v>3133</v>
      </c>
      <c r="L666" s="2976"/>
      <c r="M666" s="2976"/>
      <c r="N666" s="2976"/>
      <c r="O666" s="2976"/>
      <c r="P666" s="2976"/>
      <c r="Q666" s="2976"/>
      <c r="R666" s="2976"/>
      <c r="S666" s="2976"/>
      <c r="T666" s="2976"/>
      <c r="U666" s="2976"/>
      <c r="V666" s="2976"/>
      <c r="W666" s="2976"/>
      <c r="X666" s="2976"/>
      <c r="Y666" s="2976"/>
      <c r="Z666" s="2976"/>
      <c r="AA666" s="2976"/>
      <c r="AB666" s="2976"/>
      <c r="AC666" s="2976"/>
      <c r="AD666" s="2976"/>
      <c r="AE666" s="2976"/>
      <c r="AF666" s="2976"/>
    </row>
    <row r="667" spans="1:32">
      <c r="A667" s="2972">
        <v>664</v>
      </c>
      <c r="B667" s="2974" t="s">
        <v>3246</v>
      </c>
      <c r="C667" s="2982" t="s">
        <v>3152</v>
      </c>
      <c r="D667" s="2972" t="s">
        <v>3183</v>
      </c>
      <c r="E667" s="2982" t="s">
        <v>3135</v>
      </c>
      <c r="F667" s="2983">
        <v>100.12</v>
      </c>
      <c r="G667" s="2979">
        <v>3.7</v>
      </c>
      <c r="H667" s="2979">
        <v>103.82000000000001</v>
      </c>
      <c r="I667" s="2974" t="s">
        <v>1373</v>
      </c>
      <c r="J667" s="2981" t="s">
        <v>3133</v>
      </c>
      <c r="L667" s="2976"/>
      <c r="M667" s="2976"/>
      <c r="N667" s="2976"/>
      <c r="O667" s="2976"/>
      <c r="P667" s="2976"/>
      <c r="Q667" s="2976"/>
      <c r="R667" s="2976"/>
      <c r="S667" s="2976"/>
      <c r="T667" s="2976"/>
      <c r="U667" s="2976"/>
      <c r="V667" s="2976"/>
      <c r="W667" s="2976"/>
      <c r="X667" s="2976"/>
      <c r="Y667" s="2976"/>
      <c r="Z667" s="2976"/>
      <c r="AA667" s="2976"/>
      <c r="AB667" s="2976"/>
      <c r="AC667" s="2976"/>
      <c r="AD667" s="2976"/>
      <c r="AE667" s="2976"/>
      <c r="AF667" s="2976"/>
    </row>
    <row r="668" spans="1:32">
      <c r="A668" s="2972">
        <v>665</v>
      </c>
      <c r="B668" s="2974" t="s">
        <v>3246</v>
      </c>
      <c r="C668" s="2982" t="s">
        <v>3152</v>
      </c>
      <c r="D668" s="2972" t="s">
        <v>3183</v>
      </c>
      <c r="E668" s="2982" t="s">
        <v>3136</v>
      </c>
      <c r="F668" s="2983">
        <v>51.8</v>
      </c>
      <c r="G668" s="2979">
        <v>1.91</v>
      </c>
      <c r="H668" s="2979">
        <v>53.709999999999994</v>
      </c>
      <c r="I668" s="2974" t="s">
        <v>1373</v>
      </c>
      <c r="J668" s="2981" t="s">
        <v>3133</v>
      </c>
      <c r="L668" s="2976"/>
      <c r="M668" s="2976"/>
      <c r="N668" s="2976"/>
      <c r="O668" s="2976"/>
      <c r="P668" s="2976"/>
      <c r="Q668" s="2976"/>
      <c r="R668" s="2976"/>
      <c r="S668" s="2976"/>
      <c r="T668" s="2976"/>
      <c r="U668" s="2976"/>
      <c r="V668" s="2976"/>
      <c r="W668" s="2976"/>
      <c r="X668" s="2976"/>
      <c r="Y668" s="2976"/>
      <c r="Z668" s="2976"/>
      <c r="AA668" s="2976"/>
      <c r="AB668" s="2976"/>
      <c r="AC668" s="2976"/>
      <c r="AD668" s="2976"/>
      <c r="AE668" s="2976"/>
      <c r="AF668" s="2976"/>
    </row>
    <row r="669" spans="1:32">
      <c r="A669" s="2972">
        <v>666</v>
      </c>
      <c r="B669" s="2974" t="s">
        <v>3246</v>
      </c>
      <c r="C669" s="2982" t="s">
        <v>3152</v>
      </c>
      <c r="D669" s="2972" t="s">
        <v>3183</v>
      </c>
      <c r="E669" s="2982" t="s">
        <v>3137</v>
      </c>
      <c r="F669" s="2983">
        <v>101.09</v>
      </c>
      <c r="G669" s="2979">
        <v>3.73</v>
      </c>
      <c r="H669" s="2979">
        <v>104.82000000000001</v>
      </c>
      <c r="I669" s="2974" t="s">
        <v>1373</v>
      </c>
      <c r="J669" s="2981" t="s">
        <v>3133</v>
      </c>
      <c r="L669" s="2976"/>
      <c r="M669" s="2976"/>
      <c r="N669" s="2976"/>
      <c r="O669" s="2976"/>
      <c r="P669" s="2976"/>
      <c r="Q669" s="2976"/>
      <c r="R669" s="2976"/>
      <c r="S669" s="2976"/>
      <c r="T669" s="2976"/>
      <c r="U669" s="2976"/>
      <c r="V669" s="2976"/>
      <c r="W669" s="2976"/>
      <c r="X669" s="2976"/>
      <c r="Y669" s="2976"/>
      <c r="Z669" s="2976"/>
      <c r="AA669" s="2976"/>
      <c r="AB669" s="2976"/>
      <c r="AC669" s="2976"/>
      <c r="AD669" s="2976"/>
      <c r="AE669" s="2976"/>
      <c r="AF669" s="2976"/>
    </row>
    <row r="670" spans="1:32">
      <c r="A670" s="2972">
        <v>667</v>
      </c>
      <c r="B670" s="2974" t="s">
        <v>3246</v>
      </c>
      <c r="C670" s="2982" t="s">
        <v>3152</v>
      </c>
      <c r="D670" s="2972" t="s">
        <v>3183</v>
      </c>
      <c r="E670" s="2982" t="s">
        <v>3138</v>
      </c>
      <c r="F670" s="2983">
        <v>86.279999999999987</v>
      </c>
      <c r="G670" s="2979">
        <v>3.19</v>
      </c>
      <c r="H670" s="2979">
        <v>89.469999999999985</v>
      </c>
      <c r="I670" s="2974" t="s">
        <v>1373</v>
      </c>
      <c r="J670" s="2981" t="s">
        <v>3133</v>
      </c>
      <c r="L670" s="2976"/>
      <c r="M670" s="2976"/>
      <c r="N670" s="2976"/>
      <c r="O670" s="2976"/>
      <c r="P670" s="2976"/>
      <c r="Q670" s="2976"/>
      <c r="R670" s="2976"/>
      <c r="S670" s="2976"/>
      <c r="T670" s="2976"/>
      <c r="U670" s="2976"/>
      <c r="V670" s="2976"/>
      <c r="W670" s="2976"/>
      <c r="X670" s="2976"/>
      <c r="Y670" s="2976"/>
      <c r="Z670" s="2976"/>
      <c r="AA670" s="2976"/>
      <c r="AB670" s="2976"/>
      <c r="AC670" s="2976"/>
      <c r="AD670" s="2976"/>
      <c r="AE670" s="2976"/>
      <c r="AF670" s="2976"/>
    </row>
    <row r="671" spans="1:32">
      <c r="A671" s="2972">
        <v>668</v>
      </c>
      <c r="B671" s="2974" t="s">
        <v>3246</v>
      </c>
      <c r="C671" s="2982" t="s">
        <v>3152</v>
      </c>
      <c r="D671" s="2972" t="s">
        <v>3183</v>
      </c>
      <c r="E671" s="2982" t="s">
        <v>3139</v>
      </c>
      <c r="F671" s="2983">
        <v>86.279999999999987</v>
      </c>
      <c r="G671" s="2979">
        <v>3.19</v>
      </c>
      <c r="H671" s="2979">
        <v>89.469999999999985</v>
      </c>
      <c r="I671" s="2974" t="s">
        <v>1373</v>
      </c>
      <c r="J671" s="2981" t="s">
        <v>3133</v>
      </c>
      <c r="L671" s="2976"/>
      <c r="M671" s="2976"/>
      <c r="N671" s="2976"/>
      <c r="O671" s="2976"/>
      <c r="P671" s="2976"/>
      <c r="Q671" s="2976"/>
      <c r="R671" s="2976"/>
      <c r="S671" s="2976"/>
      <c r="T671" s="2976"/>
      <c r="U671" s="2976"/>
      <c r="V671" s="2976"/>
      <c r="W671" s="2976"/>
      <c r="X671" s="2976"/>
      <c r="Y671" s="2976"/>
      <c r="Z671" s="2976"/>
      <c r="AA671" s="2976"/>
      <c r="AB671" s="2976"/>
      <c r="AC671" s="2976"/>
      <c r="AD671" s="2976"/>
      <c r="AE671" s="2976"/>
      <c r="AF671" s="2976"/>
    </row>
    <row r="672" spans="1:32">
      <c r="A672" s="2972">
        <v>669</v>
      </c>
      <c r="B672" s="2974" t="s">
        <v>3246</v>
      </c>
      <c r="C672" s="2982" t="s">
        <v>3152</v>
      </c>
      <c r="D672" s="2972" t="s">
        <v>3183</v>
      </c>
      <c r="E672" s="2982" t="s">
        <v>3140</v>
      </c>
      <c r="F672" s="2983">
        <v>101.09</v>
      </c>
      <c r="G672" s="2979">
        <v>3.73</v>
      </c>
      <c r="H672" s="2979">
        <v>104.82000000000001</v>
      </c>
      <c r="I672" s="2974" t="s">
        <v>1373</v>
      </c>
      <c r="J672" s="2981" t="s">
        <v>3133</v>
      </c>
      <c r="L672" s="2976"/>
      <c r="M672" s="2976"/>
      <c r="N672" s="2976"/>
      <c r="O672" s="2976"/>
      <c r="P672" s="2976"/>
      <c r="Q672" s="2976"/>
      <c r="R672" s="2976"/>
      <c r="S672" s="2976"/>
      <c r="T672" s="2976"/>
      <c r="U672" s="2976"/>
      <c r="V672" s="2976"/>
      <c r="W672" s="2976"/>
      <c r="X672" s="2976"/>
      <c r="Y672" s="2976"/>
      <c r="Z672" s="2976"/>
      <c r="AA672" s="2976"/>
      <c r="AB672" s="2976"/>
      <c r="AC672" s="2976"/>
      <c r="AD672" s="2976"/>
      <c r="AE672" s="2976"/>
      <c r="AF672" s="2976"/>
    </row>
    <row r="673" spans="1:32">
      <c r="A673" s="2972">
        <v>670</v>
      </c>
      <c r="B673" s="2974" t="s">
        <v>3246</v>
      </c>
      <c r="C673" s="2982" t="s">
        <v>3152</v>
      </c>
      <c r="D673" s="2972" t="s">
        <v>3183</v>
      </c>
      <c r="E673" s="2982" t="s">
        <v>3141</v>
      </c>
      <c r="F673" s="2983">
        <v>51.8</v>
      </c>
      <c r="G673" s="2979">
        <v>1.91</v>
      </c>
      <c r="H673" s="2979">
        <v>53.709999999999994</v>
      </c>
      <c r="I673" s="2974" t="s">
        <v>1373</v>
      </c>
      <c r="J673" s="2981" t="s">
        <v>3133</v>
      </c>
      <c r="L673" s="2976"/>
      <c r="M673" s="2976"/>
      <c r="N673" s="2976"/>
      <c r="O673" s="2976"/>
      <c r="P673" s="2976"/>
      <c r="Q673" s="2976"/>
      <c r="R673" s="2976"/>
      <c r="S673" s="2976"/>
      <c r="T673" s="2976"/>
      <c r="U673" s="2976"/>
      <c r="V673" s="2976"/>
      <c r="W673" s="2976"/>
      <c r="X673" s="2976"/>
      <c r="Y673" s="2976"/>
      <c r="Z673" s="2976"/>
      <c r="AA673" s="2976"/>
      <c r="AB673" s="2976"/>
      <c r="AC673" s="2976"/>
      <c r="AD673" s="2976"/>
      <c r="AE673" s="2976"/>
      <c r="AF673" s="2976"/>
    </row>
    <row r="674" spans="1:32">
      <c r="A674" s="2972">
        <v>671</v>
      </c>
      <c r="B674" s="2974" t="s">
        <v>3246</v>
      </c>
      <c r="C674" s="2982" t="s">
        <v>3152</v>
      </c>
      <c r="D674" s="2972" t="s">
        <v>3183</v>
      </c>
      <c r="E674" s="2982" t="s">
        <v>3142</v>
      </c>
      <c r="F674" s="2983">
        <v>100.12</v>
      </c>
      <c r="G674" s="2979">
        <v>3.7</v>
      </c>
      <c r="H674" s="2979">
        <v>103.82000000000001</v>
      </c>
      <c r="I674" s="2974" t="s">
        <v>1373</v>
      </c>
      <c r="J674" s="2981" t="s">
        <v>3133</v>
      </c>
      <c r="L674" s="2976"/>
      <c r="M674" s="2976"/>
      <c r="N674" s="2976"/>
      <c r="O674" s="2976"/>
      <c r="P674" s="2976"/>
      <c r="Q674" s="2976"/>
      <c r="R674" s="2976"/>
      <c r="S674" s="2976"/>
      <c r="T674" s="2976"/>
      <c r="U674" s="2976"/>
      <c r="V674" s="2976"/>
      <c r="W674" s="2976"/>
      <c r="X674" s="2976"/>
      <c r="Y674" s="2976"/>
      <c r="Z674" s="2976"/>
      <c r="AA674" s="2976"/>
      <c r="AB674" s="2976"/>
      <c r="AC674" s="2976"/>
      <c r="AD674" s="2976"/>
      <c r="AE674" s="2976"/>
      <c r="AF674" s="2976"/>
    </row>
    <row r="675" spans="1:32">
      <c r="A675" s="2972">
        <v>672</v>
      </c>
      <c r="B675" s="2974" t="s">
        <v>3246</v>
      </c>
      <c r="C675" s="2982" t="s">
        <v>3152</v>
      </c>
      <c r="D675" s="2972" t="s">
        <v>3183</v>
      </c>
      <c r="E675" s="2982" t="s">
        <v>3164</v>
      </c>
      <c r="F675" s="2983">
        <v>101.08</v>
      </c>
      <c r="G675" s="2979">
        <v>3.73</v>
      </c>
      <c r="H675" s="2979">
        <v>104.81</v>
      </c>
      <c r="I675" s="2974" t="s">
        <v>1373</v>
      </c>
      <c r="J675" s="2981" t="s">
        <v>3133</v>
      </c>
      <c r="L675" s="2976"/>
      <c r="M675" s="2976"/>
      <c r="N675" s="2976"/>
      <c r="O675" s="2976"/>
      <c r="P675" s="2976"/>
      <c r="Q675" s="2976"/>
      <c r="R675" s="2976"/>
      <c r="S675" s="2976"/>
      <c r="T675" s="2976"/>
      <c r="U675" s="2976"/>
      <c r="V675" s="2976"/>
      <c r="W675" s="2976"/>
      <c r="X675" s="2976"/>
      <c r="Y675" s="2976"/>
      <c r="Z675" s="2976"/>
      <c r="AA675" s="2976"/>
      <c r="AB675" s="2976"/>
      <c r="AC675" s="2976"/>
      <c r="AD675" s="2976"/>
      <c r="AE675" s="2976"/>
      <c r="AF675" s="2976"/>
    </row>
    <row r="676" spans="1:32">
      <c r="A676" s="2972">
        <v>673</v>
      </c>
      <c r="B676" s="2974" t="s">
        <v>3246</v>
      </c>
      <c r="C676" s="2982" t="s">
        <v>3152</v>
      </c>
      <c r="D676" s="2972" t="s">
        <v>3183</v>
      </c>
      <c r="E676" s="2982" t="s">
        <v>3165</v>
      </c>
      <c r="F676" s="2983">
        <v>86.28</v>
      </c>
      <c r="G676" s="2979">
        <v>3.19</v>
      </c>
      <c r="H676" s="2979">
        <v>89.47</v>
      </c>
      <c r="I676" s="2974" t="s">
        <v>1373</v>
      </c>
      <c r="J676" s="2981" t="s">
        <v>3133</v>
      </c>
      <c r="L676" s="2976"/>
      <c r="M676" s="2976"/>
      <c r="N676" s="2976"/>
      <c r="O676" s="2976"/>
      <c r="P676" s="2976"/>
      <c r="Q676" s="2976"/>
      <c r="R676" s="2976"/>
      <c r="S676" s="2976"/>
      <c r="T676" s="2976"/>
      <c r="U676" s="2976"/>
      <c r="V676" s="2976"/>
      <c r="W676" s="2976"/>
      <c r="X676" s="2976"/>
      <c r="Y676" s="2976"/>
      <c r="Z676" s="2976"/>
      <c r="AA676" s="2976"/>
      <c r="AB676" s="2976"/>
      <c r="AC676" s="2976"/>
      <c r="AD676" s="2976"/>
      <c r="AE676" s="2976"/>
      <c r="AF676" s="2976"/>
    </row>
    <row r="677" spans="1:32">
      <c r="A677" s="2972">
        <v>674</v>
      </c>
      <c r="B677" s="2974" t="s">
        <v>3240</v>
      </c>
      <c r="C677" s="2982" t="s">
        <v>3152</v>
      </c>
      <c r="D677" s="2974" t="s">
        <v>3213</v>
      </c>
      <c r="E677" s="2982" t="s">
        <v>3132</v>
      </c>
      <c r="F677" s="2983">
        <v>113.44</v>
      </c>
      <c r="G677" s="2979">
        <v>4.24</v>
      </c>
      <c r="H677" s="2979">
        <v>117.67999999999999</v>
      </c>
      <c r="I677" s="2974" t="s">
        <v>1373</v>
      </c>
      <c r="J677" s="2981" t="s">
        <v>3133</v>
      </c>
      <c r="L677" s="2976"/>
      <c r="M677" s="2976"/>
      <c r="N677" s="2976"/>
      <c r="O677" s="2976"/>
      <c r="P677" s="2976"/>
      <c r="Q677" s="2976"/>
      <c r="R677" s="2976"/>
      <c r="S677" s="2976"/>
      <c r="T677" s="2976"/>
      <c r="U677" s="2976"/>
      <c r="V677" s="2976"/>
      <c r="W677" s="2976"/>
      <c r="X677" s="2976"/>
      <c r="Y677" s="2976"/>
      <c r="Z677" s="2976"/>
      <c r="AA677" s="2976"/>
      <c r="AB677" s="2976"/>
      <c r="AC677" s="2976"/>
      <c r="AD677" s="2976"/>
      <c r="AE677" s="2976"/>
      <c r="AF677" s="2976"/>
    </row>
    <row r="678" spans="1:32">
      <c r="A678" s="2972">
        <v>675</v>
      </c>
      <c r="B678" s="2974" t="s">
        <v>3240</v>
      </c>
      <c r="C678" s="2982" t="s">
        <v>3152</v>
      </c>
      <c r="D678" s="2974" t="s">
        <v>3213</v>
      </c>
      <c r="E678" s="2982" t="s">
        <v>3134</v>
      </c>
      <c r="F678" s="2983">
        <v>84.01</v>
      </c>
      <c r="G678" s="2979">
        <v>3.14</v>
      </c>
      <c r="H678" s="2979">
        <v>87.15</v>
      </c>
      <c r="I678" s="2974" t="s">
        <v>1373</v>
      </c>
      <c r="J678" s="2981" t="s">
        <v>3133</v>
      </c>
      <c r="L678" s="2976"/>
      <c r="M678" s="2976"/>
      <c r="N678" s="2976"/>
      <c r="O678" s="2976"/>
      <c r="P678" s="2976"/>
      <c r="Q678" s="2976"/>
      <c r="R678" s="2976"/>
      <c r="S678" s="2976"/>
      <c r="T678" s="2976"/>
      <c r="U678" s="2976"/>
      <c r="V678" s="2976"/>
      <c r="W678" s="2976"/>
      <c r="X678" s="2976"/>
      <c r="Y678" s="2976"/>
      <c r="Z678" s="2976"/>
      <c r="AA678" s="2976"/>
      <c r="AB678" s="2976"/>
      <c r="AC678" s="2976"/>
      <c r="AD678" s="2976"/>
      <c r="AE678" s="2976"/>
      <c r="AF678" s="2976"/>
    </row>
    <row r="679" spans="1:32">
      <c r="A679" s="2972">
        <v>676</v>
      </c>
      <c r="B679" s="2974" t="s">
        <v>3240</v>
      </c>
      <c r="C679" s="2982" t="s">
        <v>3152</v>
      </c>
      <c r="D679" s="2974" t="s">
        <v>3213</v>
      </c>
      <c r="E679" s="2982" t="s">
        <v>3135</v>
      </c>
      <c r="F679" s="2983">
        <v>82</v>
      </c>
      <c r="G679" s="2979">
        <v>3.07</v>
      </c>
      <c r="H679" s="2979">
        <v>85.07</v>
      </c>
      <c r="I679" s="2974" t="s">
        <v>1373</v>
      </c>
      <c r="J679" s="2981" t="s">
        <v>3133</v>
      </c>
      <c r="L679" s="2976"/>
      <c r="M679" s="2976"/>
      <c r="N679" s="2976"/>
      <c r="O679" s="2976"/>
      <c r="P679" s="2976"/>
      <c r="Q679" s="2976"/>
      <c r="R679" s="2976"/>
      <c r="S679" s="2976"/>
      <c r="T679" s="2976"/>
      <c r="U679" s="2976"/>
      <c r="V679" s="2976"/>
      <c r="W679" s="2976"/>
      <c r="X679" s="2976"/>
      <c r="Y679" s="2976"/>
      <c r="Z679" s="2976"/>
      <c r="AA679" s="2976"/>
      <c r="AB679" s="2976"/>
      <c r="AC679" s="2976"/>
      <c r="AD679" s="2976"/>
      <c r="AE679" s="2976"/>
      <c r="AF679" s="2976"/>
    </row>
    <row r="680" spans="1:32">
      <c r="A680" s="2972">
        <v>677</v>
      </c>
      <c r="B680" s="2974" t="s">
        <v>3240</v>
      </c>
      <c r="C680" s="2982" t="s">
        <v>3152</v>
      </c>
      <c r="D680" s="2974" t="s">
        <v>3213</v>
      </c>
      <c r="E680" s="2982" t="s">
        <v>3136</v>
      </c>
      <c r="F680" s="2983">
        <v>83.21</v>
      </c>
      <c r="G680" s="2979">
        <v>3.11</v>
      </c>
      <c r="H680" s="2979">
        <v>86.32</v>
      </c>
      <c r="I680" s="2974" t="s">
        <v>1373</v>
      </c>
      <c r="J680" s="2981" t="s">
        <v>3133</v>
      </c>
      <c r="L680" s="2976"/>
      <c r="M680" s="2976"/>
      <c r="N680" s="2976"/>
      <c r="O680" s="2976"/>
      <c r="P680" s="2976"/>
      <c r="Q680" s="2976"/>
      <c r="R680" s="2976"/>
      <c r="S680" s="2976"/>
      <c r="T680" s="2976"/>
      <c r="U680" s="2976"/>
      <c r="V680" s="2976"/>
      <c r="W680" s="2976"/>
      <c r="X680" s="2976"/>
      <c r="Y680" s="2976"/>
      <c r="Z680" s="2976"/>
      <c r="AA680" s="2976"/>
      <c r="AB680" s="2976"/>
      <c r="AC680" s="2976"/>
      <c r="AD680" s="2976"/>
      <c r="AE680" s="2976"/>
      <c r="AF680" s="2976"/>
    </row>
    <row r="681" spans="1:32">
      <c r="A681" s="2972">
        <v>678</v>
      </c>
      <c r="B681" s="2974" t="s">
        <v>3240</v>
      </c>
      <c r="C681" s="2982" t="s">
        <v>3152</v>
      </c>
      <c r="D681" s="2974" t="s">
        <v>3213</v>
      </c>
      <c r="E681" s="2982" t="s">
        <v>3137</v>
      </c>
      <c r="F681" s="2983">
        <v>109.24</v>
      </c>
      <c r="G681" s="2979">
        <v>4.09</v>
      </c>
      <c r="H681" s="2979">
        <v>113.33</v>
      </c>
      <c r="I681" s="2974" t="s">
        <v>1373</v>
      </c>
      <c r="J681" s="2981" t="s">
        <v>3133</v>
      </c>
      <c r="L681" s="2976"/>
      <c r="M681" s="2976"/>
      <c r="N681" s="2976"/>
      <c r="O681" s="2976"/>
      <c r="P681" s="2976"/>
      <c r="Q681" s="2976"/>
      <c r="R681" s="2976"/>
      <c r="S681" s="2976"/>
      <c r="T681" s="2976"/>
      <c r="U681" s="2976"/>
      <c r="V681" s="2976"/>
      <c r="W681" s="2976"/>
      <c r="X681" s="2976"/>
      <c r="Y681" s="2976"/>
      <c r="Z681" s="2976"/>
      <c r="AA681" s="2976"/>
      <c r="AB681" s="2976"/>
      <c r="AC681" s="2976"/>
      <c r="AD681" s="2976"/>
      <c r="AE681" s="2976"/>
      <c r="AF681" s="2976"/>
    </row>
    <row r="682" spans="1:32">
      <c r="A682" s="2972">
        <v>679</v>
      </c>
      <c r="B682" s="2974" t="s">
        <v>3240</v>
      </c>
      <c r="C682" s="2982" t="s">
        <v>3152</v>
      </c>
      <c r="D682" s="2974" t="s">
        <v>3213</v>
      </c>
      <c r="E682" s="2982" t="s">
        <v>3138</v>
      </c>
      <c r="F682" s="2983">
        <v>109.24</v>
      </c>
      <c r="G682" s="2979">
        <v>4.09</v>
      </c>
      <c r="H682" s="2979">
        <v>113.33</v>
      </c>
      <c r="I682" s="2974" t="s">
        <v>1373</v>
      </c>
      <c r="J682" s="2981" t="s">
        <v>3133</v>
      </c>
      <c r="L682" s="2976"/>
      <c r="M682" s="2976"/>
      <c r="N682" s="2976"/>
      <c r="O682" s="2976"/>
      <c r="P682" s="2976"/>
      <c r="Q682" s="2976"/>
      <c r="R682" s="2976"/>
      <c r="S682" s="2976"/>
      <c r="T682" s="2976"/>
      <c r="U682" s="2976"/>
      <c r="V682" s="2976"/>
      <c r="W682" s="2976"/>
      <c r="X682" s="2976"/>
      <c r="Y682" s="2976"/>
      <c r="Z682" s="2976"/>
      <c r="AA682" s="2976"/>
      <c r="AB682" s="2976"/>
      <c r="AC682" s="2976"/>
      <c r="AD682" s="2976"/>
      <c r="AE682" s="2976"/>
      <c r="AF682" s="2976"/>
    </row>
    <row r="683" spans="1:32">
      <c r="A683" s="2972">
        <v>680</v>
      </c>
      <c r="B683" s="2974" t="s">
        <v>3240</v>
      </c>
      <c r="C683" s="2982" t="s">
        <v>3152</v>
      </c>
      <c r="D683" s="2974" t="s">
        <v>3213</v>
      </c>
      <c r="E683" s="2982" t="s">
        <v>3139</v>
      </c>
      <c r="F683" s="2983">
        <v>83.21</v>
      </c>
      <c r="G683" s="2979">
        <v>3.11</v>
      </c>
      <c r="H683" s="2979">
        <v>86.32</v>
      </c>
      <c r="I683" s="2974" t="s">
        <v>1373</v>
      </c>
      <c r="J683" s="2981" t="s">
        <v>3133</v>
      </c>
      <c r="L683" s="2976"/>
      <c r="M683" s="2976"/>
      <c r="N683" s="2976"/>
      <c r="O683" s="2976"/>
      <c r="P683" s="2976"/>
      <c r="Q683" s="2976"/>
      <c r="R683" s="2976"/>
      <c r="S683" s="2976"/>
      <c r="T683" s="2976"/>
      <c r="U683" s="2976"/>
      <c r="V683" s="2976"/>
      <c r="W683" s="2976"/>
      <c r="X683" s="2976"/>
      <c r="Y683" s="2976"/>
      <c r="Z683" s="2976"/>
      <c r="AA683" s="2976"/>
      <c r="AB683" s="2976"/>
      <c r="AC683" s="2976"/>
      <c r="AD683" s="2976"/>
      <c r="AE683" s="2976"/>
      <c r="AF683" s="2976"/>
    </row>
    <row r="684" spans="1:32">
      <c r="A684" s="2972">
        <v>681</v>
      </c>
      <c r="B684" s="2974" t="s">
        <v>3240</v>
      </c>
      <c r="C684" s="2982" t="s">
        <v>3152</v>
      </c>
      <c r="D684" s="2974" t="s">
        <v>3213</v>
      </c>
      <c r="E684" s="2982" t="s">
        <v>3140</v>
      </c>
      <c r="F684" s="2983">
        <v>82</v>
      </c>
      <c r="G684" s="2979">
        <v>3.07</v>
      </c>
      <c r="H684" s="2979">
        <v>85.07</v>
      </c>
      <c r="I684" s="2974" t="s">
        <v>1373</v>
      </c>
      <c r="J684" s="2981" t="s">
        <v>3133</v>
      </c>
      <c r="L684" s="2976"/>
      <c r="M684" s="2976"/>
      <c r="N684" s="2976"/>
      <c r="O684" s="2976"/>
      <c r="P684" s="2976"/>
      <c r="Q684" s="2976"/>
      <c r="R684" s="2976"/>
      <c r="S684" s="2976"/>
      <c r="T684" s="2976"/>
      <c r="U684" s="2976"/>
      <c r="V684" s="2976"/>
      <c r="W684" s="2976"/>
      <c r="X684" s="2976"/>
      <c r="Y684" s="2976"/>
      <c r="Z684" s="2976"/>
      <c r="AA684" s="2976"/>
      <c r="AB684" s="2976"/>
      <c r="AC684" s="2976"/>
      <c r="AD684" s="2976"/>
      <c r="AE684" s="2976"/>
      <c r="AF684" s="2976"/>
    </row>
    <row r="685" spans="1:32">
      <c r="A685" s="2972">
        <v>682</v>
      </c>
      <c r="B685" s="2974" t="s">
        <v>3240</v>
      </c>
      <c r="C685" s="2982" t="s">
        <v>3152</v>
      </c>
      <c r="D685" s="2974" t="s">
        <v>3213</v>
      </c>
      <c r="E685" s="2982" t="s">
        <v>3141</v>
      </c>
      <c r="F685" s="2983">
        <v>84.01</v>
      </c>
      <c r="G685" s="2979">
        <v>3.14</v>
      </c>
      <c r="H685" s="2979">
        <v>87.15</v>
      </c>
      <c r="I685" s="2974" t="s">
        <v>1373</v>
      </c>
      <c r="J685" s="2981" t="s">
        <v>3133</v>
      </c>
      <c r="L685" s="2976"/>
      <c r="M685" s="2976"/>
      <c r="N685" s="2976"/>
      <c r="O685" s="2976"/>
      <c r="P685" s="2976"/>
      <c r="Q685" s="2976"/>
      <c r="R685" s="2976"/>
      <c r="S685" s="2976"/>
      <c r="T685" s="2976"/>
      <c r="U685" s="2976"/>
      <c r="V685" s="2976"/>
      <c r="W685" s="2976"/>
      <c r="X685" s="2976"/>
      <c r="Y685" s="2976"/>
      <c r="Z685" s="2976"/>
      <c r="AA685" s="2976"/>
      <c r="AB685" s="2976"/>
      <c r="AC685" s="2976"/>
      <c r="AD685" s="2976"/>
      <c r="AE685" s="2976"/>
      <c r="AF685" s="2976"/>
    </row>
    <row r="686" spans="1:32">
      <c r="A686" s="2972">
        <v>683</v>
      </c>
      <c r="B686" s="2974" t="s">
        <v>3240</v>
      </c>
      <c r="C686" s="2982" t="s">
        <v>3152</v>
      </c>
      <c r="D686" s="2974" t="s">
        <v>3213</v>
      </c>
      <c r="E686" s="2982" t="s">
        <v>3142</v>
      </c>
      <c r="F686" s="2983">
        <v>113.44</v>
      </c>
      <c r="G686" s="2979">
        <v>4.24</v>
      </c>
      <c r="H686" s="2979">
        <v>117.67999999999999</v>
      </c>
      <c r="I686" s="2974" t="s">
        <v>1373</v>
      </c>
      <c r="J686" s="2981" t="s">
        <v>3133</v>
      </c>
      <c r="K686" s="2992"/>
      <c r="L686" s="2976"/>
      <c r="M686" s="2976"/>
      <c r="N686" s="2976"/>
      <c r="O686" s="2976"/>
      <c r="P686" s="2976"/>
      <c r="Q686" s="2976"/>
      <c r="R686" s="2976"/>
      <c r="S686" s="2976"/>
      <c r="T686" s="2976"/>
      <c r="U686" s="2976"/>
      <c r="V686" s="2976"/>
      <c r="W686" s="2976"/>
      <c r="X686" s="2976"/>
      <c r="Y686" s="2976"/>
      <c r="Z686" s="2976"/>
      <c r="AA686" s="2976"/>
      <c r="AB686" s="2976"/>
      <c r="AC686" s="2976"/>
      <c r="AD686" s="2976"/>
      <c r="AE686" s="2976"/>
      <c r="AF686" s="2976"/>
    </row>
    <row r="687" spans="1:32">
      <c r="A687" s="2972">
        <v>686</v>
      </c>
      <c r="B687" s="2974" t="s">
        <v>3200</v>
      </c>
      <c r="C687" s="2973" t="s">
        <v>3207</v>
      </c>
      <c r="D687" s="2972" t="s">
        <v>3183</v>
      </c>
      <c r="E687" s="2974" t="s">
        <v>3132</v>
      </c>
      <c r="F687" s="2974">
        <v>70.16</v>
      </c>
      <c r="G687" s="2979">
        <v>2.59</v>
      </c>
      <c r="H687" s="2979">
        <v>72.75</v>
      </c>
      <c r="I687" s="2979" t="s">
        <v>1373</v>
      </c>
      <c r="J687" s="2974" t="s">
        <v>3133</v>
      </c>
      <c r="L687" s="2976"/>
      <c r="M687" s="2976"/>
      <c r="N687" s="2976"/>
      <c r="O687" s="2976"/>
      <c r="P687" s="2976"/>
      <c r="Q687" s="2976"/>
      <c r="R687" s="2976"/>
      <c r="S687" s="2976"/>
      <c r="T687" s="2976"/>
      <c r="U687" s="2976"/>
      <c r="V687" s="2976"/>
      <c r="W687" s="2976"/>
      <c r="X687" s="2976"/>
      <c r="Y687" s="2976"/>
      <c r="Z687" s="2976"/>
      <c r="AA687" s="2976"/>
      <c r="AB687" s="2976"/>
      <c r="AC687" s="2976"/>
      <c r="AD687" s="2976"/>
      <c r="AE687" s="2976"/>
      <c r="AF687" s="2976"/>
    </row>
    <row r="688" spans="1:32">
      <c r="A688" s="2972">
        <v>687</v>
      </c>
      <c r="B688" s="2974" t="s">
        <v>3200</v>
      </c>
      <c r="C688" s="2973" t="s">
        <v>3207</v>
      </c>
      <c r="D688" s="2972" t="s">
        <v>3183</v>
      </c>
      <c r="E688" s="2974" t="s">
        <v>3134</v>
      </c>
      <c r="F688" s="2974">
        <v>53.02</v>
      </c>
      <c r="G688" s="2979">
        <v>1.95</v>
      </c>
      <c r="H688" s="2979">
        <v>54.970000000000006</v>
      </c>
      <c r="I688" s="2979" t="s">
        <v>1373</v>
      </c>
      <c r="J688" s="2974" t="s">
        <v>3133</v>
      </c>
      <c r="L688" s="2976"/>
      <c r="M688" s="2976"/>
      <c r="N688" s="2976"/>
      <c r="O688" s="2976"/>
      <c r="P688" s="2976"/>
      <c r="Q688" s="2976"/>
      <c r="R688" s="2976"/>
      <c r="S688" s="2976"/>
      <c r="T688" s="2976"/>
      <c r="U688" s="2976"/>
      <c r="V688" s="2976"/>
      <c r="W688" s="2976"/>
      <c r="X688" s="2976"/>
      <c r="Y688" s="2976"/>
      <c r="Z688" s="2976"/>
      <c r="AA688" s="2976"/>
      <c r="AB688" s="2976"/>
      <c r="AC688" s="2976"/>
      <c r="AD688" s="2976"/>
      <c r="AE688" s="2976"/>
      <c r="AF688" s="2976"/>
    </row>
    <row r="689" spans="1:32">
      <c r="A689" s="2972">
        <v>688</v>
      </c>
      <c r="B689" s="2974" t="s">
        <v>3200</v>
      </c>
      <c r="C689" s="2973" t="s">
        <v>3207</v>
      </c>
      <c r="D689" s="2972" t="s">
        <v>3183</v>
      </c>
      <c r="E689" s="2974" t="s">
        <v>3135</v>
      </c>
      <c r="F689" s="2974">
        <v>53.92</v>
      </c>
      <c r="G689" s="2979">
        <v>1.99</v>
      </c>
      <c r="H689" s="2979">
        <v>55.910000000000004</v>
      </c>
      <c r="I689" s="2979" t="s">
        <v>1373</v>
      </c>
      <c r="J689" s="2974" t="s">
        <v>3133</v>
      </c>
      <c r="L689" s="2976"/>
      <c r="M689" s="2976"/>
      <c r="N689" s="2976"/>
      <c r="O689" s="2976"/>
      <c r="P689" s="2976"/>
      <c r="Q689" s="2976"/>
      <c r="R689" s="2976"/>
      <c r="S689" s="2976"/>
      <c r="T689" s="2976"/>
      <c r="U689" s="2976"/>
      <c r="V689" s="2976"/>
      <c r="W689" s="2976"/>
      <c r="X689" s="2976"/>
      <c r="Y689" s="2976"/>
      <c r="Z689" s="2976"/>
      <c r="AA689" s="2976"/>
      <c r="AB689" s="2976"/>
      <c r="AC689" s="2976"/>
      <c r="AD689" s="2976"/>
      <c r="AE689" s="2976"/>
      <c r="AF689" s="2976"/>
    </row>
    <row r="690" spans="1:32">
      <c r="A690" s="2972">
        <v>689</v>
      </c>
      <c r="B690" s="2974" t="s">
        <v>3200</v>
      </c>
      <c r="C690" s="2973" t="s">
        <v>3207</v>
      </c>
      <c r="D690" s="2972" t="s">
        <v>3183</v>
      </c>
      <c r="E690" s="2974" t="s">
        <v>3136</v>
      </c>
      <c r="F690" s="2980">
        <v>67.599999999999994</v>
      </c>
      <c r="G690" s="2979">
        <v>2.4900000000000002</v>
      </c>
      <c r="H690" s="2979">
        <v>70.089999999999989</v>
      </c>
      <c r="I690" s="2979" t="s">
        <v>1373</v>
      </c>
      <c r="J690" s="2974" t="s">
        <v>3133</v>
      </c>
      <c r="L690" s="2976"/>
      <c r="M690" s="2976"/>
      <c r="N690" s="2976"/>
      <c r="O690" s="2976"/>
      <c r="P690" s="2976"/>
      <c r="Q690" s="2976"/>
      <c r="R690" s="2976"/>
      <c r="S690" s="2976"/>
      <c r="T690" s="2976"/>
      <c r="U690" s="2976"/>
      <c r="V690" s="2976"/>
      <c r="W690" s="2976"/>
      <c r="X690" s="2976"/>
      <c r="Y690" s="2976"/>
      <c r="Z690" s="2976"/>
      <c r="AA690" s="2976"/>
      <c r="AB690" s="2976"/>
      <c r="AC690" s="2976"/>
      <c r="AD690" s="2976"/>
      <c r="AE690" s="2976"/>
      <c r="AF690" s="2976"/>
    </row>
    <row r="691" spans="1:32">
      <c r="A691" s="2972">
        <v>690</v>
      </c>
      <c r="B691" s="2974" t="s">
        <v>3200</v>
      </c>
      <c r="C691" s="2973" t="s">
        <v>3207</v>
      </c>
      <c r="D691" s="2972" t="s">
        <v>3183</v>
      </c>
      <c r="E691" s="2974" t="s">
        <v>3137</v>
      </c>
      <c r="F691" s="2974">
        <v>55.8</v>
      </c>
      <c r="G691" s="2979">
        <v>2.06</v>
      </c>
      <c r="H691" s="2979">
        <v>57.86</v>
      </c>
      <c r="I691" s="2979" t="s">
        <v>1373</v>
      </c>
      <c r="J691" s="2974" t="s">
        <v>3133</v>
      </c>
      <c r="L691" s="2976"/>
      <c r="M691" s="2976"/>
      <c r="N691" s="2976"/>
      <c r="O691" s="2976"/>
      <c r="P691" s="2976"/>
      <c r="Q691" s="2976"/>
      <c r="R691" s="2976"/>
      <c r="S691" s="2976"/>
      <c r="T691" s="2976"/>
      <c r="U691" s="2976"/>
      <c r="V691" s="2976"/>
      <c r="W691" s="2976"/>
      <c r="X691" s="2976"/>
      <c r="Y691" s="2976"/>
      <c r="Z691" s="2976"/>
      <c r="AA691" s="2976"/>
      <c r="AB691" s="2976"/>
      <c r="AC691" s="2976"/>
      <c r="AD691" s="2976"/>
      <c r="AE691" s="2976"/>
      <c r="AF691" s="2976"/>
    </row>
    <row r="692" spans="1:32">
      <c r="A692" s="2972">
        <v>691</v>
      </c>
      <c r="B692" s="2974" t="s">
        <v>3200</v>
      </c>
      <c r="C692" s="2973" t="s">
        <v>3207</v>
      </c>
      <c r="D692" s="2972" t="s">
        <v>3183</v>
      </c>
      <c r="E692" s="2974" t="s">
        <v>3138</v>
      </c>
      <c r="F692" s="2974">
        <v>53.94</v>
      </c>
      <c r="G692" s="2979">
        <v>1.99</v>
      </c>
      <c r="H692" s="2979">
        <v>55.93</v>
      </c>
      <c r="I692" s="2979" t="s">
        <v>1373</v>
      </c>
      <c r="J692" s="2974" t="s">
        <v>3133</v>
      </c>
      <c r="L692" s="2976"/>
      <c r="M692" s="2976"/>
      <c r="N692" s="2976"/>
      <c r="O692" s="2976"/>
      <c r="P692" s="2976"/>
      <c r="Q692" s="2976"/>
      <c r="R692" s="2976"/>
      <c r="S692" s="2976"/>
      <c r="T692" s="2976"/>
      <c r="U692" s="2976"/>
      <c r="V692" s="2976"/>
      <c r="W692" s="2976"/>
      <c r="X692" s="2976"/>
      <c r="Y692" s="2976"/>
      <c r="Z692" s="2976"/>
      <c r="AA692" s="2976"/>
      <c r="AB692" s="2976"/>
      <c r="AC692" s="2976"/>
      <c r="AD692" s="2976"/>
      <c r="AE692" s="2976"/>
      <c r="AF692" s="2976"/>
    </row>
    <row r="693" spans="1:32">
      <c r="A693" s="2972">
        <v>692</v>
      </c>
      <c r="B693" s="2974" t="s">
        <v>3200</v>
      </c>
      <c r="C693" s="2973" t="s">
        <v>3207</v>
      </c>
      <c r="D693" s="2972" t="s">
        <v>3183</v>
      </c>
      <c r="E693" s="2974" t="s">
        <v>3139</v>
      </c>
      <c r="F693" s="2974">
        <v>53.94</v>
      </c>
      <c r="G693" s="2979">
        <v>1.99</v>
      </c>
      <c r="H693" s="2979">
        <v>55.93</v>
      </c>
      <c r="I693" s="2979" t="s">
        <v>1373</v>
      </c>
      <c r="J693" s="2974" t="s">
        <v>3133</v>
      </c>
      <c r="L693" s="2976"/>
      <c r="M693" s="2976"/>
      <c r="N693" s="2976"/>
      <c r="O693" s="2976"/>
      <c r="P693" s="2976"/>
      <c r="Q693" s="2976"/>
      <c r="R693" s="2976"/>
      <c r="S693" s="2976"/>
      <c r="T693" s="2976"/>
      <c r="U693" s="2976"/>
      <c r="V693" s="2976"/>
      <c r="W693" s="2976"/>
      <c r="X693" s="2976"/>
      <c r="Y693" s="2976"/>
      <c r="Z693" s="2976"/>
      <c r="AA693" s="2976"/>
      <c r="AB693" s="2976"/>
      <c r="AC693" s="2976"/>
      <c r="AD693" s="2976"/>
      <c r="AE693" s="2976"/>
      <c r="AF693" s="2976"/>
    </row>
    <row r="694" spans="1:32">
      <c r="A694" s="2972">
        <v>693</v>
      </c>
      <c r="B694" s="2974" t="s">
        <v>3200</v>
      </c>
      <c r="C694" s="2973" t="s">
        <v>3207</v>
      </c>
      <c r="D694" s="2972" t="s">
        <v>3183</v>
      </c>
      <c r="E694" s="2974" t="s">
        <v>3140</v>
      </c>
      <c r="F694" s="2974">
        <v>55.8</v>
      </c>
      <c r="G694" s="2979">
        <v>2.06</v>
      </c>
      <c r="H694" s="2979">
        <v>57.86</v>
      </c>
      <c r="I694" s="2979" t="s">
        <v>1373</v>
      </c>
      <c r="J694" s="2974" t="s">
        <v>3133</v>
      </c>
      <c r="L694" s="2976"/>
      <c r="M694" s="2976"/>
      <c r="N694" s="2976"/>
      <c r="O694" s="2976"/>
      <c r="P694" s="2976"/>
      <c r="Q694" s="2976"/>
      <c r="R694" s="2976"/>
      <c r="S694" s="2976"/>
      <c r="T694" s="2976"/>
      <c r="U694" s="2976"/>
      <c r="V694" s="2976"/>
      <c r="W694" s="2976"/>
      <c r="X694" s="2976"/>
      <c r="Y694" s="2976"/>
      <c r="Z694" s="2976"/>
      <c r="AA694" s="2976"/>
      <c r="AB694" s="2976"/>
      <c r="AC694" s="2976"/>
      <c r="AD694" s="2976"/>
      <c r="AE694" s="2976"/>
      <c r="AF694" s="2976"/>
    </row>
    <row r="695" spans="1:32">
      <c r="A695" s="2972">
        <v>694</v>
      </c>
      <c r="B695" s="2974" t="s">
        <v>3200</v>
      </c>
      <c r="C695" s="2973" t="s">
        <v>3207</v>
      </c>
      <c r="D695" s="2972" t="s">
        <v>3183</v>
      </c>
      <c r="E695" s="2974" t="s">
        <v>3141</v>
      </c>
      <c r="F695" s="2974">
        <v>55.8</v>
      </c>
      <c r="G695" s="2979">
        <v>2.06</v>
      </c>
      <c r="H695" s="2979">
        <v>57.86</v>
      </c>
      <c r="I695" s="2979" t="s">
        <v>1373</v>
      </c>
      <c r="J695" s="2974" t="s">
        <v>3133</v>
      </c>
      <c r="L695" s="2976"/>
      <c r="M695" s="2976"/>
      <c r="N695" s="2976"/>
      <c r="O695" s="2976"/>
      <c r="P695" s="2976"/>
      <c r="Q695" s="2976"/>
      <c r="R695" s="2976"/>
      <c r="S695" s="2976"/>
      <c r="T695" s="2976"/>
      <c r="U695" s="2976"/>
      <c r="V695" s="2976"/>
      <c r="W695" s="2976"/>
      <c r="X695" s="2976"/>
      <c r="Y695" s="2976"/>
      <c r="Z695" s="2976"/>
      <c r="AA695" s="2976"/>
      <c r="AB695" s="2976"/>
      <c r="AC695" s="2976"/>
      <c r="AD695" s="2976"/>
      <c r="AE695" s="2976"/>
      <c r="AF695" s="2976"/>
    </row>
    <row r="696" spans="1:32">
      <c r="A696" s="2972">
        <v>695</v>
      </c>
      <c r="B696" s="2974" t="s">
        <v>3200</v>
      </c>
      <c r="C696" s="2973" t="s">
        <v>3207</v>
      </c>
      <c r="D696" s="2972" t="s">
        <v>3183</v>
      </c>
      <c r="E696" s="2974" t="s">
        <v>3142</v>
      </c>
      <c r="F696" s="2974">
        <v>60.14</v>
      </c>
      <c r="G696" s="2979">
        <v>2.2200000000000002</v>
      </c>
      <c r="H696" s="2979">
        <v>62.36</v>
      </c>
      <c r="I696" s="2979" t="s">
        <v>1373</v>
      </c>
      <c r="J696" s="2974" t="s">
        <v>3133</v>
      </c>
      <c r="L696" s="2976"/>
      <c r="M696" s="2976"/>
      <c r="N696" s="2976"/>
      <c r="O696" s="2976"/>
      <c r="P696" s="2976"/>
      <c r="Q696" s="2976"/>
      <c r="R696" s="2976"/>
      <c r="S696" s="2976"/>
      <c r="T696" s="2976"/>
      <c r="U696" s="2976"/>
      <c r="V696" s="2976"/>
      <c r="W696" s="2976"/>
      <c r="X696" s="2976"/>
      <c r="Y696" s="2976"/>
      <c r="Z696" s="2976"/>
      <c r="AA696" s="2976"/>
      <c r="AB696" s="2976"/>
      <c r="AC696" s="2976"/>
      <c r="AD696" s="2976"/>
      <c r="AE696" s="2976"/>
      <c r="AF696" s="2976"/>
    </row>
    <row r="697" spans="1:32">
      <c r="A697" s="2972">
        <v>696</v>
      </c>
      <c r="B697" s="2974" t="s">
        <v>3234</v>
      </c>
      <c r="C697" s="2982" t="s">
        <v>3152</v>
      </c>
      <c r="D697" s="2972" t="s">
        <v>3183</v>
      </c>
      <c r="E697" s="2974" t="s">
        <v>3132</v>
      </c>
      <c r="F697" s="2974">
        <v>98.7</v>
      </c>
      <c r="G697" s="2974">
        <v>3.52</v>
      </c>
      <c r="H697" s="2974">
        <v>102.22</v>
      </c>
      <c r="I697" s="2974" t="s">
        <v>1373</v>
      </c>
      <c r="J697" s="2974" t="s">
        <v>3133</v>
      </c>
      <c r="L697" s="2976"/>
      <c r="M697" s="2976"/>
      <c r="N697" s="2976"/>
      <c r="O697" s="2976"/>
      <c r="P697" s="2976"/>
      <c r="Q697" s="2976"/>
      <c r="R697" s="2976"/>
      <c r="S697" s="2976"/>
      <c r="T697" s="2976"/>
      <c r="U697" s="2976"/>
      <c r="V697" s="2976"/>
      <c r="W697" s="2976"/>
      <c r="X697" s="2976"/>
      <c r="Y697" s="2976"/>
      <c r="Z697" s="2976"/>
      <c r="AA697" s="2976"/>
      <c r="AB697" s="2976"/>
      <c r="AC697" s="2976"/>
      <c r="AD697" s="2976"/>
      <c r="AE697" s="2976"/>
      <c r="AF697" s="2976"/>
    </row>
    <row r="698" spans="1:32">
      <c r="A698" s="2972">
        <v>697</v>
      </c>
      <c r="B698" s="2974" t="s">
        <v>3234</v>
      </c>
      <c r="C698" s="2982" t="s">
        <v>3152</v>
      </c>
      <c r="D698" s="2972" t="s">
        <v>3183</v>
      </c>
      <c r="E698" s="2974" t="s">
        <v>3134</v>
      </c>
      <c r="F698" s="2974">
        <v>107.71</v>
      </c>
      <c r="G698" s="2974">
        <v>3.84</v>
      </c>
      <c r="H698" s="2974">
        <v>111.55</v>
      </c>
      <c r="I698" s="2974" t="s">
        <v>1373</v>
      </c>
      <c r="J698" s="2974" t="s">
        <v>3133</v>
      </c>
      <c r="L698" s="2976"/>
      <c r="M698" s="2976"/>
      <c r="N698" s="2976"/>
      <c r="O698" s="2976"/>
      <c r="P698" s="2976"/>
      <c r="Q698" s="2976"/>
      <c r="R698" s="2976"/>
      <c r="S698" s="2976"/>
      <c r="T698" s="2976"/>
      <c r="U698" s="2976"/>
      <c r="V698" s="2976"/>
      <c r="W698" s="2976"/>
      <c r="X698" s="2976"/>
      <c r="Y698" s="2976"/>
      <c r="Z698" s="2976"/>
      <c r="AA698" s="2976"/>
      <c r="AB698" s="2976"/>
      <c r="AC698" s="2976"/>
      <c r="AD698" s="2976"/>
      <c r="AE698" s="2976"/>
      <c r="AF698" s="2976"/>
    </row>
    <row r="699" spans="1:32">
      <c r="A699" s="2972">
        <v>698</v>
      </c>
      <c r="B699" s="2974" t="s">
        <v>3234</v>
      </c>
      <c r="C699" s="2982" t="s">
        <v>3152</v>
      </c>
      <c r="D699" s="2972" t="s">
        <v>3183</v>
      </c>
      <c r="E699" s="2974" t="s">
        <v>3135</v>
      </c>
      <c r="F699" s="2974">
        <v>118.34</v>
      </c>
      <c r="G699" s="2974">
        <v>4.22</v>
      </c>
      <c r="H699" s="2974">
        <v>122.56</v>
      </c>
      <c r="I699" s="2974" t="s">
        <v>1373</v>
      </c>
      <c r="J699" s="2974" t="s">
        <v>3133</v>
      </c>
      <c r="L699" s="2976"/>
      <c r="M699" s="2976"/>
      <c r="N699" s="2976"/>
      <c r="O699" s="2976"/>
      <c r="P699" s="2976"/>
      <c r="Q699" s="2976"/>
      <c r="R699" s="2976"/>
      <c r="S699" s="2976"/>
      <c r="T699" s="2976"/>
      <c r="U699" s="2976"/>
      <c r="V699" s="2976"/>
      <c r="W699" s="2976"/>
      <c r="X699" s="2976"/>
      <c r="Y699" s="2976"/>
      <c r="Z699" s="2976"/>
      <c r="AA699" s="2976"/>
      <c r="AB699" s="2976"/>
      <c r="AC699" s="2976"/>
      <c r="AD699" s="2976"/>
      <c r="AE699" s="2976"/>
      <c r="AF699" s="2976"/>
    </row>
    <row r="700" spans="1:32">
      <c r="A700" s="2972">
        <v>699</v>
      </c>
      <c r="B700" s="2974" t="s">
        <v>3234</v>
      </c>
      <c r="C700" s="2982" t="s">
        <v>3152</v>
      </c>
      <c r="D700" s="2972" t="s">
        <v>3183</v>
      </c>
      <c r="E700" s="2974" t="s">
        <v>3136</v>
      </c>
      <c r="F700" s="2974">
        <v>65.66</v>
      </c>
      <c r="G700" s="2974">
        <v>2.34</v>
      </c>
      <c r="H700" s="2974">
        <v>68</v>
      </c>
      <c r="I700" s="2974" t="s">
        <v>1373</v>
      </c>
      <c r="J700" s="2974" t="s">
        <v>3133</v>
      </c>
      <c r="L700" s="2976"/>
      <c r="M700" s="2976"/>
      <c r="N700" s="2976"/>
      <c r="O700" s="2976"/>
      <c r="P700" s="2976"/>
      <c r="Q700" s="2976"/>
      <c r="R700" s="2976"/>
      <c r="S700" s="2976"/>
      <c r="T700" s="2976"/>
      <c r="U700" s="2976"/>
      <c r="V700" s="2976"/>
      <c r="W700" s="2976"/>
      <c r="X700" s="2976"/>
      <c r="Y700" s="2976"/>
      <c r="Z700" s="2976"/>
      <c r="AA700" s="2976"/>
      <c r="AB700" s="2976"/>
      <c r="AC700" s="2976"/>
      <c r="AD700" s="2976"/>
      <c r="AE700" s="2976"/>
      <c r="AF700" s="2976"/>
    </row>
    <row r="701" spans="1:32">
      <c r="A701" s="2972">
        <v>700</v>
      </c>
      <c r="B701" s="2974" t="s">
        <v>3234</v>
      </c>
      <c r="C701" s="2982" t="s">
        <v>3152</v>
      </c>
      <c r="D701" s="2972" t="s">
        <v>3183</v>
      </c>
      <c r="E701" s="2974" t="s">
        <v>3137</v>
      </c>
      <c r="F701" s="2974">
        <v>112.07</v>
      </c>
      <c r="G701" s="2974">
        <v>4</v>
      </c>
      <c r="H701" s="2974">
        <v>116.07</v>
      </c>
      <c r="I701" s="2974" t="s">
        <v>1373</v>
      </c>
      <c r="J701" s="2974" t="s">
        <v>3133</v>
      </c>
      <c r="L701" s="2976"/>
      <c r="M701" s="2976"/>
      <c r="N701" s="2976"/>
      <c r="O701" s="2976"/>
      <c r="P701" s="2976"/>
      <c r="Q701" s="2976"/>
      <c r="R701" s="2976"/>
      <c r="S701" s="2976"/>
      <c r="T701" s="2976"/>
      <c r="U701" s="2976"/>
      <c r="V701" s="2976"/>
      <c r="W701" s="2976"/>
      <c r="X701" s="2976"/>
      <c r="Y701" s="2976"/>
      <c r="Z701" s="2976"/>
      <c r="AA701" s="2976"/>
      <c r="AB701" s="2976"/>
      <c r="AC701" s="2976"/>
      <c r="AD701" s="2976"/>
      <c r="AE701" s="2976"/>
      <c r="AF701" s="2976"/>
    </row>
    <row r="702" spans="1:32">
      <c r="A702" s="2972">
        <v>701</v>
      </c>
      <c r="B702" s="2974" t="s">
        <v>3234</v>
      </c>
      <c r="C702" s="2982" t="s">
        <v>3152</v>
      </c>
      <c r="D702" s="2972" t="s">
        <v>3183</v>
      </c>
      <c r="E702" s="2974" t="s">
        <v>3138</v>
      </c>
      <c r="F702" s="2974">
        <v>38.72</v>
      </c>
      <c r="G702" s="2974">
        <v>1.38</v>
      </c>
      <c r="H702" s="2974">
        <v>40.1</v>
      </c>
      <c r="I702" s="2974" t="s">
        <v>1373</v>
      </c>
      <c r="J702" s="2974" t="s">
        <v>3133</v>
      </c>
      <c r="L702" s="2976"/>
      <c r="M702" s="2976"/>
      <c r="N702" s="2976"/>
      <c r="O702" s="2976"/>
      <c r="P702" s="2976"/>
      <c r="Q702" s="2976"/>
      <c r="R702" s="2976"/>
      <c r="S702" s="2976"/>
      <c r="T702" s="2976"/>
      <c r="U702" s="2976"/>
      <c r="V702" s="2976"/>
      <c r="W702" s="2976"/>
      <c r="X702" s="2976"/>
      <c r="Y702" s="2976"/>
      <c r="Z702" s="2976"/>
      <c r="AA702" s="2976"/>
      <c r="AB702" s="2976"/>
      <c r="AC702" s="2976"/>
      <c r="AD702" s="2976"/>
      <c r="AE702" s="2976"/>
      <c r="AF702" s="2976"/>
    </row>
    <row r="703" spans="1:32">
      <c r="A703" s="2972">
        <v>702</v>
      </c>
      <c r="B703" s="2974" t="s">
        <v>3234</v>
      </c>
      <c r="C703" s="2982" t="s">
        <v>3152</v>
      </c>
      <c r="D703" s="2972" t="s">
        <v>3183</v>
      </c>
      <c r="E703" s="2974" t="s">
        <v>3139</v>
      </c>
      <c r="F703" s="2974">
        <v>38.54</v>
      </c>
      <c r="G703" s="2974">
        <v>1.37</v>
      </c>
      <c r="H703" s="2974">
        <v>39.909999999999997</v>
      </c>
      <c r="I703" s="2974" t="s">
        <v>1373</v>
      </c>
      <c r="J703" s="2974" t="s">
        <v>3133</v>
      </c>
      <c r="L703" s="2976"/>
      <c r="M703" s="2976"/>
      <c r="N703" s="2976"/>
      <c r="O703" s="2976"/>
      <c r="P703" s="2976"/>
      <c r="Q703" s="2976"/>
      <c r="R703" s="2976"/>
      <c r="S703" s="2976"/>
      <c r="T703" s="2976"/>
      <c r="U703" s="2976"/>
      <c r="V703" s="2976"/>
      <c r="W703" s="2976"/>
      <c r="X703" s="2976"/>
      <c r="Y703" s="2976"/>
      <c r="Z703" s="2976"/>
      <c r="AA703" s="2976"/>
      <c r="AB703" s="2976"/>
      <c r="AC703" s="2976"/>
      <c r="AD703" s="2976"/>
      <c r="AE703" s="2976"/>
      <c r="AF703" s="2976"/>
    </row>
    <row r="704" spans="1:32">
      <c r="A704" s="2972">
        <v>703</v>
      </c>
      <c r="B704" s="2974" t="s">
        <v>3234</v>
      </c>
      <c r="C704" s="2982" t="s">
        <v>3152</v>
      </c>
      <c r="D704" s="2972" t="s">
        <v>3183</v>
      </c>
      <c r="E704" s="2974" t="s">
        <v>3140</v>
      </c>
      <c r="F704" s="2974">
        <v>60.13</v>
      </c>
      <c r="G704" s="2974">
        <v>2.14</v>
      </c>
      <c r="H704" s="2974">
        <v>62.27</v>
      </c>
      <c r="I704" s="2974" t="s">
        <v>1373</v>
      </c>
      <c r="J704" s="2974" t="s">
        <v>3133</v>
      </c>
      <c r="L704" s="2976"/>
      <c r="M704" s="2976"/>
      <c r="N704" s="2976"/>
      <c r="O704" s="2976"/>
      <c r="P704" s="2976"/>
      <c r="Q704" s="2976"/>
      <c r="R704" s="2976"/>
      <c r="S704" s="2976"/>
      <c r="T704" s="2976"/>
      <c r="U704" s="2976"/>
      <c r="V704" s="2976"/>
      <c r="W704" s="2976"/>
      <c r="X704" s="2976"/>
      <c r="Y704" s="2976"/>
      <c r="Z704" s="2976"/>
      <c r="AA704" s="2976"/>
      <c r="AB704" s="2976"/>
      <c r="AC704" s="2976"/>
      <c r="AD704" s="2976"/>
      <c r="AE704" s="2976"/>
      <c r="AF704" s="2976"/>
    </row>
    <row r="705" spans="1:32">
      <c r="A705" s="2972">
        <v>704</v>
      </c>
      <c r="B705" s="2974" t="s">
        <v>3234</v>
      </c>
      <c r="C705" s="2982" t="s">
        <v>3152</v>
      </c>
      <c r="D705" s="2972" t="s">
        <v>3183</v>
      </c>
      <c r="E705" s="2974" t="s">
        <v>3141</v>
      </c>
      <c r="F705" s="2974">
        <v>72.709999999999994</v>
      </c>
      <c r="G705" s="2974">
        <v>2.59</v>
      </c>
      <c r="H705" s="2974">
        <v>75.3</v>
      </c>
      <c r="I705" s="2974" t="s">
        <v>1373</v>
      </c>
      <c r="J705" s="2974" t="s">
        <v>3133</v>
      </c>
      <c r="L705" s="2976"/>
      <c r="M705" s="2976"/>
      <c r="N705" s="2976"/>
      <c r="O705" s="2976"/>
      <c r="P705" s="2976"/>
      <c r="Q705" s="2976"/>
      <c r="R705" s="2976"/>
      <c r="S705" s="2976"/>
      <c r="T705" s="2976"/>
      <c r="U705" s="2976"/>
      <c r="V705" s="2976"/>
      <c r="W705" s="2976"/>
      <c r="X705" s="2976"/>
      <c r="Y705" s="2976"/>
      <c r="Z705" s="2976"/>
      <c r="AA705" s="2976"/>
      <c r="AB705" s="2976"/>
      <c r="AC705" s="2976"/>
      <c r="AD705" s="2976"/>
      <c r="AE705" s="2976"/>
      <c r="AF705" s="2976"/>
    </row>
    <row r="706" spans="1:32">
      <c r="A706" s="2972">
        <v>705</v>
      </c>
      <c r="B706" s="2974" t="s">
        <v>3235</v>
      </c>
      <c r="C706" s="2982" t="s">
        <v>3152</v>
      </c>
      <c r="D706" s="2972" t="s">
        <v>3183</v>
      </c>
      <c r="E706" s="2982" t="s">
        <v>3132</v>
      </c>
      <c r="F706" s="2983">
        <v>113.61</v>
      </c>
      <c r="G706" s="2979">
        <v>3.93</v>
      </c>
      <c r="H706" s="2979">
        <v>117.54</v>
      </c>
      <c r="I706" s="2980" t="s">
        <v>1373</v>
      </c>
      <c r="J706" s="2981" t="s">
        <v>3133</v>
      </c>
      <c r="L706" s="2976"/>
      <c r="M706" s="2976"/>
      <c r="N706" s="2976"/>
      <c r="O706" s="2976"/>
      <c r="P706" s="2976"/>
      <c r="Q706" s="2976"/>
      <c r="R706" s="2976"/>
      <c r="S706" s="2976"/>
      <c r="T706" s="2976"/>
      <c r="U706" s="2976"/>
      <c r="V706" s="2976"/>
      <c r="W706" s="2976"/>
      <c r="X706" s="2976"/>
      <c r="Y706" s="2976"/>
      <c r="Z706" s="2976"/>
      <c r="AA706" s="2976"/>
      <c r="AB706" s="2976"/>
      <c r="AC706" s="2976"/>
      <c r="AD706" s="2976"/>
      <c r="AE706" s="2976"/>
      <c r="AF706" s="2976"/>
    </row>
    <row r="707" spans="1:32">
      <c r="A707" s="2972">
        <v>706</v>
      </c>
      <c r="B707" s="2974" t="s">
        <v>3235</v>
      </c>
      <c r="C707" s="2982" t="s">
        <v>3152</v>
      </c>
      <c r="D707" s="2972" t="s">
        <v>3183</v>
      </c>
      <c r="E707" s="2982" t="s">
        <v>3134</v>
      </c>
      <c r="F707" s="2983">
        <v>53.55</v>
      </c>
      <c r="G707" s="2979">
        <v>1.85</v>
      </c>
      <c r="H707" s="2979">
        <v>55.4</v>
      </c>
      <c r="I707" s="2980" t="s">
        <v>1373</v>
      </c>
      <c r="J707" s="2981" t="s">
        <v>3133</v>
      </c>
      <c r="L707" s="2976"/>
      <c r="M707" s="2976"/>
      <c r="N707" s="2976"/>
      <c r="O707" s="2976"/>
      <c r="P707" s="2976"/>
      <c r="Q707" s="2976"/>
      <c r="R707" s="2976"/>
      <c r="S707" s="2976"/>
      <c r="T707" s="2976"/>
      <c r="U707" s="2976"/>
      <c r="V707" s="2976"/>
      <c r="W707" s="2976"/>
      <c r="X707" s="2976"/>
      <c r="Y707" s="2976"/>
      <c r="Z707" s="2976"/>
      <c r="AA707" s="2976"/>
      <c r="AB707" s="2976"/>
      <c r="AC707" s="2976"/>
      <c r="AD707" s="2976"/>
      <c r="AE707" s="2976"/>
      <c r="AF707" s="2976"/>
    </row>
    <row r="708" spans="1:32">
      <c r="A708" s="2972">
        <v>707</v>
      </c>
      <c r="B708" s="2974" t="s">
        <v>3235</v>
      </c>
      <c r="C708" s="2982" t="s">
        <v>3152</v>
      </c>
      <c r="D708" s="2972" t="s">
        <v>3183</v>
      </c>
      <c r="E708" s="2982" t="s">
        <v>3135</v>
      </c>
      <c r="F708" s="2983">
        <v>97.11</v>
      </c>
      <c r="G708" s="2979">
        <v>3.36</v>
      </c>
      <c r="H708" s="2979">
        <v>100.47</v>
      </c>
      <c r="I708" s="2980" t="s">
        <v>1373</v>
      </c>
      <c r="J708" s="2981" t="s">
        <v>3133</v>
      </c>
      <c r="L708" s="2976"/>
      <c r="M708" s="2976"/>
      <c r="N708" s="2976"/>
      <c r="O708" s="2976"/>
      <c r="P708" s="2976"/>
      <c r="Q708" s="2976"/>
      <c r="R708" s="2976"/>
      <c r="S708" s="2976"/>
      <c r="T708" s="2976"/>
      <c r="U708" s="2976"/>
      <c r="V708" s="2976"/>
      <c r="W708" s="2976"/>
      <c r="X708" s="2976"/>
      <c r="Y708" s="2976"/>
      <c r="Z708" s="2976"/>
      <c r="AA708" s="2976"/>
      <c r="AB708" s="2976"/>
      <c r="AC708" s="2976"/>
      <c r="AD708" s="2976"/>
      <c r="AE708" s="2976"/>
      <c r="AF708" s="2976"/>
    </row>
    <row r="709" spans="1:32">
      <c r="A709" s="2972">
        <v>708</v>
      </c>
      <c r="B709" s="2974" t="s">
        <v>3235</v>
      </c>
      <c r="C709" s="2982" t="s">
        <v>3152</v>
      </c>
      <c r="D709" s="2972" t="s">
        <v>3183</v>
      </c>
      <c r="E709" s="2982" t="s">
        <v>3136</v>
      </c>
      <c r="F709" s="2983">
        <v>105.78</v>
      </c>
      <c r="G709" s="2979">
        <v>3.65</v>
      </c>
      <c r="H709" s="2979">
        <v>109.43</v>
      </c>
      <c r="I709" s="2980" t="s">
        <v>1373</v>
      </c>
      <c r="J709" s="2981" t="s">
        <v>3133</v>
      </c>
      <c r="L709" s="2976"/>
      <c r="M709" s="2976"/>
      <c r="N709" s="2976"/>
      <c r="O709" s="2976"/>
      <c r="P709" s="2976"/>
      <c r="Q709" s="2976"/>
      <c r="R709" s="2976"/>
      <c r="S709" s="2976"/>
      <c r="T709" s="2976"/>
      <c r="U709" s="2976"/>
      <c r="V709" s="2976"/>
      <c r="W709" s="2976"/>
      <c r="X709" s="2976"/>
      <c r="Y709" s="2976"/>
      <c r="Z709" s="2976"/>
      <c r="AA709" s="2976"/>
      <c r="AB709" s="2976"/>
      <c r="AC709" s="2976"/>
      <c r="AD709" s="2976"/>
      <c r="AE709" s="2976"/>
      <c r="AF709" s="2976"/>
    </row>
    <row r="710" spans="1:32">
      <c r="A710" s="2972">
        <v>709</v>
      </c>
      <c r="B710" s="2974" t="s">
        <v>3235</v>
      </c>
      <c r="C710" s="2982" t="s">
        <v>3152</v>
      </c>
      <c r="D710" s="2972" t="s">
        <v>3183</v>
      </c>
      <c r="E710" s="2982" t="s">
        <v>3137</v>
      </c>
      <c r="F710" s="2983">
        <v>97.59</v>
      </c>
      <c r="G710" s="2979">
        <v>3.37</v>
      </c>
      <c r="H710" s="2979">
        <v>100.96000000000001</v>
      </c>
      <c r="I710" s="2980" t="s">
        <v>1373</v>
      </c>
      <c r="J710" s="2981" t="s">
        <v>3133</v>
      </c>
      <c r="L710" s="2976"/>
      <c r="M710" s="2976"/>
      <c r="N710" s="2976"/>
      <c r="O710" s="2976"/>
      <c r="P710" s="2976"/>
      <c r="Q710" s="2976"/>
      <c r="R710" s="2976"/>
      <c r="S710" s="2976"/>
      <c r="T710" s="2976"/>
      <c r="U710" s="2976"/>
      <c r="V710" s="2976"/>
      <c r="W710" s="2976"/>
      <c r="X710" s="2976"/>
      <c r="Y710" s="2976"/>
      <c r="Z710" s="2976"/>
      <c r="AA710" s="2976"/>
      <c r="AB710" s="2976"/>
      <c r="AC710" s="2976"/>
      <c r="AD710" s="2976"/>
      <c r="AE710" s="2976"/>
      <c r="AF710" s="2976"/>
    </row>
    <row r="711" spans="1:32">
      <c r="A711" s="2972">
        <v>710</v>
      </c>
      <c r="B711" s="2974" t="s">
        <v>3235</v>
      </c>
      <c r="C711" s="2982" t="s">
        <v>3152</v>
      </c>
      <c r="D711" s="2972" t="s">
        <v>3183</v>
      </c>
      <c r="E711" s="2982" t="s">
        <v>3138</v>
      </c>
      <c r="F711" s="2983">
        <v>85.22</v>
      </c>
      <c r="G711" s="2979">
        <v>2.94</v>
      </c>
      <c r="H711" s="2979">
        <v>88.16</v>
      </c>
      <c r="I711" s="2980" t="s">
        <v>1373</v>
      </c>
      <c r="J711" s="2981" t="s">
        <v>3133</v>
      </c>
      <c r="L711" s="2976"/>
      <c r="M711" s="2976"/>
      <c r="N711" s="2976"/>
      <c r="O711" s="2976"/>
      <c r="P711" s="2976"/>
      <c r="Q711" s="2976"/>
      <c r="R711" s="2976"/>
      <c r="S711" s="2976"/>
      <c r="T711" s="2976"/>
      <c r="U711" s="2976"/>
      <c r="V711" s="2976"/>
      <c r="W711" s="2976"/>
      <c r="X711" s="2976"/>
      <c r="Y711" s="2976"/>
      <c r="Z711" s="2976"/>
      <c r="AA711" s="2976"/>
      <c r="AB711" s="2976"/>
      <c r="AC711" s="2976"/>
      <c r="AD711" s="2976"/>
      <c r="AE711" s="2976"/>
      <c r="AF711" s="2976"/>
    </row>
    <row r="712" spans="1:32">
      <c r="A712" s="2972">
        <v>711</v>
      </c>
      <c r="B712" s="2974" t="s">
        <v>3235</v>
      </c>
      <c r="C712" s="2982" t="s">
        <v>3152</v>
      </c>
      <c r="D712" s="2972" t="s">
        <v>3183</v>
      </c>
      <c r="E712" s="2982" t="s">
        <v>3139</v>
      </c>
      <c r="F712" s="2983">
        <v>66.88</v>
      </c>
      <c r="G712" s="2979">
        <v>2.31</v>
      </c>
      <c r="H712" s="2979">
        <v>69.19</v>
      </c>
      <c r="I712" s="2980" t="s">
        <v>1373</v>
      </c>
      <c r="J712" s="2981" t="s">
        <v>3133</v>
      </c>
      <c r="L712" s="2976"/>
      <c r="M712" s="2976"/>
      <c r="N712" s="2976"/>
      <c r="O712" s="2976"/>
      <c r="P712" s="2976"/>
      <c r="Q712" s="2976"/>
      <c r="R712" s="2976"/>
      <c r="S712" s="2976"/>
      <c r="T712" s="2976"/>
      <c r="U712" s="2976"/>
      <c r="V712" s="2976"/>
      <c r="W712" s="2976"/>
      <c r="X712" s="2976"/>
      <c r="Y712" s="2976"/>
      <c r="Z712" s="2976"/>
      <c r="AA712" s="2976"/>
      <c r="AB712" s="2976"/>
      <c r="AC712" s="2976"/>
      <c r="AD712" s="2976"/>
      <c r="AE712" s="2976"/>
      <c r="AF712" s="2976"/>
    </row>
    <row r="713" spans="1:32">
      <c r="A713" s="2972">
        <v>712</v>
      </c>
      <c r="B713" s="2974" t="s">
        <v>3235</v>
      </c>
      <c r="C713" s="2982" t="s">
        <v>3152</v>
      </c>
      <c r="D713" s="2972" t="s">
        <v>3183</v>
      </c>
      <c r="E713" s="2982" t="s">
        <v>3140</v>
      </c>
      <c r="F713" s="2983">
        <v>92.38</v>
      </c>
      <c r="G713" s="2979">
        <v>3.19</v>
      </c>
      <c r="H713" s="2979">
        <v>95.57</v>
      </c>
      <c r="I713" s="2980" t="s">
        <v>1373</v>
      </c>
      <c r="J713" s="2981" t="s">
        <v>3133</v>
      </c>
      <c r="L713" s="2976"/>
      <c r="M713" s="2976"/>
      <c r="N713" s="2976"/>
      <c r="O713" s="2976"/>
      <c r="P713" s="2976"/>
      <c r="Q713" s="2976"/>
      <c r="R713" s="2976"/>
      <c r="S713" s="2976"/>
      <c r="T713" s="2976"/>
      <c r="U713" s="2976"/>
      <c r="V713" s="2976"/>
      <c r="W713" s="2976"/>
      <c r="X713" s="2976"/>
      <c r="Y713" s="2976"/>
      <c r="Z713" s="2976"/>
      <c r="AA713" s="2976"/>
      <c r="AB713" s="2976"/>
      <c r="AC713" s="2976"/>
      <c r="AD713" s="2976"/>
      <c r="AE713" s="2976"/>
      <c r="AF713" s="2976"/>
    </row>
    <row r="714" spans="1:32">
      <c r="A714" s="2972">
        <v>713</v>
      </c>
      <c r="B714" s="2974" t="s">
        <v>3235</v>
      </c>
      <c r="C714" s="2982" t="s">
        <v>3152</v>
      </c>
      <c r="D714" s="2972" t="s">
        <v>3183</v>
      </c>
      <c r="E714" s="2982" t="s">
        <v>3141</v>
      </c>
      <c r="F714" s="2983">
        <v>82.55</v>
      </c>
      <c r="G714" s="2979">
        <v>2.85</v>
      </c>
      <c r="H714" s="2979">
        <v>85.399999999999991</v>
      </c>
      <c r="I714" s="2980" t="s">
        <v>1373</v>
      </c>
      <c r="J714" s="2981" t="s">
        <v>3133</v>
      </c>
      <c r="L714" s="2976"/>
      <c r="M714" s="2976"/>
      <c r="N714" s="2976"/>
      <c r="O714" s="2976"/>
      <c r="P714" s="2976"/>
      <c r="Q714" s="2976"/>
      <c r="R714" s="2976"/>
      <c r="S714" s="2976"/>
      <c r="T714" s="2976"/>
      <c r="U714" s="2976"/>
      <c r="V714" s="2976"/>
      <c r="W714" s="2976"/>
      <c r="X714" s="2976"/>
      <c r="Y714" s="2976"/>
      <c r="Z714" s="2976"/>
      <c r="AA714" s="2976"/>
      <c r="AB714" s="2976"/>
      <c r="AC714" s="2976"/>
      <c r="AD714" s="2976"/>
      <c r="AE714" s="2976"/>
      <c r="AF714" s="2976"/>
    </row>
    <row r="715" spans="1:32">
      <c r="A715" s="2972">
        <v>714</v>
      </c>
      <c r="B715" s="2974" t="s">
        <v>3236</v>
      </c>
      <c r="C715" s="2982" t="s">
        <v>3152</v>
      </c>
      <c r="D715" s="2972" t="s">
        <v>3183</v>
      </c>
      <c r="E715" s="2982" t="s">
        <v>3132</v>
      </c>
      <c r="F715" s="2983">
        <v>140.52000000000001</v>
      </c>
      <c r="G715" s="2979">
        <v>4.8499999999999996</v>
      </c>
      <c r="H715" s="2979">
        <v>145.37</v>
      </c>
      <c r="I715" s="2974" t="s">
        <v>1373</v>
      </c>
      <c r="J715" s="2981" t="s">
        <v>3133</v>
      </c>
      <c r="L715" s="2976"/>
      <c r="M715" s="2976"/>
      <c r="N715" s="2976"/>
      <c r="O715" s="2976"/>
      <c r="P715" s="2976"/>
      <c r="Q715" s="2976"/>
      <c r="R715" s="2976"/>
      <c r="S715" s="2976"/>
      <c r="T715" s="2976"/>
      <c r="U715" s="2976"/>
      <c r="V715" s="2976"/>
      <c r="W715" s="2976"/>
      <c r="X715" s="2976"/>
      <c r="Y715" s="2976"/>
      <c r="Z715" s="2976"/>
      <c r="AA715" s="2976"/>
      <c r="AB715" s="2976"/>
      <c r="AC715" s="2976"/>
      <c r="AD715" s="2976"/>
      <c r="AE715" s="2976"/>
      <c r="AF715" s="2976"/>
    </row>
    <row r="716" spans="1:32">
      <c r="A716" s="2972">
        <v>715</v>
      </c>
      <c r="B716" s="2974" t="s">
        <v>3236</v>
      </c>
      <c r="C716" s="2982" t="s">
        <v>3152</v>
      </c>
      <c r="D716" s="2972" t="s">
        <v>3183</v>
      </c>
      <c r="E716" s="2982" t="s">
        <v>3134</v>
      </c>
      <c r="F716" s="2983">
        <v>95.14</v>
      </c>
      <c r="G716" s="2979">
        <v>3.28</v>
      </c>
      <c r="H716" s="2979">
        <v>98.42</v>
      </c>
      <c r="I716" s="2974" t="s">
        <v>1373</v>
      </c>
      <c r="J716" s="2981" t="s">
        <v>3133</v>
      </c>
      <c r="L716" s="2976"/>
      <c r="M716" s="2976"/>
      <c r="N716" s="2976"/>
      <c r="O716" s="2976"/>
      <c r="P716" s="2976"/>
      <c r="Q716" s="2976"/>
      <c r="R716" s="2976"/>
      <c r="S716" s="2976"/>
      <c r="T716" s="2976"/>
      <c r="U716" s="2976"/>
      <c r="V716" s="2976"/>
      <c r="W716" s="2976"/>
      <c r="X716" s="2976"/>
      <c r="Y716" s="2976"/>
      <c r="Z716" s="2976"/>
      <c r="AA716" s="2976"/>
      <c r="AB716" s="2976"/>
      <c r="AC716" s="2976"/>
      <c r="AD716" s="2976"/>
      <c r="AE716" s="2976"/>
      <c r="AF716" s="2976"/>
    </row>
    <row r="717" spans="1:32">
      <c r="A717" s="2972">
        <v>716</v>
      </c>
      <c r="B717" s="2974" t="s">
        <v>3236</v>
      </c>
      <c r="C717" s="2982" t="s">
        <v>3152</v>
      </c>
      <c r="D717" s="2972" t="s">
        <v>3183</v>
      </c>
      <c r="E717" s="2982" t="s">
        <v>3135</v>
      </c>
      <c r="F717" s="2983">
        <v>58.91</v>
      </c>
      <c r="G717" s="2979">
        <v>2.0299999999999998</v>
      </c>
      <c r="H717" s="2979">
        <v>60.94</v>
      </c>
      <c r="I717" s="2974" t="s">
        <v>1373</v>
      </c>
      <c r="J717" s="2981" t="s">
        <v>3133</v>
      </c>
      <c r="L717" s="2976"/>
      <c r="M717" s="2976"/>
      <c r="N717" s="2976"/>
      <c r="O717" s="2976"/>
      <c r="P717" s="2976"/>
      <c r="Q717" s="2976"/>
      <c r="R717" s="2976"/>
      <c r="S717" s="2976"/>
      <c r="T717" s="2976"/>
      <c r="U717" s="2976"/>
      <c r="V717" s="2976"/>
      <c r="W717" s="2976"/>
      <c r="X717" s="2976"/>
      <c r="Y717" s="2976"/>
      <c r="Z717" s="2976"/>
      <c r="AA717" s="2976"/>
      <c r="AB717" s="2976"/>
      <c r="AC717" s="2976"/>
      <c r="AD717" s="2976"/>
      <c r="AE717" s="2976"/>
      <c r="AF717" s="2976"/>
    </row>
    <row r="718" spans="1:32">
      <c r="A718" s="2972">
        <v>717</v>
      </c>
      <c r="B718" s="2974" t="s">
        <v>3236</v>
      </c>
      <c r="C718" s="2982" t="s">
        <v>3152</v>
      </c>
      <c r="D718" s="2972" t="s">
        <v>3183</v>
      </c>
      <c r="E718" s="2982" t="s">
        <v>3136</v>
      </c>
      <c r="F718" s="2983">
        <v>71.52</v>
      </c>
      <c r="G718" s="2979">
        <v>2.4700000000000002</v>
      </c>
      <c r="H718" s="2979">
        <v>73.989999999999995</v>
      </c>
      <c r="I718" s="2974" t="s">
        <v>1373</v>
      </c>
      <c r="J718" s="2981" t="s">
        <v>3133</v>
      </c>
      <c r="L718" s="2976"/>
      <c r="M718" s="2976"/>
      <c r="N718" s="2976"/>
      <c r="O718" s="2976"/>
      <c r="P718" s="2976"/>
      <c r="Q718" s="2976"/>
      <c r="R718" s="2976"/>
      <c r="S718" s="2976"/>
      <c r="T718" s="2976"/>
      <c r="U718" s="2976"/>
      <c r="V718" s="2976"/>
      <c r="W718" s="2976"/>
      <c r="X718" s="2976"/>
      <c r="Y718" s="2976"/>
      <c r="Z718" s="2976"/>
      <c r="AA718" s="2976"/>
      <c r="AB718" s="2976"/>
      <c r="AC718" s="2976"/>
      <c r="AD718" s="2976"/>
      <c r="AE718" s="2976"/>
      <c r="AF718" s="2976"/>
    </row>
    <row r="719" spans="1:32">
      <c r="A719" s="2972">
        <v>718</v>
      </c>
      <c r="B719" s="2974" t="s">
        <v>3236</v>
      </c>
      <c r="C719" s="2982" t="s">
        <v>3159</v>
      </c>
      <c r="D719" s="2972" t="s">
        <v>3183</v>
      </c>
      <c r="E719" s="2982" t="s">
        <v>3160</v>
      </c>
      <c r="F719" s="2983">
        <v>77.95</v>
      </c>
      <c r="G719" s="2979">
        <v>42.27</v>
      </c>
      <c r="H719" s="2979">
        <v>120.22</v>
      </c>
      <c r="I719" s="2980" t="s">
        <v>1373</v>
      </c>
      <c r="J719" s="2981" t="s">
        <v>3133</v>
      </c>
      <c r="L719" s="2976"/>
      <c r="M719" s="2976"/>
      <c r="N719" s="2976"/>
      <c r="O719" s="2976"/>
      <c r="P719" s="2976"/>
      <c r="Q719" s="2976"/>
      <c r="R719" s="2976"/>
      <c r="S719" s="2976"/>
      <c r="T719" s="2976"/>
      <c r="U719" s="2976"/>
      <c r="V719" s="2976"/>
      <c r="W719" s="2976"/>
      <c r="X719" s="2976"/>
      <c r="Y719" s="2976"/>
      <c r="Z719" s="2976"/>
      <c r="AA719" s="2976"/>
      <c r="AB719" s="2976"/>
      <c r="AC719" s="2976"/>
      <c r="AD719" s="2976"/>
      <c r="AE719" s="2976"/>
      <c r="AF719" s="2976"/>
    </row>
    <row r="720" spans="1:32">
      <c r="A720" s="2972">
        <v>719</v>
      </c>
      <c r="B720" s="2974" t="s">
        <v>3236</v>
      </c>
      <c r="C720" s="2982" t="s">
        <v>3159</v>
      </c>
      <c r="D720" s="2972" t="s">
        <v>3183</v>
      </c>
      <c r="E720" s="2982" t="s">
        <v>3161</v>
      </c>
      <c r="F720" s="2983">
        <v>74.41</v>
      </c>
      <c r="G720" s="2979">
        <v>40.35</v>
      </c>
      <c r="H720" s="2979">
        <v>114.75999999999999</v>
      </c>
      <c r="I720" s="2980" t="s">
        <v>1373</v>
      </c>
      <c r="J720" s="2981" t="s">
        <v>3133</v>
      </c>
      <c r="L720" s="2976"/>
      <c r="M720" s="2976"/>
      <c r="N720" s="2976"/>
      <c r="O720" s="2976"/>
      <c r="P720" s="2976"/>
      <c r="Q720" s="2976"/>
      <c r="R720" s="2976"/>
      <c r="S720" s="2976"/>
      <c r="T720" s="2976"/>
      <c r="U720" s="2976"/>
      <c r="V720" s="2976"/>
      <c r="W720" s="2976"/>
      <c r="X720" s="2976"/>
      <c r="Y720" s="2976"/>
      <c r="Z720" s="2976"/>
      <c r="AA720" s="2976"/>
      <c r="AB720" s="2976"/>
      <c r="AC720" s="2976"/>
      <c r="AD720" s="2976"/>
      <c r="AE720" s="2976"/>
      <c r="AF720" s="2976"/>
    </row>
    <row r="721" spans="1:32">
      <c r="A721" s="2972">
        <v>720</v>
      </c>
      <c r="B721" s="2974" t="s">
        <v>3236</v>
      </c>
      <c r="C721" s="2982" t="s">
        <v>3159</v>
      </c>
      <c r="D721" s="2972" t="s">
        <v>3183</v>
      </c>
      <c r="E721" s="2982" t="s">
        <v>3203</v>
      </c>
      <c r="F721" s="2983">
        <v>82.19</v>
      </c>
      <c r="G721" s="2979">
        <v>44.57</v>
      </c>
      <c r="H721" s="2979">
        <v>126.75999999999999</v>
      </c>
      <c r="I721" s="2974" t="s">
        <v>1373</v>
      </c>
      <c r="J721" s="2981" t="s">
        <v>3133</v>
      </c>
      <c r="L721" s="2976"/>
    </row>
    <row r="722" spans="1:32">
      <c r="A722" s="2972">
        <v>721</v>
      </c>
      <c r="B722" s="2974" t="s">
        <v>3237</v>
      </c>
      <c r="C722" s="2982" t="s">
        <v>3152</v>
      </c>
      <c r="D722" s="2972" t="s">
        <v>3183</v>
      </c>
      <c r="E722" s="2982" t="s">
        <v>3132</v>
      </c>
      <c r="F722" s="2983">
        <v>104.89</v>
      </c>
      <c r="G722" s="2979">
        <v>4.28</v>
      </c>
      <c r="H722" s="2979">
        <v>109.17</v>
      </c>
      <c r="I722" s="2974" t="s">
        <v>1373</v>
      </c>
      <c r="J722" s="2981" t="s">
        <v>3133</v>
      </c>
      <c r="L722" s="2976"/>
    </row>
    <row r="723" spans="1:32">
      <c r="A723" s="2972">
        <v>722</v>
      </c>
      <c r="B723" s="2974" t="s">
        <v>3237</v>
      </c>
      <c r="C723" s="2982" t="s">
        <v>3152</v>
      </c>
      <c r="D723" s="2972" t="s">
        <v>3183</v>
      </c>
      <c r="E723" s="2982" t="s">
        <v>3134</v>
      </c>
      <c r="F723" s="2983">
        <v>56.7</v>
      </c>
      <c r="G723" s="2979">
        <v>2.31</v>
      </c>
      <c r="H723" s="2979">
        <v>59.010000000000005</v>
      </c>
      <c r="I723" s="2974" t="s">
        <v>1373</v>
      </c>
      <c r="J723" s="2981" t="s">
        <v>3133</v>
      </c>
      <c r="L723" s="2976"/>
    </row>
    <row r="724" spans="1:32">
      <c r="A724" s="2972">
        <v>723</v>
      </c>
      <c r="B724" s="2974" t="s">
        <v>3237</v>
      </c>
      <c r="C724" s="2982" t="s">
        <v>3152</v>
      </c>
      <c r="D724" s="2972" t="s">
        <v>3183</v>
      </c>
      <c r="E724" s="2982" t="s">
        <v>3135</v>
      </c>
      <c r="F724" s="2983">
        <v>82.92</v>
      </c>
      <c r="G724" s="2979">
        <v>3.38</v>
      </c>
      <c r="H724" s="2979">
        <v>86.3</v>
      </c>
      <c r="I724" s="2974" t="s">
        <v>1373</v>
      </c>
      <c r="J724" s="2981" t="s">
        <v>3133</v>
      </c>
      <c r="L724" s="2976"/>
      <c r="R724" s="2994"/>
    </row>
    <row r="725" spans="1:32">
      <c r="A725" s="2972">
        <v>724</v>
      </c>
      <c r="B725" s="2974" t="s">
        <v>3237</v>
      </c>
      <c r="C725" s="2974" t="s">
        <v>3159</v>
      </c>
      <c r="D725" s="2972" t="s">
        <v>3183</v>
      </c>
      <c r="E725" s="2982" t="s">
        <v>3161</v>
      </c>
      <c r="F725" s="2983">
        <v>72.400000000000006</v>
      </c>
      <c r="G725" s="2979">
        <v>52.32</v>
      </c>
      <c r="H725" s="2979">
        <v>124.72</v>
      </c>
      <c r="I725" s="2980" t="s">
        <v>1373</v>
      </c>
      <c r="J725" s="2981" t="s">
        <v>3133</v>
      </c>
      <c r="L725" s="2976"/>
      <c r="R725" s="2985"/>
    </row>
    <row r="726" spans="1:32">
      <c r="A726" s="2976" t="s">
        <v>3204</v>
      </c>
      <c r="H726" s="2976">
        <f>SUM(H2:H725)</f>
        <v>57167.729999999996</v>
      </c>
      <c r="K726" s="2992">
        <f>K725+K664+K662</f>
        <v>0</v>
      </c>
      <c r="L726" s="2976"/>
      <c r="R726" s="3373"/>
    </row>
    <row r="727" spans="1:32" s="2988" customFormat="1">
      <c r="A727" s="2976"/>
      <c r="B727" s="2976"/>
      <c r="C727" s="2986"/>
      <c r="D727" s="2976"/>
      <c r="E727" s="2976"/>
      <c r="F727" s="2976"/>
      <c r="G727" s="2976"/>
      <c r="H727" s="2976"/>
      <c r="I727" s="2976"/>
      <c r="J727" s="2976"/>
      <c r="K727" s="2976"/>
      <c r="L727" s="2976"/>
      <c r="M727" s="2977"/>
      <c r="N727" s="2977"/>
      <c r="O727" s="2977"/>
      <c r="P727" s="2977"/>
      <c r="Q727" s="2977"/>
      <c r="R727" s="3373"/>
      <c r="S727" s="2977"/>
      <c r="T727" s="2977"/>
      <c r="U727" s="2977"/>
      <c r="V727" s="2977"/>
      <c r="W727" s="2977"/>
      <c r="X727" s="2977"/>
      <c r="Y727" s="2977"/>
      <c r="Z727" s="2977"/>
      <c r="AA727" s="2977"/>
      <c r="AB727" s="2977"/>
      <c r="AC727" s="2977"/>
      <c r="AD727" s="2977"/>
      <c r="AE727" s="2977"/>
      <c r="AF727" s="2987"/>
    </row>
    <row r="728" spans="1:32" s="2989" customFormat="1">
      <c r="C728" s="2990"/>
      <c r="M728" s="2977"/>
      <c r="N728" s="2977"/>
      <c r="O728" s="2977"/>
      <c r="P728" s="2977"/>
      <c r="Q728" s="2977"/>
      <c r="R728" s="3373"/>
      <c r="S728" s="2977"/>
      <c r="T728" s="2977"/>
      <c r="U728" s="2977"/>
      <c r="V728" s="2977"/>
      <c r="W728" s="2977"/>
      <c r="X728" s="2977"/>
      <c r="Y728" s="2977"/>
      <c r="Z728" s="2977"/>
      <c r="AA728" s="2977"/>
      <c r="AB728" s="2977"/>
      <c r="AC728" s="2977"/>
      <c r="AD728" s="2977"/>
      <c r="AE728" s="2977"/>
    </row>
    <row r="729" spans="1:32" s="2989" customFormat="1">
      <c r="C729" s="2990" t="s">
        <v>3248</v>
      </c>
      <c r="D729" s="2993">
        <f>SUM(H2:H662)</f>
        <v>49595.349999999962</v>
      </c>
      <c r="M729" s="2977"/>
      <c r="N729" s="2977"/>
      <c r="O729" s="2977"/>
      <c r="P729" s="2977"/>
      <c r="Q729" s="2977"/>
      <c r="R729" s="3373"/>
      <c r="S729" s="2977"/>
      <c r="T729" s="2977"/>
      <c r="U729" s="2977"/>
      <c r="V729" s="2977"/>
      <c r="W729" s="2977"/>
      <c r="X729" s="2977"/>
      <c r="Y729" s="2977"/>
      <c r="Z729" s="2977"/>
      <c r="AA729" s="2977"/>
      <c r="AB729" s="2977"/>
      <c r="AC729" s="2977"/>
      <c r="AD729" s="2977"/>
      <c r="AE729" s="2977"/>
    </row>
    <row r="730" spans="1:32" s="2989" customFormat="1">
      <c r="C730" s="2990" t="s">
        <v>3249</v>
      </c>
      <c r="D730" s="2993">
        <f>SUM(H665:H725)</f>
        <v>5361.51</v>
      </c>
      <c r="M730" s="2977"/>
      <c r="N730" s="2977"/>
      <c r="O730" s="2977"/>
      <c r="P730" s="2977"/>
      <c r="Q730" s="2977"/>
      <c r="R730" s="2977"/>
      <c r="S730" s="2977"/>
      <c r="T730" s="2977"/>
      <c r="U730" s="2977"/>
      <c r="V730" s="2977"/>
      <c r="W730" s="2977"/>
      <c r="X730" s="2977"/>
      <c r="Y730" s="2977"/>
      <c r="Z730" s="2977"/>
      <c r="AA730" s="2977"/>
      <c r="AB730" s="2977"/>
      <c r="AC730" s="2977"/>
      <c r="AD730" s="2977"/>
      <c r="AE730" s="2977"/>
    </row>
    <row r="731" spans="1:32" s="2989" customFormat="1">
      <c r="C731" s="2990" t="s">
        <v>3250</v>
      </c>
      <c r="D731" s="2989">
        <f>H663+H664</f>
        <v>2210.87</v>
      </c>
      <c r="M731" s="2977"/>
      <c r="N731" s="2977"/>
      <c r="O731" s="2977"/>
      <c r="P731" s="2977"/>
      <c r="Q731" s="2977"/>
      <c r="R731" s="2977"/>
      <c r="S731" s="2977"/>
      <c r="T731" s="2977"/>
      <c r="U731" s="2977"/>
      <c r="V731" s="2977"/>
      <c r="W731" s="2977"/>
      <c r="X731" s="2977"/>
      <c r="Y731" s="2977"/>
      <c r="Z731" s="2977"/>
      <c r="AA731" s="2977"/>
      <c r="AB731" s="2977"/>
      <c r="AC731" s="2977"/>
      <c r="AD731" s="2977"/>
      <c r="AE731" s="2977"/>
    </row>
    <row r="732" spans="1:32" s="2989" customFormat="1">
      <c r="C732" s="2990"/>
      <c r="D732" s="2993">
        <f>D731+D730+D729</f>
        <v>57167.72999999996</v>
      </c>
      <c r="M732" s="2977"/>
      <c r="N732" s="2977"/>
      <c r="O732" s="2977"/>
      <c r="P732" s="2977"/>
      <c r="Q732" s="2977"/>
      <c r="R732" s="2977"/>
      <c r="S732" s="2977"/>
      <c r="T732" s="2977"/>
      <c r="U732" s="2977"/>
      <c r="V732" s="2977"/>
      <c r="W732" s="2977"/>
      <c r="X732" s="2977"/>
      <c r="Y732" s="2977"/>
      <c r="Z732" s="2977"/>
      <c r="AA732" s="2977"/>
      <c r="AB732" s="2977"/>
      <c r="AC732" s="2977"/>
      <c r="AD732" s="2977"/>
      <c r="AE732" s="2977"/>
    </row>
    <row r="733" spans="1:32" s="2989" customFormat="1">
      <c r="C733" s="2990"/>
      <c r="M733" s="2977"/>
      <c r="N733" s="2977"/>
      <c r="O733" s="2977"/>
      <c r="P733" s="2977"/>
      <c r="Q733" s="2977"/>
      <c r="R733" s="2977"/>
      <c r="S733" s="2977"/>
      <c r="T733" s="2977"/>
      <c r="U733" s="2977"/>
      <c r="V733" s="2977"/>
      <c r="W733" s="2977"/>
      <c r="X733" s="2977"/>
      <c r="Y733" s="2977"/>
      <c r="Z733" s="2977"/>
      <c r="AA733" s="2977"/>
      <c r="AB733" s="2977"/>
      <c r="AC733" s="2977"/>
      <c r="AD733" s="2977"/>
      <c r="AE733" s="2977"/>
    </row>
    <row r="734" spans="1:32" s="2989" customFormat="1">
      <c r="C734" s="2990"/>
      <c r="M734" s="2977"/>
      <c r="N734" s="2977"/>
      <c r="O734" s="2977"/>
      <c r="P734" s="2977"/>
      <c r="Q734" s="2977"/>
      <c r="R734" s="2977"/>
      <c r="S734" s="2977"/>
      <c r="T734" s="2977"/>
      <c r="U734" s="2977"/>
      <c r="V734" s="2977"/>
      <c r="W734" s="2977"/>
      <c r="X734" s="2977"/>
      <c r="Y734" s="2977"/>
      <c r="Z734" s="2977"/>
      <c r="AA734" s="2977"/>
      <c r="AB734" s="2977"/>
      <c r="AC734" s="2977"/>
      <c r="AD734" s="2977"/>
      <c r="AE734" s="2977"/>
    </row>
    <row r="735" spans="1:32" s="2989" customFormat="1">
      <c r="C735" s="2990"/>
      <c r="M735" s="2977"/>
      <c r="N735" s="2977"/>
      <c r="O735" s="2977"/>
      <c r="P735" s="2977"/>
      <c r="Q735" s="2977"/>
      <c r="R735" s="2977"/>
      <c r="S735" s="2977"/>
      <c r="T735" s="2977"/>
      <c r="U735" s="2977"/>
      <c r="V735" s="2977"/>
      <c r="W735" s="2977"/>
      <c r="X735" s="2977"/>
      <c r="Y735" s="2977"/>
      <c r="Z735" s="2977"/>
      <c r="AA735" s="2977"/>
      <c r="AB735" s="2977"/>
      <c r="AC735" s="2977"/>
      <c r="AD735" s="2977"/>
      <c r="AE735" s="2977"/>
    </row>
    <row r="736" spans="1:32" s="2989" customFormat="1">
      <c r="C736" s="2990"/>
      <c r="M736" s="2977"/>
      <c r="N736" s="2977"/>
      <c r="O736" s="2977"/>
      <c r="P736" s="2977"/>
      <c r="Q736" s="2977"/>
      <c r="R736" s="2977"/>
      <c r="S736" s="2977"/>
      <c r="T736" s="2977"/>
      <c r="U736" s="2977"/>
      <c r="V736" s="2977"/>
      <c r="W736" s="2977"/>
      <c r="X736" s="2977"/>
      <c r="Y736" s="2977"/>
      <c r="Z736" s="2977"/>
      <c r="AA736" s="2977"/>
      <c r="AB736" s="2977"/>
      <c r="AC736" s="2977"/>
      <c r="AD736" s="2977"/>
      <c r="AE736" s="2977"/>
    </row>
    <row r="737" spans="3:31" s="2989" customFormat="1">
      <c r="C737" s="2990"/>
      <c r="M737" s="2977"/>
      <c r="N737" s="2977"/>
      <c r="O737" s="2977"/>
      <c r="P737" s="2977"/>
      <c r="Q737" s="2977"/>
      <c r="R737" s="2977"/>
      <c r="S737" s="2977"/>
      <c r="T737" s="2977"/>
      <c r="U737" s="2977"/>
      <c r="V737" s="2977"/>
      <c r="W737" s="2977"/>
      <c r="X737" s="2977"/>
      <c r="Y737" s="2977"/>
      <c r="Z737" s="2977"/>
      <c r="AA737" s="2977"/>
      <c r="AB737" s="2977"/>
      <c r="AC737" s="2977"/>
      <c r="AD737" s="2977"/>
      <c r="AE737" s="2977"/>
    </row>
    <row r="738" spans="3:31" s="2989" customFormat="1">
      <c r="C738" s="2990"/>
      <c r="M738" s="2977"/>
      <c r="N738" s="2977"/>
      <c r="O738" s="2977"/>
      <c r="P738" s="2977"/>
      <c r="Q738" s="2977"/>
      <c r="R738" s="2977"/>
      <c r="S738" s="2977"/>
      <c r="T738" s="2977"/>
      <c r="U738" s="2977"/>
      <c r="V738" s="2977"/>
      <c r="W738" s="2977"/>
      <c r="X738" s="2977"/>
      <c r="Y738" s="2977"/>
      <c r="Z738" s="2977"/>
      <c r="AA738" s="2977"/>
      <c r="AB738" s="2977"/>
      <c r="AC738" s="2977"/>
      <c r="AD738" s="2977"/>
      <c r="AE738" s="2977"/>
    </row>
    <row r="739" spans="3:31" s="2989" customFormat="1">
      <c r="C739" s="2990"/>
      <c r="M739" s="2977"/>
      <c r="N739" s="2977"/>
      <c r="O739" s="2977"/>
      <c r="P739" s="2977"/>
      <c r="Q739" s="2977"/>
      <c r="R739" s="2977"/>
      <c r="S739" s="2977"/>
      <c r="T739" s="2977"/>
      <c r="U739" s="2977"/>
      <c r="V739" s="2977"/>
      <c r="W739" s="2977"/>
      <c r="X739" s="2977"/>
      <c r="Y739" s="2977"/>
      <c r="Z739" s="2977"/>
      <c r="AA739" s="2977"/>
      <c r="AB739" s="2977"/>
      <c r="AC739" s="2977"/>
      <c r="AD739" s="2977"/>
      <c r="AE739" s="2977"/>
    </row>
    <row r="740" spans="3:31" s="2989" customFormat="1">
      <c r="C740" s="2990"/>
      <c r="M740" s="2977"/>
      <c r="N740" s="2977"/>
      <c r="O740" s="2977"/>
      <c r="P740" s="2977"/>
      <c r="Q740" s="2977"/>
      <c r="R740" s="2977"/>
      <c r="S740" s="2977"/>
      <c r="T740" s="2977"/>
      <c r="U740" s="2977"/>
      <c r="V740" s="2977"/>
      <c r="W740" s="2977"/>
      <c r="X740" s="2977"/>
      <c r="Y740" s="2977"/>
      <c r="Z740" s="2977"/>
      <c r="AA740" s="2977"/>
      <c r="AB740" s="2977"/>
      <c r="AC740" s="2977"/>
      <c r="AD740" s="2977"/>
      <c r="AE740" s="2977"/>
    </row>
    <row r="741" spans="3:31" s="2989" customFormat="1">
      <c r="C741" s="2990"/>
      <c r="M741" s="2977"/>
      <c r="N741" s="2977"/>
      <c r="O741" s="2977"/>
      <c r="P741" s="2977"/>
      <c r="Q741" s="2977"/>
      <c r="R741" s="2977"/>
      <c r="S741" s="2977"/>
      <c r="T741" s="2977"/>
      <c r="U741" s="2977"/>
      <c r="V741" s="2977"/>
      <c r="W741" s="2977"/>
      <c r="X741" s="2977"/>
      <c r="Y741" s="2977"/>
      <c r="Z741" s="2977"/>
      <c r="AA741" s="2977"/>
      <c r="AB741" s="2977"/>
      <c r="AC741" s="2977"/>
      <c r="AD741" s="2977"/>
      <c r="AE741" s="2977"/>
    </row>
    <row r="742" spans="3:31" s="2989" customFormat="1">
      <c r="C742" s="2990"/>
      <c r="M742" s="2977"/>
      <c r="N742" s="2977"/>
      <c r="O742" s="2977"/>
      <c r="P742" s="2977"/>
      <c r="Q742" s="2977"/>
      <c r="R742" s="2977"/>
      <c r="S742" s="2977"/>
      <c r="T742" s="2977"/>
      <c r="U742" s="2977"/>
      <c r="V742" s="2977"/>
      <c r="W742" s="2977"/>
      <c r="X742" s="2977"/>
      <c r="Y742" s="2977"/>
      <c r="Z742" s="2977"/>
      <c r="AA742" s="2977"/>
      <c r="AB742" s="2977"/>
      <c r="AC742" s="2977"/>
      <c r="AD742" s="2977"/>
      <c r="AE742" s="2977"/>
    </row>
    <row r="743" spans="3:31" s="2989" customFormat="1">
      <c r="C743" s="2990"/>
      <c r="M743" s="2977"/>
      <c r="N743" s="2977"/>
      <c r="O743" s="2977"/>
      <c r="P743" s="2977"/>
      <c r="Q743" s="2977"/>
      <c r="R743" s="2977"/>
      <c r="S743" s="2977"/>
      <c r="T743" s="2977"/>
      <c r="U743" s="2977"/>
      <c r="V743" s="2977"/>
      <c r="W743" s="2977"/>
      <c r="X743" s="2977"/>
      <c r="Y743" s="2977"/>
      <c r="Z743" s="2977"/>
      <c r="AA743" s="2977"/>
      <c r="AB743" s="2977"/>
      <c r="AC743" s="2977"/>
      <c r="AD743" s="2977"/>
      <c r="AE743" s="2977"/>
    </row>
    <row r="744" spans="3:31" s="2989" customFormat="1">
      <c r="C744" s="2990"/>
      <c r="M744" s="2977"/>
      <c r="N744" s="2977"/>
      <c r="O744" s="2977"/>
      <c r="P744" s="2977"/>
      <c r="Q744" s="2977"/>
      <c r="R744" s="2977"/>
      <c r="S744" s="2977"/>
      <c r="T744" s="2977"/>
      <c r="U744" s="2977"/>
      <c r="V744" s="2977"/>
      <c r="W744" s="2977"/>
      <c r="X744" s="2977"/>
      <c r="Y744" s="2977"/>
      <c r="Z744" s="2977"/>
      <c r="AA744" s="2977"/>
      <c r="AB744" s="2977"/>
      <c r="AC744" s="2977"/>
      <c r="AD744" s="2977"/>
      <c r="AE744" s="2977"/>
    </row>
    <row r="745" spans="3:31" s="2989" customFormat="1">
      <c r="C745" s="2990"/>
      <c r="M745" s="2977"/>
      <c r="N745" s="2977"/>
      <c r="O745" s="2977"/>
      <c r="P745" s="2977"/>
      <c r="Q745" s="2977"/>
      <c r="R745" s="2977"/>
      <c r="S745" s="2977"/>
      <c r="T745" s="2977"/>
      <c r="U745" s="2977"/>
      <c r="V745" s="2977"/>
      <c r="W745" s="2977"/>
      <c r="X745" s="2977"/>
      <c r="Y745" s="2977"/>
      <c r="Z745" s="2977"/>
      <c r="AA745" s="2977"/>
      <c r="AB745" s="2977"/>
      <c r="AC745" s="2977"/>
      <c r="AD745" s="2977"/>
      <c r="AE745" s="2977"/>
    </row>
    <row r="746" spans="3:31" s="2989" customFormat="1">
      <c r="C746" s="2990"/>
      <c r="M746" s="2977"/>
      <c r="N746" s="2977"/>
      <c r="O746" s="2977"/>
      <c r="P746" s="2977"/>
      <c r="Q746" s="2977"/>
      <c r="R746" s="2977"/>
      <c r="S746" s="2977"/>
      <c r="T746" s="2977"/>
      <c r="U746" s="2977"/>
      <c r="V746" s="2977"/>
      <c r="W746" s="2977"/>
      <c r="X746" s="2977"/>
      <c r="Y746" s="2977"/>
      <c r="Z746" s="2977"/>
      <c r="AA746" s="2977"/>
      <c r="AB746" s="2977"/>
      <c r="AC746" s="2977"/>
      <c r="AD746" s="2977"/>
      <c r="AE746" s="2977"/>
    </row>
    <row r="747" spans="3:31" s="2989" customFormat="1">
      <c r="C747" s="2990"/>
      <c r="M747" s="2977"/>
      <c r="N747" s="2977"/>
      <c r="O747" s="2977"/>
      <c r="P747" s="2977"/>
      <c r="Q747" s="2977"/>
      <c r="R747" s="2977"/>
      <c r="S747" s="2977"/>
      <c r="T747" s="2977"/>
      <c r="U747" s="2977"/>
      <c r="V747" s="2977"/>
      <c r="W747" s="2977"/>
      <c r="X747" s="2977"/>
      <c r="Y747" s="2977"/>
      <c r="Z747" s="2977"/>
      <c r="AA747" s="2977"/>
      <c r="AB747" s="2977"/>
      <c r="AC747" s="2977"/>
      <c r="AD747" s="2977"/>
      <c r="AE747" s="2977"/>
    </row>
    <row r="748" spans="3:31" s="2989" customFormat="1">
      <c r="C748" s="2990"/>
      <c r="M748" s="2977"/>
      <c r="N748" s="2977"/>
      <c r="O748" s="2977"/>
      <c r="P748" s="2977"/>
      <c r="Q748" s="2977"/>
      <c r="R748" s="2977"/>
      <c r="S748" s="2977"/>
      <c r="T748" s="2977"/>
      <c r="U748" s="2977"/>
      <c r="V748" s="2977"/>
      <c r="W748" s="2977"/>
      <c r="X748" s="2977"/>
      <c r="Y748" s="2977"/>
      <c r="Z748" s="2977"/>
      <c r="AA748" s="2977"/>
      <c r="AB748" s="2977"/>
      <c r="AC748" s="2977"/>
      <c r="AD748" s="2977"/>
      <c r="AE748" s="2977"/>
    </row>
    <row r="749" spans="3:31" s="2989" customFormat="1">
      <c r="C749" s="2990"/>
      <c r="M749" s="2977"/>
      <c r="N749" s="2977"/>
      <c r="O749" s="2977"/>
      <c r="P749" s="2977"/>
      <c r="Q749" s="2977"/>
      <c r="R749" s="2977"/>
      <c r="S749" s="2977"/>
      <c r="T749" s="2977"/>
      <c r="U749" s="2977"/>
      <c r="V749" s="2977"/>
      <c r="W749" s="2977"/>
      <c r="X749" s="2977"/>
      <c r="Y749" s="2977"/>
      <c r="Z749" s="2977"/>
      <c r="AA749" s="2977"/>
      <c r="AB749" s="2977"/>
      <c r="AC749" s="2977"/>
      <c r="AD749" s="2977"/>
      <c r="AE749" s="2977"/>
    </row>
    <row r="750" spans="3:31" s="2989" customFormat="1">
      <c r="C750" s="2990"/>
      <c r="M750" s="2977"/>
      <c r="N750" s="2977"/>
      <c r="O750" s="2977"/>
      <c r="P750" s="2977"/>
      <c r="Q750" s="2977"/>
      <c r="R750" s="2977"/>
      <c r="S750" s="2977"/>
      <c r="T750" s="2977"/>
      <c r="U750" s="2977"/>
      <c r="V750" s="2977"/>
      <c r="W750" s="2977"/>
      <c r="X750" s="2977"/>
      <c r="Y750" s="2977"/>
      <c r="Z750" s="2977"/>
      <c r="AA750" s="2977"/>
      <c r="AB750" s="2977"/>
      <c r="AC750" s="2977"/>
      <c r="AD750" s="2977"/>
      <c r="AE750" s="2977"/>
    </row>
    <row r="751" spans="3:31" s="2989" customFormat="1">
      <c r="C751" s="2990"/>
      <c r="M751" s="2977"/>
      <c r="N751" s="2977"/>
      <c r="O751" s="2977"/>
      <c r="P751" s="2977"/>
      <c r="Q751" s="2977"/>
      <c r="R751" s="2977"/>
      <c r="S751" s="2977"/>
      <c r="T751" s="2977"/>
      <c r="U751" s="2977"/>
      <c r="V751" s="2977"/>
      <c r="W751" s="2977"/>
      <c r="X751" s="2977"/>
      <c r="Y751" s="2977"/>
      <c r="Z751" s="2977"/>
      <c r="AA751" s="2977"/>
      <c r="AB751" s="2977"/>
      <c r="AC751" s="2977"/>
      <c r="AD751" s="2977"/>
      <c r="AE751" s="2977"/>
    </row>
    <row r="752" spans="3:31" s="2989" customFormat="1">
      <c r="C752" s="2990"/>
      <c r="M752" s="2977"/>
      <c r="N752" s="2977"/>
      <c r="O752" s="2977"/>
      <c r="P752" s="2977"/>
      <c r="Q752" s="2977"/>
      <c r="R752" s="2977"/>
      <c r="S752" s="2977"/>
      <c r="T752" s="2977"/>
      <c r="U752" s="2977"/>
      <c r="V752" s="2977"/>
      <c r="W752" s="2977"/>
      <c r="X752" s="2977"/>
      <c r="Y752" s="2977"/>
      <c r="Z752" s="2977"/>
      <c r="AA752" s="2977"/>
      <c r="AB752" s="2977"/>
      <c r="AC752" s="2977"/>
      <c r="AD752" s="2977"/>
      <c r="AE752" s="2977"/>
    </row>
    <row r="753" spans="3:31" s="2989" customFormat="1">
      <c r="C753" s="2990"/>
      <c r="M753" s="2977"/>
      <c r="N753" s="2977"/>
      <c r="O753" s="2977"/>
      <c r="P753" s="2977"/>
      <c r="Q753" s="2977"/>
      <c r="R753" s="2977"/>
      <c r="S753" s="2977"/>
      <c r="T753" s="2977"/>
      <c r="U753" s="2977"/>
      <c r="V753" s="2977"/>
      <c r="W753" s="2977"/>
      <c r="X753" s="2977"/>
      <c r="Y753" s="2977"/>
      <c r="Z753" s="2977"/>
      <c r="AA753" s="2977"/>
      <c r="AB753" s="2977"/>
      <c r="AC753" s="2977"/>
      <c r="AD753" s="2977"/>
      <c r="AE753" s="2977"/>
    </row>
    <row r="754" spans="3:31" s="2989" customFormat="1">
      <c r="C754" s="2990"/>
      <c r="M754" s="2977"/>
      <c r="N754" s="2977"/>
      <c r="O754" s="2977"/>
      <c r="P754" s="2977"/>
      <c r="Q754" s="2977"/>
      <c r="R754" s="2977"/>
      <c r="S754" s="2977"/>
      <c r="T754" s="2977"/>
      <c r="U754" s="2977"/>
      <c r="V754" s="2977"/>
      <c r="W754" s="2977"/>
      <c r="X754" s="2977"/>
      <c r="Y754" s="2977"/>
      <c r="Z754" s="2977"/>
      <c r="AA754" s="2977"/>
      <c r="AB754" s="2977"/>
      <c r="AC754" s="2977"/>
      <c r="AD754" s="2977"/>
      <c r="AE754" s="2977"/>
    </row>
    <row r="755" spans="3:31" s="2989" customFormat="1">
      <c r="C755" s="2990"/>
      <c r="M755" s="2977"/>
      <c r="N755" s="2977"/>
      <c r="O755" s="2977"/>
      <c r="P755" s="2977"/>
      <c r="Q755" s="2977"/>
      <c r="R755" s="2977"/>
      <c r="S755" s="2977"/>
      <c r="T755" s="2977"/>
      <c r="U755" s="2977"/>
      <c r="V755" s="2977"/>
      <c r="W755" s="2977"/>
      <c r="X755" s="2977"/>
      <c r="Y755" s="2977"/>
      <c r="Z755" s="2977"/>
      <c r="AA755" s="2977"/>
      <c r="AB755" s="2977"/>
      <c r="AC755" s="2977"/>
      <c r="AD755" s="2977"/>
      <c r="AE755" s="2977"/>
    </row>
    <row r="756" spans="3:31" s="2989" customFormat="1">
      <c r="C756" s="2990"/>
      <c r="M756" s="2977"/>
      <c r="N756" s="2977"/>
      <c r="O756" s="2977"/>
      <c r="P756" s="2977"/>
      <c r="Q756" s="2977"/>
      <c r="R756" s="2977"/>
      <c r="S756" s="2977"/>
      <c r="T756" s="2977"/>
      <c r="U756" s="2977"/>
      <c r="V756" s="2977"/>
      <c r="W756" s="2977"/>
      <c r="X756" s="2977"/>
      <c r="Y756" s="2977"/>
      <c r="Z756" s="2977"/>
      <c r="AA756" s="2977"/>
      <c r="AB756" s="2977"/>
      <c r="AC756" s="2977"/>
      <c r="AD756" s="2977"/>
      <c r="AE756" s="2977"/>
    </row>
    <row r="757" spans="3:31" s="2989" customFormat="1">
      <c r="C757" s="2990"/>
      <c r="M757" s="2977"/>
      <c r="N757" s="2977"/>
      <c r="O757" s="2977"/>
      <c r="P757" s="2977"/>
      <c r="Q757" s="2977"/>
      <c r="R757" s="2977"/>
      <c r="S757" s="2977"/>
      <c r="T757" s="2977"/>
      <c r="U757" s="2977"/>
      <c r="V757" s="2977"/>
      <c r="W757" s="2977"/>
      <c r="X757" s="2977"/>
      <c r="Y757" s="2977"/>
      <c r="Z757" s="2977"/>
      <c r="AA757" s="2977"/>
      <c r="AB757" s="2977"/>
      <c r="AC757" s="2977"/>
      <c r="AD757" s="2977"/>
      <c r="AE757" s="2977"/>
    </row>
    <row r="758" spans="3:31" s="2989" customFormat="1">
      <c r="C758" s="2990"/>
      <c r="M758" s="2977"/>
      <c r="N758" s="2977"/>
      <c r="O758" s="2977"/>
      <c r="P758" s="2977"/>
      <c r="Q758" s="2977"/>
      <c r="R758" s="2977"/>
      <c r="S758" s="2977"/>
      <c r="T758" s="2977"/>
      <c r="U758" s="2977"/>
      <c r="V758" s="2977"/>
      <c r="W758" s="2977"/>
      <c r="X758" s="2977"/>
      <c r="Y758" s="2977"/>
      <c r="Z758" s="2977"/>
      <c r="AA758" s="2977"/>
      <c r="AB758" s="2977"/>
      <c r="AC758" s="2977"/>
      <c r="AD758" s="2977"/>
      <c r="AE758" s="2977"/>
    </row>
    <row r="759" spans="3:31" s="2989" customFormat="1">
      <c r="C759" s="2990"/>
      <c r="M759" s="2977"/>
      <c r="N759" s="2977"/>
      <c r="O759" s="2977"/>
      <c r="P759" s="2977"/>
      <c r="Q759" s="2977"/>
      <c r="R759" s="2977"/>
      <c r="S759" s="2977"/>
      <c r="T759" s="2977"/>
      <c r="U759" s="2977"/>
      <c r="V759" s="2977"/>
      <c r="W759" s="2977"/>
      <c r="X759" s="2977"/>
      <c r="Y759" s="2977"/>
      <c r="Z759" s="2977"/>
      <c r="AA759" s="2977"/>
      <c r="AB759" s="2977"/>
      <c r="AC759" s="2977"/>
      <c r="AD759" s="2977"/>
      <c r="AE759" s="2977"/>
    </row>
    <row r="760" spans="3:31" s="2989" customFormat="1">
      <c r="C760" s="2990"/>
      <c r="M760" s="2977"/>
      <c r="N760" s="2977"/>
      <c r="O760" s="2977"/>
      <c r="P760" s="2977"/>
      <c r="Q760" s="2977"/>
      <c r="R760" s="2977"/>
      <c r="S760" s="2977"/>
      <c r="T760" s="2977"/>
      <c r="U760" s="2977"/>
      <c r="V760" s="2977"/>
      <c r="W760" s="2977"/>
      <c r="X760" s="2977"/>
      <c r="Y760" s="2977"/>
      <c r="Z760" s="2977"/>
      <c r="AA760" s="2977"/>
      <c r="AB760" s="2977"/>
      <c r="AC760" s="2977"/>
      <c r="AD760" s="2977"/>
      <c r="AE760" s="2977"/>
    </row>
    <row r="761" spans="3:31" s="2989" customFormat="1">
      <c r="C761" s="2990"/>
      <c r="M761" s="2977"/>
      <c r="N761" s="2977"/>
      <c r="O761" s="2977"/>
      <c r="P761" s="2977"/>
      <c r="Q761" s="2977"/>
      <c r="R761" s="2977"/>
      <c r="S761" s="2977"/>
      <c r="T761" s="2977"/>
      <c r="U761" s="2977"/>
      <c r="V761" s="2977"/>
      <c r="W761" s="2977"/>
      <c r="X761" s="2977"/>
      <c r="Y761" s="2977"/>
      <c r="Z761" s="2977"/>
      <c r="AA761" s="2977"/>
      <c r="AB761" s="2977"/>
      <c r="AC761" s="2977"/>
      <c r="AD761" s="2977"/>
      <c r="AE761" s="2977"/>
    </row>
    <row r="762" spans="3:31" s="2989" customFormat="1">
      <c r="C762" s="2990"/>
      <c r="M762" s="2977"/>
      <c r="N762" s="2977"/>
      <c r="O762" s="2977"/>
      <c r="P762" s="2977"/>
      <c r="Q762" s="2977"/>
      <c r="R762" s="2977"/>
      <c r="S762" s="2977"/>
      <c r="T762" s="2977"/>
      <c r="U762" s="2977"/>
      <c r="V762" s="2977"/>
      <c r="W762" s="2977"/>
      <c r="X762" s="2977"/>
      <c r="Y762" s="2977"/>
      <c r="Z762" s="2977"/>
      <c r="AA762" s="2977"/>
      <c r="AB762" s="2977"/>
      <c r="AC762" s="2977"/>
      <c r="AD762" s="2977"/>
      <c r="AE762" s="2977"/>
    </row>
    <row r="763" spans="3:31" s="2989" customFormat="1">
      <c r="C763" s="2990"/>
      <c r="M763" s="2977"/>
      <c r="N763" s="2977"/>
      <c r="O763" s="2977"/>
      <c r="P763" s="2977"/>
      <c r="Q763" s="2977"/>
      <c r="R763" s="2977"/>
      <c r="S763" s="2977"/>
      <c r="T763" s="2977"/>
      <c r="U763" s="2977"/>
      <c r="V763" s="2977"/>
      <c r="W763" s="2977"/>
      <c r="X763" s="2977"/>
      <c r="Y763" s="2977"/>
      <c r="Z763" s="2977"/>
      <c r="AA763" s="2977"/>
      <c r="AB763" s="2977"/>
      <c r="AC763" s="2977"/>
      <c r="AD763" s="2977"/>
      <c r="AE763" s="2977"/>
    </row>
    <row r="764" spans="3:31" s="2989" customFormat="1">
      <c r="C764" s="2990"/>
      <c r="M764" s="2977"/>
      <c r="N764" s="2977"/>
      <c r="O764" s="2977"/>
      <c r="P764" s="2977"/>
      <c r="Q764" s="2977"/>
      <c r="R764" s="2977"/>
      <c r="S764" s="2977"/>
      <c r="T764" s="2977"/>
      <c r="U764" s="2977"/>
      <c r="V764" s="2977"/>
      <c r="W764" s="2977"/>
      <c r="X764" s="2977"/>
      <c r="Y764" s="2977"/>
      <c r="Z764" s="2977"/>
      <c r="AA764" s="2977"/>
      <c r="AB764" s="2977"/>
      <c r="AC764" s="2977"/>
      <c r="AD764" s="2977"/>
      <c r="AE764" s="2977"/>
    </row>
    <row r="765" spans="3:31" s="2989" customFormat="1">
      <c r="C765" s="2990"/>
      <c r="M765" s="2977"/>
      <c r="N765" s="2977"/>
      <c r="O765" s="2977"/>
      <c r="P765" s="2977"/>
      <c r="Q765" s="2977"/>
      <c r="R765" s="2977"/>
      <c r="S765" s="2977"/>
      <c r="T765" s="2977"/>
      <c r="U765" s="2977"/>
      <c r="V765" s="2977"/>
      <c r="W765" s="2977"/>
      <c r="X765" s="2977"/>
      <c r="Y765" s="2977"/>
      <c r="Z765" s="2977"/>
      <c r="AA765" s="2977"/>
      <c r="AB765" s="2977"/>
      <c r="AC765" s="2977"/>
      <c r="AD765" s="2977"/>
      <c r="AE765" s="2977"/>
    </row>
    <row r="766" spans="3:31" s="2989" customFormat="1">
      <c r="C766" s="2990"/>
      <c r="M766" s="2977"/>
      <c r="N766" s="2977"/>
      <c r="O766" s="2977"/>
      <c r="P766" s="2977"/>
      <c r="Q766" s="2977"/>
      <c r="R766" s="2977"/>
      <c r="S766" s="2977"/>
      <c r="T766" s="2977"/>
      <c r="U766" s="2977"/>
      <c r="V766" s="2977"/>
      <c r="W766" s="2977"/>
      <c r="X766" s="2977"/>
      <c r="Y766" s="2977"/>
      <c r="Z766" s="2977"/>
      <c r="AA766" s="2977"/>
      <c r="AB766" s="2977"/>
      <c r="AC766" s="2977"/>
      <c r="AD766" s="2977"/>
      <c r="AE766" s="2977"/>
    </row>
    <row r="767" spans="3:31" s="2989" customFormat="1">
      <c r="C767" s="2990"/>
      <c r="M767" s="2977"/>
      <c r="N767" s="2977"/>
      <c r="O767" s="2977"/>
      <c r="P767" s="2977"/>
      <c r="Q767" s="2977"/>
      <c r="R767" s="2977"/>
      <c r="S767" s="2977"/>
      <c r="T767" s="2977"/>
      <c r="U767" s="2977"/>
      <c r="V767" s="2977"/>
      <c r="W767" s="2977"/>
      <c r="X767" s="2977"/>
      <c r="Y767" s="2977"/>
      <c r="Z767" s="2977"/>
      <c r="AA767" s="2977"/>
      <c r="AB767" s="2977"/>
      <c r="AC767" s="2977"/>
      <c r="AD767" s="2977"/>
      <c r="AE767" s="2977"/>
    </row>
    <row r="768" spans="3:31" s="2989" customFormat="1">
      <c r="C768" s="2990"/>
      <c r="M768" s="2977"/>
      <c r="N768" s="2977"/>
      <c r="O768" s="2977"/>
      <c r="P768" s="2977"/>
      <c r="Q768" s="2977"/>
      <c r="R768" s="2977"/>
      <c r="S768" s="2977"/>
      <c r="T768" s="2977"/>
      <c r="U768" s="2977"/>
      <c r="V768" s="2977"/>
      <c r="W768" s="2977"/>
      <c r="X768" s="2977"/>
      <c r="Y768" s="2977"/>
      <c r="Z768" s="2977"/>
      <c r="AA768" s="2977"/>
      <c r="AB768" s="2977"/>
      <c r="AC768" s="2977"/>
      <c r="AD768" s="2977"/>
      <c r="AE768" s="2977"/>
    </row>
    <row r="769" spans="3:31" s="2989" customFormat="1">
      <c r="C769" s="2990"/>
      <c r="M769" s="2977"/>
      <c r="N769" s="2977"/>
      <c r="O769" s="2977"/>
      <c r="P769" s="2977"/>
      <c r="Q769" s="2977"/>
      <c r="R769" s="2977"/>
      <c r="S769" s="2977"/>
      <c r="T769" s="2977"/>
      <c r="U769" s="2977"/>
      <c r="V769" s="2977"/>
      <c r="W769" s="2977"/>
      <c r="X769" s="2977"/>
      <c r="Y769" s="2977"/>
      <c r="Z769" s="2977"/>
      <c r="AA769" s="2977"/>
      <c r="AB769" s="2977"/>
      <c r="AC769" s="2977"/>
      <c r="AD769" s="2977"/>
      <c r="AE769" s="2977"/>
    </row>
    <row r="770" spans="3:31" s="2989" customFormat="1">
      <c r="C770" s="2990"/>
      <c r="M770" s="2977"/>
      <c r="N770" s="2977"/>
      <c r="O770" s="2977"/>
      <c r="P770" s="2977"/>
      <c r="Q770" s="2977"/>
      <c r="R770" s="2977"/>
      <c r="S770" s="2977"/>
      <c r="T770" s="2977"/>
      <c r="U770" s="2977"/>
      <c r="V770" s="2977"/>
      <c r="W770" s="2977"/>
      <c r="X770" s="2977"/>
      <c r="Y770" s="2977"/>
      <c r="Z770" s="2977"/>
      <c r="AA770" s="2977"/>
      <c r="AB770" s="2977"/>
      <c r="AC770" s="2977"/>
      <c r="AD770" s="2977"/>
      <c r="AE770" s="2977"/>
    </row>
    <row r="771" spans="3:31" s="2989" customFormat="1">
      <c r="C771" s="2990"/>
      <c r="M771" s="2977"/>
      <c r="N771" s="2977"/>
      <c r="O771" s="2977"/>
      <c r="P771" s="2977"/>
      <c r="Q771" s="2977"/>
      <c r="R771" s="2977"/>
      <c r="S771" s="2977"/>
      <c r="T771" s="2977"/>
      <c r="U771" s="2977"/>
      <c r="V771" s="2977"/>
      <c r="W771" s="2977"/>
      <c r="X771" s="2977"/>
      <c r="Y771" s="2977"/>
      <c r="Z771" s="2977"/>
      <c r="AA771" s="2977"/>
      <c r="AB771" s="2977"/>
      <c r="AC771" s="2977"/>
      <c r="AD771" s="2977"/>
      <c r="AE771" s="2977"/>
    </row>
    <row r="772" spans="3:31" s="2989" customFormat="1">
      <c r="C772" s="2990"/>
      <c r="M772" s="2977"/>
      <c r="N772" s="2977"/>
      <c r="O772" s="2977"/>
      <c r="P772" s="2977"/>
      <c r="Q772" s="2977"/>
      <c r="R772" s="2977"/>
      <c r="S772" s="2977"/>
      <c r="T772" s="2977"/>
      <c r="U772" s="2977"/>
      <c r="V772" s="2977"/>
      <c r="W772" s="2977"/>
      <c r="X772" s="2977"/>
      <c r="Y772" s="2977"/>
      <c r="Z772" s="2977"/>
      <c r="AA772" s="2977"/>
      <c r="AB772" s="2977"/>
      <c r="AC772" s="2977"/>
      <c r="AD772" s="2977"/>
      <c r="AE772" s="2977"/>
    </row>
    <row r="773" spans="3:31" s="2989" customFormat="1">
      <c r="C773" s="2990"/>
      <c r="M773" s="2977"/>
      <c r="N773" s="2977"/>
      <c r="O773" s="2977"/>
      <c r="P773" s="2977"/>
      <c r="Q773" s="2977"/>
      <c r="R773" s="2977"/>
      <c r="S773" s="2977"/>
      <c r="T773" s="2977"/>
      <c r="U773" s="2977"/>
      <c r="V773" s="2977"/>
      <c r="W773" s="2977"/>
      <c r="X773" s="2977"/>
      <c r="Y773" s="2977"/>
      <c r="Z773" s="2977"/>
      <c r="AA773" s="2977"/>
      <c r="AB773" s="2977"/>
      <c r="AC773" s="2977"/>
      <c r="AD773" s="2977"/>
      <c r="AE773" s="2977"/>
    </row>
    <row r="774" spans="3:31" s="2989" customFormat="1">
      <c r="C774" s="2990"/>
      <c r="M774" s="2977"/>
      <c r="N774" s="2977"/>
      <c r="O774" s="2977"/>
      <c r="P774" s="2977"/>
      <c r="Q774" s="2977"/>
      <c r="R774" s="2977"/>
      <c r="S774" s="2977"/>
      <c r="T774" s="2977"/>
      <c r="U774" s="2977"/>
      <c r="V774" s="2977"/>
      <c r="W774" s="2977"/>
      <c r="X774" s="2977"/>
      <c r="Y774" s="2977"/>
      <c r="Z774" s="2977"/>
      <c r="AA774" s="2977"/>
      <c r="AB774" s="2977"/>
      <c r="AC774" s="2977"/>
      <c r="AD774" s="2977"/>
      <c r="AE774" s="2977"/>
    </row>
    <row r="775" spans="3:31" s="2989" customFormat="1">
      <c r="C775" s="2990"/>
      <c r="M775" s="2977"/>
      <c r="N775" s="2977"/>
      <c r="O775" s="2977"/>
      <c r="P775" s="2977"/>
      <c r="Q775" s="2977"/>
      <c r="R775" s="2977"/>
      <c r="S775" s="2977"/>
      <c r="T775" s="2977"/>
      <c r="U775" s="2977"/>
      <c r="V775" s="2977"/>
      <c r="W775" s="2977"/>
      <c r="X775" s="2977"/>
      <c r="Y775" s="2977"/>
      <c r="Z775" s="2977"/>
      <c r="AA775" s="2977"/>
      <c r="AB775" s="2977"/>
      <c r="AC775" s="2977"/>
      <c r="AD775" s="2977"/>
      <c r="AE775" s="2977"/>
    </row>
    <row r="776" spans="3:31" s="2989" customFormat="1">
      <c r="C776" s="2990"/>
      <c r="M776" s="2977"/>
      <c r="N776" s="2977"/>
      <c r="O776" s="2977"/>
      <c r="P776" s="2977"/>
      <c r="Q776" s="2977"/>
      <c r="R776" s="2977"/>
      <c r="S776" s="2977"/>
      <c r="T776" s="2977"/>
      <c r="U776" s="2977"/>
      <c r="V776" s="2977"/>
      <c r="W776" s="2977"/>
      <c r="X776" s="2977"/>
      <c r="Y776" s="2977"/>
      <c r="Z776" s="2977"/>
      <c r="AA776" s="2977"/>
      <c r="AB776" s="2977"/>
      <c r="AC776" s="2977"/>
      <c r="AD776" s="2977"/>
      <c r="AE776" s="2977"/>
    </row>
    <row r="777" spans="3:31" s="2989" customFormat="1">
      <c r="C777" s="2990"/>
      <c r="M777" s="2977"/>
      <c r="N777" s="2977"/>
      <c r="O777" s="2977"/>
      <c r="P777" s="2977"/>
      <c r="Q777" s="2977"/>
      <c r="R777" s="2977"/>
      <c r="S777" s="2977"/>
      <c r="T777" s="2977"/>
      <c r="U777" s="2977"/>
      <c r="V777" s="2977"/>
      <c r="W777" s="2977"/>
      <c r="X777" s="2977"/>
      <c r="Y777" s="2977"/>
      <c r="Z777" s="2977"/>
      <c r="AA777" s="2977"/>
      <c r="AB777" s="2977"/>
      <c r="AC777" s="2977"/>
      <c r="AD777" s="2977"/>
      <c r="AE777" s="2977"/>
    </row>
    <row r="778" spans="3:31" s="2989" customFormat="1">
      <c r="C778" s="2990"/>
      <c r="M778" s="2977"/>
      <c r="N778" s="2977"/>
      <c r="O778" s="2977"/>
      <c r="P778" s="2977"/>
      <c r="Q778" s="2977"/>
      <c r="R778" s="2977"/>
      <c r="S778" s="2977"/>
      <c r="T778" s="2977"/>
      <c r="U778" s="2977"/>
      <c r="V778" s="2977"/>
      <c r="W778" s="2977"/>
      <c r="X778" s="2977"/>
      <c r="Y778" s="2977"/>
      <c r="Z778" s="2977"/>
      <c r="AA778" s="2977"/>
      <c r="AB778" s="2977"/>
      <c r="AC778" s="2977"/>
      <c r="AD778" s="2977"/>
      <c r="AE778" s="2977"/>
    </row>
    <row r="779" spans="3:31" s="2989" customFormat="1">
      <c r="C779" s="2990"/>
      <c r="M779" s="2977"/>
      <c r="N779" s="2977"/>
      <c r="O779" s="2977"/>
      <c r="P779" s="2977"/>
      <c r="Q779" s="2977"/>
      <c r="R779" s="2977"/>
      <c r="S779" s="2977"/>
      <c r="T779" s="2977"/>
      <c r="U779" s="2977"/>
      <c r="V779" s="2977"/>
      <c r="W779" s="2977"/>
      <c r="X779" s="2977"/>
      <c r="Y779" s="2977"/>
      <c r="Z779" s="2977"/>
      <c r="AA779" s="2977"/>
      <c r="AB779" s="2977"/>
      <c r="AC779" s="2977"/>
      <c r="AD779" s="2977"/>
      <c r="AE779" s="2977"/>
    </row>
    <row r="780" spans="3:31" s="2989" customFormat="1">
      <c r="C780" s="2990"/>
      <c r="M780" s="2977"/>
      <c r="N780" s="2977"/>
      <c r="O780" s="2977"/>
      <c r="P780" s="2977"/>
      <c r="Q780" s="2977"/>
      <c r="R780" s="2977"/>
      <c r="S780" s="2977"/>
      <c r="T780" s="2977"/>
      <c r="U780" s="2977"/>
      <c r="V780" s="2977"/>
      <c r="W780" s="2977"/>
      <c r="X780" s="2977"/>
      <c r="Y780" s="2977"/>
      <c r="Z780" s="2977"/>
      <c r="AA780" s="2977"/>
      <c r="AB780" s="2977"/>
      <c r="AC780" s="2977"/>
      <c r="AD780" s="2977"/>
      <c r="AE780" s="2977"/>
    </row>
    <row r="781" spans="3:31" s="2989" customFormat="1">
      <c r="C781" s="2990"/>
      <c r="M781" s="2977"/>
      <c r="N781" s="2977"/>
      <c r="O781" s="2977"/>
      <c r="P781" s="2977"/>
      <c r="Q781" s="2977"/>
      <c r="R781" s="2977"/>
      <c r="S781" s="2977"/>
      <c r="T781" s="2977"/>
      <c r="U781" s="2977"/>
      <c r="V781" s="2977"/>
      <c r="W781" s="2977"/>
      <c r="X781" s="2977"/>
      <c r="Y781" s="2977"/>
      <c r="Z781" s="2977"/>
      <c r="AA781" s="2977"/>
      <c r="AB781" s="2977"/>
      <c r="AC781" s="2977"/>
      <c r="AD781" s="2977"/>
      <c r="AE781" s="2977"/>
    </row>
    <row r="782" spans="3:31" s="2989" customFormat="1">
      <c r="C782" s="2990"/>
      <c r="M782" s="2977"/>
      <c r="N782" s="2977"/>
      <c r="O782" s="2977"/>
      <c r="P782" s="2977"/>
      <c r="Q782" s="2977"/>
      <c r="R782" s="2977"/>
      <c r="S782" s="2977"/>
      <c r="T782" s="2977"/>
      <c r="U782" s="2977"/>
      <c r="V782" s="2977"/>
      <c r="W782" s="2977"/>
      <c r="X782" s="2977"/>
      <c r="Y782" s="2977"/>
      <c r="Z782" s="2977"/>
      <c r="AA782" s="2977"/>
      <c r="AB782" s="2977"/>
      <c r="AC782" s="2977"/>
      <c r="AD782" s="2977"/>
      <c r="AE782" s="2977"/>
    </row>
    <row r="783" spans="3:31" s="2989" customFormat="1">
      <c r="C783" s="2990"/>
      <c r="M783" s="2977"/>
      <c r="N783" s="2977"/>
      <c r="O783" s="2977"/>
      <c r="P783" s="2977"/>
      <c r="Q783" s="2977"/>
      <c r="R783" s="2977"/>
      <c r="S783" s="2977"/>
      <c r="T783" s="2977"/>
      <c r="U783" s="2977"/>
      <c r="V783" s="2977"/>
      <c r="W783" s="2977"/>
      <c r="X783" s="2977"/>
      <c r="Y783" s="2977"/>
      <c r="Z783" s="2977"/>
      <c r="AA783" s="2977"/>
      <c r="AB783" s="2977"/>
      <c r="AC783" s="2977"/>
      <c r="AD783" s="2977"/>
      <c r="AE783" s="2977"/>
    </row>
    <row r="784" spans="3:31" s="2989" customFormat="1">
      <c r="C784" s="2990"/>
      <c r="M784" s="2977"/>
      <c r="N784" s="2977"/>
      <c r="O784" s="2977"/>
      <c r="P784" s="2977"/>
      <c r="Q784" s="2977"/>
      <c r="R784" s="2977"/>
      <c r="S784" s="2977"/>
      <c r="T784" s="2977"/>
      <c r="U784" s="2977"/>
      <c r="V784" s="2977"/>
      <c r="W784" s="2977"/>
      <c r="X784" s="2977"/>
      <c r="Y784" s="2977"/>
      <c r="Z784" s="2977"/>
      <c r="AA784" s="2977"/>
      <c r="AB784" s="2977"/>
      <c r="AC784" s="2977"/>
      <c r="AD784" s="2977"/>
      <c r="AE784" s="2977"/>
    </row>
    <row r="785" spans="3:31" s="2989" customFormat="1">
      <c r="C785" s="2990"/>
      <c r="M785" s="2977"/>
      <c r="N785" s="2977"/>
      <c r="O785" s="2977"/>
      <c r="P785" s="2977"/>
      <c r="Q785" s="2977"/>
      <c r="R785" s="2977"/>
      <c r="S785" s="2977"/>
      <c r="T785" s="2977"/>
      <c r="U785" s="2977"/>
      <c r="V785" s="2977"/>
      <c r="W785" s="2977"/>
      <c r="X785" s="2977"/>
      <c r="Y785" s="2977"/>
      <c r="Z785" s="2977"/>
      <c r="AA785" s="2977"/>
      <c r="AB785" s="2977"/>
      <c r="AC785" s="2977"/>
      <c r="AD785" s="2977"/>
      <c r="AE785" s="2977"/>
    </row>
    <row r="786" spans="3:31" s="2989" customFormat="1">
      <c r="C786" s="2990"/>
      <c r="M786" s="2977"/>
      <c r="N786" s="2977"/>
      <c r="O786" s="2977"/>
      <c r="P786" s="2977"/>
      <c r="Q786" s="2977"/>
      <c r="R786" s="2977"/>
      <c r="S786" s="2977"/>
      <c r="T786" s="2977"/>
      <c r="U786" s="2977"/>
      <c r="V786" s="2977"/>
      <c r="W786" s="2977"/>
      <c r="X786" s="2977"/>
      <c r="Y786" s="2977"/>
      <c r="Z786" s="2977"/>
      <c r="AA786" s="2977"/>
      <c r="AB786" s="2977"/>
      <c r="AC786" s="2977"/>
      <c r="AD786" s="2977"/>
      <c r="AE786" s="2977"/>
    </row>
    <row r="787" spans="3:31" s="2989" customFormat="1">
      <c r="C787" s="2990"/>
      <c r="M787" s="2977"/>
      <c r="N787" s="2977"/>
      <c r="O787" s="2977"/>
      <c r="P787" s="2977"/>
      <c r="Q787" s="2977"/>
      <c r="R787" s="2977"/>
      <c r="S787" s="2977"/>
      <c r="T787" s="2977"/>
      <c r="U787" s="2977"/>
      <c r="V787" s="2977"/>
      <c r="W787" s="2977"/>
      <c r="X787" s="2977"/>
      <c r="Y787" s="2977"/>
      <c r="Z787" s="2977"/>
      <c r="AA787" s="2977"/>
      <c r="AB787" s="2977"/>
      <c r="AC787" s="2977"/>
      <c r="AD787" s="2977"/>
      <c r="AE787" s="2977"/>
    </row>
    <row r="788" spans="3:31" s="2989" customFormat="1">
      <c r="C788" s="2990"/>
      <c r="M788" s="2977"/>
      <c r="N788" s="2977"/>
      <c r="O788" s="2977"/>
      <c r="P788" s="2977"/>
      <c r="Q788" s="2977"/>
      <c r="R788" s="2977"/>
      <c r="S788" s="2977"/>
      <c r="T788" s="2977"/>
      <c r="U788" s="2977"/>
      <c r="V788" s="2977"/>
      <c r="W788" s="2977"/>
      <c r="X788" s="2977"/>
      <c r="Y788" s="2977"/>
      <c r="Z788" s="2977"/>
      <c r="AA788" s="2977"/>
      <c r="AB788" s="2977"/>
      <c r="AC788" s="2977"/>
      <c r="AD788" s="2977"/>
      <c r="AE788" s="2977"/>
    </row>
  </sheetData>
  <autoFilter ref="A1:K726"/>
  <sortState ref="A2:K788">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4"/>
  <sheetViews>
    <sheetView topLeftCell="A424" workbookViewId="0">
      <selection activeCell="M439" sqref="M439"/>
    </sheetView>
  </sheetViews>
  <sheetFormatPr defaultRowHeight="13.5"/>
  <cols>
    <col min="1" max="16384" width="9" style="1630"/>
  </cols>
  <sheetData>
    <row r="1" spans="1:7" ht="14.25" thickBot="1">
      <c r="A1" s="2997" t="s">
        <v>3254</v>
      </c>
      <c r="B1" s="2998" t="s">
        <v>3198</v>
      </c>
      <c r="C1" s="2998" t="s">
        <v>3123</v>
      </c>
      <c r="D1" s="2998" t="s">
        <v>3199</v>
      </c>
      <c r="E1" s="2998" t="s">
        <v>3255</v>
      </c>
      <c r="F1" s="2998" t="s">
        <v>3126</v>
      </c>
      <c r="G1" s="2998" t="s">
        <v>3127</v>
      </c>
    </row>
    <row r="2" spans="1:7" ht="14.25" thickBot="1">
      <c r="A2" s="2999">
        <v>1</v>
      </c>
      <c r="B2" s="3000" t="s">
        <v>3256</v>
      </c>
      <c r="C2" s="3000" t="s">
        <v>3257</v>
      </c>
      <c r="D2" s="3000" t="s">
        <v>3258</v>
      </c>
      <c r="E2" s="3000">
        <v>101</v>
      </c>
      <c r="F2" s="3000">
        <v>66.069999999999993</v>
      </c>
      <c r="G2" s="3001" t="s">
        <v>3055</v>
      </c>
    </row>
    <row r="3" spans="1:7" ht="14.25" thickBot="1">
      <c r="A3" s="2999">
        <v>2</v>
      </c>
      <c r="B3" s="3000" t="s">
        <v>3256</v>
      </c>
      <c r="C3" s="3000" t="s">
        <v>3257</v>
      </c>
      <c r="D3" s="3000" t="s">
        <v>3258</v>
      </c>
      <c r="E3" s="3000">
        <v>103</v>
      </c>
      <c r="F3" s="3000">
        <v>69.72</v>
      </c>
      <c r="G3" s="3001" t="s">
        <v>3055</v>
      </c>
    </row>
    <row r="4" spans="1:7" ht="14.25" thickBot="1">
      <c r="A4" s="2999">
        <v>3</v>
      </c>
      <c r="B4" s="3000" t="s">
        <v>3256</v>
      </c>
      <c r="C4" s="3000" t="s">
        <v>3257</v>
      </c>
      <c r="D4" s="3000" t="s">
        <v>3258</v>
      </c>
      <c r="E4" s="3000">
        <v>105</v>
      </c>
      <c r="F4" s="3000">
        <v>69.56</v>
      </c>
      <c r="G4" s="3001" t="s">
        <v>3055</v>
      </c>
    </row>
    <row r="5" spans="1:7" ht="14.25" thickBot="1">
      <c r="A5" s="2999">
        <v>4</v>
      </c>
      <c r="B5" s="3000" t="s">
        <v>3256</v>
      </c>
      <c r="C5" s="3000" t="s">
        <v>3257</v>
      </c>
      <c r="D5" s="3000" t="s">
        <v>3258</v>
      </c>
      <c r="E5" s="3000">
        <v>106</v>
      </c>
      <c r="F5" s="3000">
        <v>94.74</v>
      </c>
      <c r="G5" s="3001" t="s">
        <v>3055</v>
      </c>
    </row>
    <row r="6" spans="1:7" ht="14.25" thickBot="1">
      <c r="A6" s="2999">
        <v>5</v>
      </c>
      <c r="B6" s="3000" t="s">
        <v>3256</v>
      </c>
      <c r="C6" s="3000" t="s">
        <v>3257</v>
      </c>
      <c r="D6" s="3000" t="s">
        <v>3259</v>
      </c>
      <c r="E6" s="3000">
        <v>101</v>
      </c>
      <c r="F6" s="3000">
        <v>94.74</v>
      </c>
      <c r="G6" s="3001" t="s">
        <v>3055</v>
      </c>
    </row>
    <row r="7" spans="1:7" ht="14.25" thickBot="1">
      <c r="A7" s="2999">
        <v>6</v>
      </c>
      <c r="B7" s="3000" t="s">
        <v>3256</v>
      </c>
      <c r="C7" s="3000" t="s">
        <v>3257</v>
      </c>
      <c r="D7" s="3000" t="s">
        <v>3259</v>
      </c>
      <c r="E7" s="3000">
        <v>106</v>
      </c>
      <c r="F7" s="3000">
        <v>66.069999999999993</v>
      </c>
      <c r="G7" s="3001" t="s">
        <v>3055</v>
      </c>
    </row>
    <row r="8" spans="1:7" ht="14.25" thickBot="1">
      <c r="A8" s="2999">
        <v>7</v>
      </c>
      <c r="B8" s="3000" t="s">
        <v>3256</v>
      </c>
      <c r="C8" s="3000" t="s">
        <v>3260</v>
      </c>
      <c r="D8" s="3000" t="s">
        <v>3258</v>
      </c>
      <c r="E8" s="3000">
        <v>201</v>
      </c>
      <c r="F8" s="3000">
        <v>66.069999999999993</v>
      </c>
      <c r="G8" s="3001" t="s">
        <v>3055</v>
      </c>
    </row>
    <row r="9" spans="1:7" ht="14.25" thickBot="1">
      <c r="A9" s="2999">
        <v>8</v>
      </c>
      <c r="B9" s="3000" t="s">
        <v>3256</v>
      </c>
      <c r="C9" s="3000" t="s">
        <v>3260</v>
      </c>
      <c r="D9" s="3000" t="s">
        <v>3258</v>
      </c>
      <c r="E9" s="3000">
        <v>202</v>
      </c>
      <c r="F9" s="3000">
        <v>69.56</v>
      </c>
      <c r="G9" s="3001" t="s">
        <v>3055</v>
      </c>
    </row>
    <row r="10" spans="1:7" ht="14.25" thickBot="1">
      <c r="A10" s="2999">
        <v>9</v>
      </c>
      <c r="B10" s="3000" t="s">
        <v>3256</v>
      </c>
      <c r="C10" s="3000" t="s">
        <v>3260</v>
      </c>
      <c r="D10" s="3000" t="s">
        <v>3258</v>
      </c>
      <c r="E10" s="3000">
        <v>206</v>
      </c>
      <c r="F10" s="3000">
        <v>69.56</v>
      </c>
      <c r="G10" s="3001" t="s">
        <v>3055</v>
      </c>
    </row>
    <row r="11" spans="1:7" ht="14.25" thickBot="1">
      <c r="A11" s="2999">
        <v>10</v>
      </c>
      <c r="B11" s="3000" t="s">
        <v>3256</v>
      </c>
      <c r="C11" s="3000" t="s">
        <v>3260</v>
      </c>
      <c r="D11" s="3000" t="s">
        <v>3258</v>
      </c>
      <c r="E11" s="3000">
        <v>207</v>
      </c>
      <c r="F11" s="3000">
        <v>94.74</v>
      </c>
      <c r="G11" s="3001" t="s">
        <v>3055</v>
      </c>
    </row>
    <row r="12" spans="1:7" ht="14.25" thickBot="1">
      <c r="A12" s="2999">
        <v>11</v>
      </c>
      <c r="B12" s="3000" t="s">
        <v>3256</v>
      </c>
      <c r="C12" s="3000" t="s">
        <v>3260</v>
      </c>
      <c r="D12" s="3000" t="s">
        <v>3259</v>
      </c>
      <c r="E12" s="3000">
        <v>201</v>
      </c>
      <c r="F12" s="3000">
        <v>94.74</v>
      </c>
      <c r="G12" s="3001" t="s">
        <v>3055</v>
      </c>
    </row>
    <row r="13" spans="1:7" ht="14.25" thickBot="1">
      <c r="A13" s="2999">
        <v>12</v>
      </c>
      <c r="B13" s="3000" t="s">
        <v>3256</v>
      </c>
      <c r="C13" s="3000" t="s">
        <v>3261</v>
      </c>
      <c r="D13" s="3000" t="s">
        <v>3258</v>
      </c>
      <c r="E13" s="3000">
        <v>301</v>
      </c>
      <c r="F13" s="3000">
        <v>66.069999999999993</v>
      </c>
      <c r="G13" s="3001" t="s">
        <v>3055</v>
      </c>
    </row>
    <row r="14" spans="1:7" ht="14.25" thickBot="1">
      <c r="A14" s="2999">
        <v>13</v>
      </c>
      <c r="B14" s="3000" t="s">
        <v>3256</v>
      </c>
      <c r="C14" s="3000" t="s">
        <v>3261</v>
      </c>
      <c r="D14" s="3000" t="s">
        <v>3258</v>
      </c>
      <c r="E14" s="3000">
        <v>303</v>
      </c>
      <c r="F14" s="3000">
        <v>69.75</v>
      </c>
      <c r="G14" s="3001" t="s">
        <v>3055</v>
      </c>
    </row>
    <row r="15" spans="1:7" ht="14.25" thickBot="1">
      <c r="A15" s="2999">
        <v>14</v>
      </c>
      <c r="B15" s="3000" t="s">
        <v>3256</v>
      </c>
      <c r="C15" s="3000" t="s">
        <v>3261</v>
      </c>
      <c r="D15" s="3000" t="s">
        <v>3258</v>
      </c>
      <c r="E15" s="3000">
        <v>305</v>
      </c>
      <c r="F15" s="3000">
        <v>69.75</v>
      </c>
      <c r="G15" s="3001" t="s">
        <v>3055</v>
      </c>
    </row>
    <row r="16" spans="1:7" ht="14.25" thickBot="1">
      <c r="A16" s="2999">
        <v>15</v>
      </c>
      <c r="B16" s="3000" t="s">
        <v>3256</v>
      </c>
      <c r="C16" s="3000" t="s">
        <v>3261</v>
      </c>
      <c r="D16" s="3000" t="s">
        <v>3258</v>
      </c>
      <c r="E16" s="3000">
        <v>306</v>
      </c>
      <c r="F16" s="3000">
        <v>69.56</v>
      </c>
      <c r="G16" s="3001" t="s">
        <v>3055</v>
      </c>
    </row>
    <row r="17" spans="1:7" ht="14.25" thickBot="1">
      <c r="A17" s="2999">
        <v>16</v>
      </c>
      <c r="B17" s="3000" t="s">
        <v>3256</v>
      </c>
      <c r="C17" s="3000" t="s">
        <v>3261</v>
      </c>
      <c r="D17" s="3000" t="s">
        <v>3258</v>
      </c>
      <c r="E17" s="3000">
        <v>307</v>
      </c>
      <c r="F17" s="3000">
        <v>94.74</v>
      </c>
      <c r="G17" s="3001" t="s">
        <v>3055</v>
      </c>
    </row>
    <row r="18" spans="1:7" ht="14.25" thickBot="1">
      <c r="A18" s="2999">
        <v>17</v>
      </c>
      <c r="B18" s="3000" t="s">
        <v>3256</v>
      </c>
      <c r="C18" s="3000" t="s">
        <v>3261</v>
      </c>
      <c r="D18" s="3000" t="s">
        <v>3259</v>
      </c>
      <c r="E18" s="3000">
        <v>302</v>
      </c>
      <c r="F18" s="3000">
        <v>69.56</v>
      </c>
      <c r="G18" s="3001" t="s">
        <v>3055</v>
      </c>
    </row>
    <row r="19" spans="1:7" ht="14.25" thickBot="1">
      <c r="A19" s="2999">
        <v>18</v>
      </c>
      <c r="B19" s="3000" t="s">
        <v>3256</v>
      </c>
      <c r="C19" s="3000" t="s">
        <v>3261</v>
      </c>
      <c r="D19" s="3000" t="s">
        <v>3259</v>
      </c>
      <c r="E19" s="3000">
        <v>303</v>
      </c>
      <c r="F19" s="3000">
        <v>69.75</v>
      </c>
      <c r="G19" s="3001" t="s">
        <v>3055</v>
      </c>
    </row>
    <row r="20" spans="1:7" ht="14.25" thickBot="1">
      <c r="A20" s="2999">
        <v>19</v>
      </c>
      <c r="B20" s="3000" t="s">
        <v>3256</v>
      </c>
      <c r="C20" s="3000" t="s">
        <v>3261</v>
      </c>
      <c r="D20" s="3000" t="s">
        <v>3259</v>
      </c>
      <c r="E20" s="3000">
        <v>305</v>
      </c>
      <c r="F20" s="3000">
        <v>69.75</v>
      </c>
      <c r="G20" s="3001" t="s">
        <v>3055</v>
      </c>
    </row>
    <row r="21" spans="1:7" ht="14.25" thickBot="1">
      <c r="A21" s="2999">
        <v>20</v>
      </c>
      <c r="B21" s="3000" t="s">
        <v>3256</v>
      </c>
      <c r="C21" s="3000" t="s">
        <v>3261</v>
      </c>
      <c r="D21" s="3000" t="s">
        <v>3259</v>
      </c>
      <c r="E21" s="3000">
        <v>306</v>
      </c>
      <c r="F21" s="3000">
        <v>69.56</v>
      </c>
      <c r="G21" s="3001" t="s">
        <v>3055</v>
      </c>
    </row>
    <row r="22" spans="1:7" ht="14.25" thickBot="1">
      <c r="A22" s="2999">
        <v>21</v>
      </c>
      <c r="B22" s="3000" t="s">
        <v>3256</v>
      </c>
      <c r="C22" s="3000" t="s">
        <v>3261</v>
      </c>
      <c r="D22" s="3000" t="s">
        <v>3259</v>
      </c>
      <c r="E22" s="3000">
        <v>307</v>
      </c>
      <c r="F22" s="3000">
        <v>66.069999999999993</v>
      </c>
      <c r="G22" s="3001" t="s">
        <v>3055</v>
      </c>
    </row>
    <row r="23" spans="1:7" ht="14.25" thickBot="1">
      <c r="A23" s="2999">
        <v>22</v>
      </c>
      <c r="B23" s="3000" t="s">
        <v>3256</v>
      </c>
      <c r="C23" s="3000" t="s">
        <v>3262</v>
      </c>
      <c r="D23" s="3000" t="s">
        <v>3258</v>
      </c>
      <c r="E23" s="3000" t="s">
        <v>3146</v>
      </c>
      <c r="F23" s="3000">
        <v>69.56</v>
      </c>
      <c r="G23" s="3001" t="s">
        <v>3055</v>
      </c>
    </row>
    <row r="24" spans="1:7" ht="14.25" thickBot="1">
      <c r="A24" s="2999">
        <v>23</v>
      </c>
      <c r="B24" s="3000" t="s">
        <v>3256</v>
      </c>
      <c r="C24" s="3000" t="s">
        <v>3262</v>
      </c>
      <c r="D24" s="3000" t="s">
        <v>3258</v>
      </c>
      <c r="E24" s="3000" t="s">
        <v>3148</v>
      </c>
      <c r="F24" s="3000">
        <v>69.75</v>
      </c>
      <c r="G24" s="3001" t="s">
        <v>3055</v>
      </c>
    </row>
    <row r="25" spans="1:7" ht="14.25" thickBot="1">
      <c r="A25" s="2999">
        <v>24</v>
      </c>
      <c r="B25" s="3000" t="s">
        <v>3256</v>
      </c>
      <c r="C25" s="3000" t="s">
        <v>3262</v>
      </c>
      <c r="D25" s="3000" t="s">
        <v>3258</v>
      </c>
      <c r="E25" s="3000" t="s">
        <v>3149</v>
      </c>
      <c r="F25" s="3000">
        <v>69.56</v>
      </c>
      <c r="G25" s="3001" t="s">
        <v>3055</v>
      </c>
    </row>
    <row r="26" spans="1:7" ht="14.25" thickBot="1">
      <c r="A26" s="2999">
        <v>25</v>
      </c>
      <c r="B26" s="3000" t="s">
        <v>3256</v>
      </c>
      <c r="C26" s="3000" t="s">
        <v>3262</v>
      </c>
      <c r="D26" s="3000" t="s">
        <v>3259</v>
      </c>
      <c r="E26" s="3000" t="s">
        <v>3145</v>
      </c>
      <c r="F26" s="3000">
        <v>94.74</v>
      </c>
      <c r="G26" s="3001" t="s">
        <v>3055</v>
      </c>
    </row>
    <row r="27" spans="1:7" ht="14.25" thickBot="1">
      <c r="A27" s="2999">
        <v>26</v>
      </c>
      <c r="B27" s="3000" t="s">
        <v>3256</v>
      </c>
      <c r="C27" s="3000" t="s">
        <v>3262</v>
      </c>
      <c r="D27" s="3000" t="s">
        <v>3259</v>
      </c>
      <c r="E27" s="3000" t="s">
        <v>3146</v>
      </c>
      <c r="F27" s="3000">
        <v>69.56</v>
      </c>
      <c r="G27" s="3001" t="s">
        <v>3055</v>
      </c>
    </row>
    <row r="28" spans="1:7" ht="14.25" thickBot="1">
      <c r="A28" s="2999">
        <v>27</v>
      </c>
      <c r="B28" s="3000" t="s">
        <v>3256</v>
      </c>
      <c r="C28" s="3000" t="s">
        <v>3262</v>
      </c>
      <c r="D28" s="3000" t="s">
        <v>3259</v>
      </c>
      <c r="E28" s="3000" t="s">
        <v>3147</v>
      </c>
      <c r="F28" s="3000">
        <v>69.75</v>
      </c>
      <c r="G28" s="3001" t="s">
        <v>3055</v>
      </c>
    </row>
    <row r="29" spans="1:7" ht="14.25" thickBot="1">
      <c r="A29" s="2999">
        <v>28</v>
      </c>
      <c r="B29" s="3000" t="s">
        <v>3256</v>
      </c>
      <c r="C29" s="3000" t="s">
        <v>3262</v>
      </c>
      <c r="D29" s="3000" t="s">
        <v>3259</v>
      </c>
      <c r="E29" s="3000" t="s">
        <v>3148</v>
      </c>
      <c r="F29" s="3000">
        <v>69.75</v>
      </c>
      <c r="G29" s="3001" t="s">
        <v>3055</v>
      </c>
    </row>
    <row r="30" spans="1:7" ht="14.25" thickBot="1">
      <c r="A30" s="2999">
        <v>29</v>
      </c>
      <c r="B30" s="3000" t="s">
        <v>3256</v>
      </c>
      <c r="C30" s="3000" t="s">
        <v>3262</v>
      </c>
      <c r="D30" s="3000" t="s">
        <v>3259</v>
      </c>
      <c r="E30" s="3000" t="s">
        <v>3150</v>
      </c>
      <c r="F30" s="3000">
        <v>66.069999999999993</v>
      </c>
      <c r="G30" s="3001" t="s">
        <v>3055</v>
      </c>
    </row>
    <row r="31" spans="1:7" ht="14.25" thickBot="1">
      <c r="A31" s="2999">
        <v>30</v>
      </c>
      <c r="B31" s="3000" t="s">
        <v>3256</v>
      </c>
      <c r="C31" s="3000" t="s">
        <v>3263</v>
      </c>
      <c r="D31" s="3000" t="s">
        <v>3258</v>
      </c>
      <c r="E31" s="3000">
        <v>502</v>
      </c>
      <c r="F31" s="3000">
        <v>69.56</v>
      </c>
      <c r="G31" s="3001" t="s">
        <v>3055</v>
      </c>
    </row>
    <row r="32" spans="1:7" ht="14.25" thickBot="1">
      <c r="A32" s="2999">
        <v>31</v>
      </c>
      <c r="B32" s="3000" t="s">
        <v>3256</v>
      </c>
      <c r="C32" s="3000" t="s">
        <v>3263</v>
      </c>
      <c r="D32" s="3000" t="s">
        <v>3258</v>
      </c>
      <c r="E32" s="3000">
        <v>503</v>
      </c>
      <c r="F32" s="3000">
        <v>69.75</v>
      </c>
      <c r="G32" s="3001" t="s">
        <v>3055</v>
      </c>
    </row>
    <row r="33" spans="1:7" ht="14.25" thickBot="1">
      <c r="A33" s="2999">
        <v>32</v>
      </c>
      <c r="B33" s="3000" t="s">
        <v>3256</v>
      </c>
      <c r="C33" s="3000" t="s">
        <v>3263</v>
      </c>
      <c r="D33" s="3000" t="s">
        <v>3258</v>
      </c>
      <c r="E33" s="3000">
        <v>505</v>
      </c>
      <c r="F33" s="3000">
        <v>69.75</v>
      </c>
      <c r="G33" s="3001" t="s">
        <v>3055</v>
      </c>
    </row>
    <row r="34" spans="1:7" ht="14.25" thickBot="1">
      <c r="A34" s="2999">
        <v>33</v>
      </c>
      <c r="B34" s="3000" t="s">
        <v>3256</v>
      </c>
      <c r="C34" s="3000" t="s">
        <v>3263</v>
      </c>
      <c r="D34" s="3000" t="s">
        <v>3258</v>
      </c>
      <c r="E34" s="3000">
        <v>506</v>
      </c>
      <c r="F34" s="3000">
        <v>69.56</v>
      </c>
      <c r="G34" s="3001" t="s">
        <v>3055</v>
      </c>
    </row>
    <row r="35" spans="1:7" ht="14.25" thickBot="1">
      <c r="A35" s="2999">
        <v>34</v>
      </c>
      <c r="B35" s="3000" t="s">
        <v>3256</v>
      </c>
      <c r="C35" s="3000" t="s">
        <v>3263</v>
      </c>
      <c r="D35" s="3000" t="s">
        <v>3258</v>
      </c>
      <c r="E35" s="3000">
        <v>507</v>
      </c>
      <c r="F35" s="3000">
        <v>94.74</v>
      </c>
      <c r="G35" s="3001" t="s">
        <v>3055</v>
      </c>
    </row>
    <row r="36" spans="1:7" ht="14.25" thickBot="1">
      <c r="A36" s="2999">
        <v>35</v>
      </c>
      <c r="B36" s="3000" t="s">
        <v>3256</v>
      </c>
      <c r="C36" s="3000" t="s">
        <v>3263</v>
      </c>
      <c r="D36" s="3000" t="s">
        <v>3259</v>
      </c>
      <c r="E36" s="3000">
        <v>502</v>
      </c>
      <c r="F36" s="3000">
        <v>69.56</v>
      </c>
      <c r="G36" s="3001" t="s">
        <v>3055</v>
      </c>
    </row>
    <row r="37" spans="1:7" ht="14.25" thickBot="1">
      <c r="A37" s="2999">
        <v>36</v>
      </c>
      <c r="B37" s="3000" t="s">
        <v>3256</v>
      </c>
      <c r="C37" s="3000" t="s">
        <v>3263</v>
      </c>
      <c r="D37" s="3000" t="s">
        <v>3259</v>
      </c>
      <c r="E37" s="3000">
        <v>503</v>
      </c>
      <c r="F37" s="3000">
        <v>69.75</v>
      </c>
      <c r="G37" s="3001" t="s">
        <v>3055</v>
      </c>
    </row>
    <row r="38" spans="1:7" ht="14.25" thickBot="1">
      <c r="A38" s="2999">
        <v>37</v>
      </c>
      <c r="B38" s="3000" t="s">
        <v>3256</v>
      </c>
      <c r="C38" s="3000" t="s">
        <v>3263</v>
      </c>
      <c r="D38" s="3000" t="s">
        <v>3259</v>
      </c>
      <c r="E38" s="3000">
        <v>505</v>
      </c>
      <c r="F38" s="3000">
        <v>69.75</v>
      </c>
      <c r="G38" s="3001" t="s">
        <v>3055</v>
      </c>
    </row>
    <row r="39" spans="1:7" ht="14.25" thickBot="1">
      <c r="A39" s="2999">
        <v>38</v>
      </c>
      <c r="B39" s="3000" t="s">
        <v>3256</v>
      </c>
      <c r="C39" s="3000" t="s">
        <v>3263</v>
      </c>
      <c r="D39" s="3000" t="s">
        <v>3259</v>
      </c>
      <c r="E39" s="3000">
        <v>507</v>
      </c>
      <c r="F39" s="3000">
        <v>66.069999999999993</v>
      </c>
      <c r="G39" s="3001" t="s">
        <v>3055</v>
      </c>
    </row>
    <row r="40" spans="1:7" ht="14.25" thickBot="1">
      <c r="A40" s="2999">
        <v>39</v>
      </c>
      <c r="B40" s="3000" t="s">
        <v>3256</v>
      </c>
      <c r="C40" s="3000" t="s">
        <v>3264</v>
      </c>
      <c r="D40" s="3000" t="s">
        <v>3258</v>
      </c>
      <c r="E40" s="3000">
        <v>607</v>
      </c>
      <c r="F40" s="3000">
        <v>94.74</v>
      </c>
      <c r="G40" s="3001" t="s">
        <v>3055</v>
      </c>
    </row>
    <row r="41" spans="1:7" ht="14.25" thickBot="1">
      <c r="A41" s="2999">
        <v>40</v>
      </c>
      <c r="B41" s="3000" t="s">
        <v>3256</v>
      </c>
      <c r="C41" s="3000" t="s">
        <v>3264</v>
      </c>
      <c r="D41" s="3000" t="s">
        <v>3259</v>
      </c>
      <c r="E41" s="3000">
        <v>602</v>
      </c>
      <c r="F41" s="3000">
        <v>69.56</v>
      </c>
      <c r="G41" s="3001" t="s">
        <v>3055</v>
      </c>
    </row>
    <row r="42" spans="1:7" ht="14.25" thickBot="1">
      <c r="A42" s="2999">
        <v>41</v>
      </c>
      <c r="B42" s="3000" t="s">
        <v>3256</v>
      </c>
      <c r="C42" s="3000" t="s">
        <v>3264</v>
      </c>
      <c r="D42" s="3000" t="s">
        <v>3259</v>
      </c>
      <c r="E42" s="3000">
        <v>607</v>
      </c>
      <c r="F42" s="3000">
        <v>66.069999999999993</v>
      </c>
      <c r="G42" s="3001" t="s">
        <v>3055</v>
      </c>
    </row>
    <row r="43" spans="1:7" ht="14.25" thickBot="1">
      <c r="A43" s="2999">
        <v>42</v>
      </c>
      <c r="B43" s="3000" t="s">
        <v>3265</v>
      </c>
      <c r="C43" s="3000" t="s">
        <v>3257</v>
      </c>
      <c r="D43" s="3000" t="s">
        <v>3258</v>
      </c>
      <c r="E43" s="3000">
        <v>101</v>
      </c>
      <c r="F43" s="3000">
        <v>67.23</v>
      </c>
      <c r="G43" s="3001" t="s">
        <v>3055</v>
      </c>
    </row>
    <row r="44" spans="1:7" ht="14.25" thickBot="1">
      <c r="A44" s="2999">
        <v>43</v>
      </c>
      <c r="B44" s="3000" t="s">
        <v>3265</v>
      </c>
      <c r="C44" s="3000" t="s">
        <v>3257</v>
      </c>
      <c r="D44" s="3000" t="s">
        <v>3258</v>
      </c>
      <c r="E44" s="3000">
        <v>102</v>
      </c>
      <c r="F44" s="3000">
        <v>86.67</v>
      </c>
      <c r="G44" s="3001" t="s">
        <v>3055</v>
      </c>
    </row>
    <row r="45" spans="1:7" ht="14.25" thickBot="1">
      <c r="A45" s="2999">
        <v>44</v>
      </c>
      <c r="B45" s="3000" t="s">
        <v>3265</v>
      </c>
      <c r="C45" s="3000" t="s">
        <v>3257</v>
      </c>
      <c r="D45" s="3000" t="s">
        <v>3258</v>
      </c>
      <c r="E45" s="3000">
        <v>103</v>
      </c>
      <c r="F45" s="3000">
        <v>86.67</v>
      </c>
      <c r="G45" s="3001" t="s">
        <v>3055</v>
      </c>
    </row>
    <row r="46" spans="1:7" ht="14.25" thickBot="1">
      <c r="A46" s="2999">
        <v>45</v>
      </c>
      <c r="B46" s="3000" t="s">
        <v>3265</v>
      </c>
      <c r="C46" s="3000" t="s">
        <v>3257</v>
      </c>
      <c r="D46" s="3000" t="s">
        <v>3258</v>
      </c>
      <c r="E46" s="3000">
        <v>105</v>
      </c>
      <c r="F46" s="3000">
        <v>72.48</v>
      </c>
      <c r="G46" s="3001" t="s">
        <v>3055</v>
      </c>
    </row>
    <row r="47" spans="1:7" ht="14.25" thickBot="1">
      <c r="A47" s="2999">
        <v>46</v>
      </c>
      <c r="B47" s="3000" t="s">
        <v>3265</v>
      </c>
      <c r="C47" s="3000" t="s">
        <v>3257</v>
      </c>
      <c r="D47" s="3000" t="s">
        <v>3259</v>
      </c>
      <c r="E47" s="3000">
        <v>101</v>
      </c>
      <c r="F47" s="3000">
        <v>97.31</v>
      </c>
      <c r="G47" s="3001" t="s">
        <v>3055</v>
      </c>
    </row>
    <row r="48" spans="1:7" ht="14.25" thickBot="1">
      <c r="A48" s="2999">
        <v>47</v>
      </c>
      <c r="B48" s="3000" t="s">
        <v>3265</v>
      </c>
      <c r="C48" s="3000" t="s">
        <v>3257</v>
      </c>
      <c r="D48" s="3000" t="s">
        <v>3259</v>
      </c>
      <c r="E48" s="3000">
        <v>102</v>
      </c>
      <c r="F48" s="3000">
        <v>85.45</v>
      </c>
      <c r="G48" s="3001" t="s">
        <v>3055</v>
      </c>
    </row>
    <row r="49" spans="1:7" ht="14.25" thickBot="1">
      <c r="A49" s="2999">
        <v>48</v>
      </c>
      <c r="B49" s="3000" t="s">
        <v>3265</v>
      </c>
      <c r="C49" s="3000" t="s">
        <v>3257</v>
      </c>
      <c r="D49" s="3000" t="s">
        <v>3259</v>
      </c>
      <c r="E49" s="3000">
        <v>103</v>
      </c>
      <c r="F49" s="3000">
        <v>85.45</v>
      </c>
      <c r="G49" s="3001" t="s">
        <v>3055</v>
      </c>
    </row>
    <row r="50" spans="1:7" ht="14.25" thickBot="1">
      <c r="A50" s="2999">
        <v>49</v>
      </c>
      <c r="B50" s="3000" t="s">
        <v>3265</v>
      </c>
      <c r="C50" s="3000" t="s">
        <v>3257</v>
      </c>
      <c r="D50" s="3000" t="s">
        <v>3259</v>
      </c>
      <c r="E50" s="3000">
        <v>105</v>
      </c>
      <c r="F50" s="3000">
        <v>66.28</v>
      </c>
      <c r="G50" s="3001" t="s">
        <v>3055</v>
      </c>
    </row>
    <row r="51" spans="1:7" ht="14.25" thickBot="1">
      <c r="A51" s="2999">
        <v>50</v>
      </c>
      <c r="B51" s="3000" t="s">
        <v>3265</v>
      </c>
      <c r="C51" s="3000" t="s">
        <v>3260</v>
      </c>
      <c r="D51" s="3000" t="s">
        <v>3258</v>
      </c>
      <c r="E51" s="3000">
        <v>202</v>
      </c>
      <c r="F51" s="3000">
        <v>86.67</v>
      </c>
      <c r="G51" s="3001" t="s">
        <v>3055</v>
      </c>
    </row>
    <row r="52" spans="1:7" ht="14.25" thickBot="1">
      <c r="A52" s="2999">
        <v>51</v>
      </c>
      <c r="B52" s="3000" t="s">
        <v>3265</v>
      </c>
      <c r="C52" s="3000" t="s">
        <v>3260</v>
      </c>
      <c r="D52" s="3000" t="s">
        <v>3258</v>
      </c>
      <c r="E52" s="3000">
        <v>203</v>
      </c>
      <c r="F52" s="3000">
        <v>86.67</v>
      </c>
      <c r="G52" s="3001" t="s">
        <v>3055</v>
      </c>
    </row>
    <row r="53" spans="1:7" ht="14.25" thickBot="1">
      <c r="A53" s="2999">
        <v>52</v>
      </c>
      <c r="B53" s="3000" t="s">
        <v>3265</v>
      </c>
      <c r="C53" s="3000" t="s">
        <v>3260</v>
      </c>
      <c r="D53" s="3000" t="s">
        <v>3259</v>
      </c>
      <c r="E53" s="3000">
        <v>201</v>
      </c>
      <c r="F53" s="3000">
        <v>97.31</v>
      </c>
      <c r="G53" s="3001" t="s">
        <v>3055</v>
      </c>
    </row>
    <row r="54" spans="1:7" ht="14.25" thickBot="1">
      <c r="A54" s="2999">
        <v>53</v>
      </c>
      <c r="B54" s="3000" t="s">
        <v>3265</v>
      </c>
      <c r="C54" s="3000" t="s">
        <v>3261</v>
      </c>
      <c r="D54" s="3000" t="s">
        <v>3258</v>
      </c>
      <c r="E54" s="3000">
        <v>302</v>
      </c>
      <c r="F54" s="3000">
        <v>86.67</v>
      </c>
      <c r="G54" s="3001" t="s">
        <v>3055</v>
      </c>
    </row>
    <row r="55" spans="1:7" ht="14.25" thickBot="1">
      <c r="A55" s="2999">
        <v>54</v>
      </c>
      <c r="B55" s="3000" t="s">
        <v>3265</v>
      </c>
      <c r="C55" s="3000" t="s">
        <v>3261</v>
      </c>
      <c r="D55" s="3000" t="s">
        <v>3258</v>
      </c>
      <c r="E55" s="3000">
        <v>305</v>
      </c>
      <c r="F55" s="3000">
        <v>72.48</v>
      </c>
      <c r="G55" s="3001" t="s">
        <v>3055</v>
      </c>
    </row>
    <row r="56" spans="1:7" ht="14.25" thickBot="1">
      <c r="A56" s="2999">
        <v>55</v>
      </c>
      <c r="B56" s="3000" t="s">
        <v>3265</v>
      </c>
      <c r="C56" s="3000" t="s">
        <v>3262</v>
      </c>
      <c r="D56" s="3000" t="s">
        <v>3259</v>
      </c>
      <c r="E56" s="3000" t="s">
        <v>3145</v>
      </c>
      <c r="F56" s="3000">
        <v>97.31</v>
      </c>
      <c r="G56" s="3001" t="s">
        <v>3055</v>
      </c>
    </row>
    <row r="57" spans="1:7" ht="14.25" thickBot="1">
      <c r="A57" s="2999">
        <v>56</v>
      </c>
      <c r="B57" s="3000" t="s">
        <v>3265</v>
      </c>
      <c r="C57" s="3000" t="s">
        <v>3262</v>
      </c>
      <c r="D57" s="3000" t="s">
        <v>3259</v>
      </c>
      <c r="E57" s="3000" t="s">
        <v>3148</v>
      </c>
      <c r="F57" s="3000">
        <v>66.28</v>
      </c>
      <c r="G57" s="3001" t="s">
        <v>3055</v>
      </c>
    </row>
    <row r="58" spans="1:7" ht="14.25" thickBot="1">
      <c r="A58" s="2999">
        <v>57</v>
      </c>
      <c r="B58" s="3000" t="s">
        <v>3265</v>
      </c>
      <c r="C58" s="3000" t="s">
        <v>3263</v>
      </c>
      <c r="D58" s="3000" t="s">
        <v>3258</v>
      </c>
      <c r="E58" s="3000">
        <v>503</v>
      </c>
      <c r="F58" s="3000">
        <v>86.67</v>
      </c>
      <c r="G58" s="3001" t="s">
        <v>3055</v>
      </c>
    </row>
    <row r="59" spans="1:7" ht="14.25" thickBot="1">
      <c r="A59" s="2999">
        <v>58</v>
      </c>
      <c r="B59" s="3000" t="s">
        <v>3265</v>
      </c>
      <c r="C59" s="3000" t="s">
        <v>3263</v>
      </c>
      <c r="D59" s="3000" t="s">
        <v>3258</v>
      </c>
      <c r="E59" s="3000">
        <v>505</v>
      </c>
      <c r="F59" s="3000">
        <v>72.48</v>
      </c>
      <c r="G59" s="3001" t="s">
        <v>3055</v>
      </c>
    </row>
    <row r="60" spans="1:7" ht="14.25" thickBot="1">
      <c r="A60" s="2999">
        <v>59</v>
      </c>
      <c r="B60" s="3000" t="s">
        <v>3265</v>
      </c>
      <c r="C60" s="3000" t="s">
        <v>3264</v>
      </c>
      <c r="D60" s="3000" t="s">
        <v>3258</v>
      </c>
      <c r="E60" s="3000">
        <v>602</v>
      </c>
      <c r="F60" s="3000">
        <v>86.67</v>
      </c>
      <c r="G60" s="3001" t="s">
        <v>3055</v>
      </c>
    </row>
    <row r="61" spans="1:7" ht="14.25" thickBot="1">
      <c r="A61" s="2999">
        <v>60</v>
      </c>
      <c r="B61" s="3000" t="s">
        <v>3265</v>
      </c>
      <c r="C61" s="3000" t="s">
        <v>3264</v>
      </c>
      <c r="D61" s="3000" t="s">
        <v>3258</v>
      </c>
      <c r="E61" s="3000">
        <v>603</v>
      </c>
      <c r="F61" s="3000">
        <v>86.67</v>
      </c>
      <c r="G61" s="3001" t="s">
        <v>3055</v>
      </c>
    </row>
    <row r="62" spans="1:7" ht="14.25" thickBot="1">
      <c r="A62" s="2999">
        <v>61</v>
      </c>
      <c r="B62" s="3000" t="s">
        <v>3265</v>
      </c>
      <c r="C62" s="3000" t="s">
        <v>3264</v>
      </c>
      <c r="D62" s="3000" t="s">
        <v>3259</v>
      </c>
      <c r="E62" s="3000">
        <v>601</v>
      </c>
      <c r="F62" s="3000">
        <v>97.31</v>
      </c>
      <c r="G62" s="3001" t="s">
        <v>3055</v>
      </c>
    </row>
    <row r="63" spans="1:7" ht="14.25" thickBot="1">
      <c r="A63" s="2999">
        <v>62</v>
      </c>
      <c r="B63" s="3000" t="s">
        <v>3266</v>
      </c>
      <c r="C63" s="3002" t="s">
        <v>3257</v>
      </c>
      <c r="D63" s="3000" t="s">
        <v>3259</v>
      </c>
      <c r="E63" s="3002">
        <v>101</v>
      </c>
      <c r="F63" s="3000">
        <v>97.04</v>
      </c>
      <c r="G63" s="3001" t="s">
        <v>3055</v>
      </c>
    </row>
    <row r="64" spans="1:7" ht="14.25" thickBot="1">
      <c r="A64" s="2999">
        <v>63</v>
      </c>
      <c r="B64" s="3000" t="s">
        <v>3266</v>
      </c>
      <c r="C64" s="3002" t="s">
        <v>3257</v>
      </c>
      <c r="D64" s="3000" t="s">
        <v>3259</v>
      </c>
      <c r="E64" s="3002">
        <v>102</v>
      </c>
      <c r="F64" s="3000">
        <v>86.49</v>
      </c>
      <c r="G64" s="3001" t="s">
        <v>3055</v>
      </c>
    </row>
    <row r="65" spans="1:7" ht="14.25" thickBot="1">
      <c r="A65" s="2999">
        <v>64</v>
      </c>
      <c r="B65" s="3000" t="s">
        <v>3266</v>
      </c>
      <c r="C65" s="3002" t="s">
        <v>3257</v>
      </c>
      <c r="D65" s="3000" t="s">
        <v>3259</v>
      </c>
      <c r="E65" s="3002">
        <v>103</v>
      </c>
      <c r="F65" s="3000">
        <v>86.49</v>
      </c>
      <c r="G65" s="3001" t="s">
        <v>3055</v>
      </c>
    </row>
    <row r="66" spans="1:7" ht="14.25" thickBot="1">
      <c r="A66" s="2999">
        <v>65</v>
      </c>
      <c r="B66" s="3000" t="s">
        <v>3266</v>
      </c>
      <c r="C66" s="3002" t="s">
        <v>3257</v>
      </c>
      <c r="D66" s="3000" t="s">
        <v>3259</v>
      </c>
      <c r="E66" s="3002">
        <v>105</v>
      </c>
      <c r="F66" s="3000">
        <v>66.540000000000006</v>
      </c>
      <c r="G66" s="3001" t="s">
        <v>3055</v>
      </c>
    </row>
    <row r="67" spans="1:7" ht="14.25" thickBot="1">
      <c r="A67" s="2999">
        <v>66</v>
      </c>
      <c r="B67" s="3000" t="s">
        <v>3266</v>
      </c>
      <c r="C67" s="3002" t="s">
        <v>3257</v>
      </c>
      <c r="D67" s="3000" t="s">
        <v>3258</v>
      </c>
      <c r="E67" s="3002">
        <v>106</v>
      </c>
      <c r="F67" s="3000">
        <v>67.47</v>
      </c>
      <c r="G67" s="3001" t="s">
        <v>3055</v>
      </c>
    </row>
    <row r="68" spans="1:7" ht="14.25" thickBot="1">
      <c r="A68" s="2999">
        <v>67</v>
      </c>
      <c r="B68" s="3000" t="s">
        <v>3266</v>
      </c>
      <c r="C68" s="3002" t="s">
        <v>3257</v>
      </c>
      <c r="D68" s="3000" t="s">
        <v>3258</v>
      </c>
      <c r="E68" s="3002">
        <v>107</v>
      </c>
      <c r="F68" s="3000">
        <v>87.71</v>
      </c>
      <c r="G68" s="3001" t="s">
        <v>3055</v>
      </c>
    </row>
    <row r="69" spans="1:7" ht="14.25" thickBot="1">
      <c r="A69" s="2999">
        <v>68</v>
      </c>
      <c r="B69" s="3000" t="s">
        <v>3266</v>
      </c>
      <c r="C69" s="3002" t="s">
        <v>3257</v>
      </c>
      <c r="D69" s="3000" t="s">
        <v>3258</v>
      </c>
      <c r="E69" s="3002">
        <v>108</v>
      </c>
      <c r="F69" s="3000">
        <v>87.71</v>
      </c>
      <c r="G69" s="3001" t="s">
        <v>3055</v>
      </c>
    </row>
    <row r="70" spans="1:7" ht="14.25" thickBot="1">
      <c r="A70" s="2999">
        <v>69</v>
      </c>
      <c r="B70" s="3000" t="s">
        <v>3266</v>
      </c>
      <c r="C70" s="3002" t="s">
        <v>3257</v>
      </c>
      <c r="D70" s="3000" t="s">
        <v>3258</v>
      </c>
      <c r="E70" s="3002">
        <v>109</v>
      </c>
      <c r="F70" s="3000">
        <v>72.27</v>
      </c>
      <c r="G70" s="3001" t="s">
        <v>3055</v>
      </c>
    </row>
    <row r="71" spans="1:7" ht="14.25" thickBot="1">
      <c r="A71" s="2999">
        <v>70</v>
      </c>
      <c r="B71" s="3000" t="s">
        <v>3266</v>
      </c>
      <c r="C71" s="3002" t="s">
        <v>3260</v>
      </c>
      <c r="D71" s="3000" t="s">
        <v>3259</v>
      </c>
      <c r="E71" s="3002">
        <v>201</v>
      </c>
      <c r="F71" s="3000">
        <v>97.04</v>
      </c>
      <c r="G71" s="3001" t="s">
        <v>3055</v>
      </c>
    </row>
    <row r="72" spans="1:7" ht="14.25" thickBot="1">
      <c r="A72" s="2999">
        <v>71</v>
      </c>
      <c r="B72" s="3000" t="s">
        <v>3266</v>
      </c>
      <c r="C72" s="3002" t="s">
        <v>3260</v>
      </c>
      <c r="D72" s="3000" t="s">
        <v>3259</v>
      </c>
      <c r="E72" s="3002">
        <v>202</v>
      </c>
      <c r="F72" s="3000">
        <v>86.49</v>
      </c>
      <c r="G72" s="3001" t="s">
        <v>3055</v>
      </c>
    </row>
    <row r="73" spans="1:7" ht="14.25" thickBot="1">
      <c r="A73" s="2999">
        <v>72</v>
      </c>
      <c r="B73" s="3000" t="s">
        <v>3266</v>
      </c>
      <c r="C73" s="3002" t="s">
        <v>3260</v>
      </c>
      <c r="D73" s="3000" t="s">
        <v>3259</v>
      </c>
      <c r="E73" s="3002">
        <v>203</v>
      </c>
      <c r="F73" s="3000">
        <v>86.49</v>
      </c>
      <c r="G73" s="3001" t="s">
        <v>3055</v>
      </c>
    </row>
    <row r="74" spans="1:7" ht="14.25" thickBot="1">
      <c r="A74" s="2999">
        <v>73</v>
      </c>
      <c r="B74" s="3000" t="s">
        <v>3266</v>
      </c>
      <c r="C74" s="3002" t="s">
        <v>3260</v>
      </c>
      <c r="D74" s="3000" t="s">
        <v>3259</v>
      </c>
      <c r="E74" s="3002">
        <v>205</v>
      </c>
      <c r="F74" s="3000">
        <v>66.540000000000006</v>
      </c>
      <c r="G74" s="3001" t="s">
        <v>3055</v>
      </c>
    </row>
    <row r="75" spans="1:7" ht="14.25" thickBot="1">
      <c r="A75" s="2999">
        <v>74</v>
      </c>
      <c r="B75" s="3000" t="s">
        <v>3266</v>
      </c>
      <c r="C75" s="3002" t="s">
        <v>3260</v>
      </c>
      <c r="D75" s="3000" t="s">
        <v>3258</v>
      </c>
      <c r="E75" s="3002">
        <v>206</v>
      </c>
      <c r="F75" s="3000">
        <v>67.47</v>
      </c>
      <c r="G75" s="3001" t="s">
        <v>3055</v>
      </c>
    </row>
    <row r="76" spans="1:7" ht="14.25" thickBot="1">
      <c r="A76" s="2999">
        <v>75</v>
      </c>
      <c r="B76" s="3000" t="s">
        <v>3266</v>
      </c>
      <c r="C76" s="3002" t="s">
        <v>3260</v>
      </c>
      <c r="D76" s="3000" t="s">
        <v>3258</v>
      </c>
      <c r="E76" s="3002">
        <v>207</v>
      </c>
      <c r="F76" s="3000">
        <v>87.71</v>
      </c>
      <c r="G76" s="3001" t="s">
        <v>3055</v>
      </c>
    </row>
    <row r="77" spans="1:7" ht="14.25" thickBot="1">
      <c r="A77" s="2999">
        <v>76</v>
      </c>
      <c r="B77" s="3000" t="s">
        <v>3266</v>
      </c>
      <c r="C77" s="3002" t="s">
        <v>3260</v>
      </c>
      <c r="D77" s="3000" t="s">
        <v>3258</v>
      </c>
      <c r="E77" s="3002">
        <v>208</v>
      </c>
      <c r="F77" s="3000">
        <v>87.71</v>
      </c>
      <c r="G77" s="3001" t="s">
        <v>3055</v>
      </c>
    </row>
    <row r="78" spans="1:7" ht="14.25" thickBot="1">
      <c r="A78" s="2999">
        <v>77</v>
      </c>
      <c r="B78" s="3000" t="s">
        <v>3266</v>
      </c>
      <c r="C78" s="3002" t="s">
        <v>3260</v>
      </c>
      <c r="D78" s="3000" t="s">
        <v>3258</v>
      </c>
      <c r="E78" s="3002">
        <v>209</v>
      </c>
      <c r="F78" s="3000">
        <v>72.27</v>
      </c>
      <c r="G78" s="3001" t="s">
        <v>3055</v>
      </c>
    </row>
    <row r="79" spans="1:7" ht="14.25" thickBot="1">
      <c r="A79" s="2999">
        <v>78</v>
      </c>
      <c r="B79" s="3000" t="s">
        <v>3266</v>
      </c>
      <c r="C79" s="3002" t="s">
        <v>3261</v>
      </c>
      <c r="D79" s="3000" t="s">
        <v>3259</v>
      </c>
      <c r="E79" s="3002">
        <v>301</v>
      </c>
      <c r="F79" s="3000">
        <v>97.04</v>
      </c>
      <c r="G79" s="3001" t="s">
        <v>3055</v>
      </c>
    </row>
    <row r="80" spans="1:7" ht="14.25" thickBot="1">
      <c r="A80" s="2999">
        <v>79</v>
      </c>
      <c r="B80" s="3000" t="s">
        <v>3266</v>
      </c>
      <c r="C80" s="3002" t="s">
        <v>3261</v>
      </c>
      <c r="D80" s="3000" t="s">
        <v>3259</v>
      </c>
      <c r="E80" s="3002">
        <v>302</v>
      </c>
      <c r="F80" s="3000">
        <v>86.49</v>
      </c>
      <c r="G80" s="3001" t="s">
        <v>3055</v>
      </c>
    </row>
    <row r="81" spans="1:7" ht="14.25" thickBot="1">
      <c r="A81" s="2999">
        <v>80</v>
      </c>
      <c r="B81" s="3000" t="s">
        <v>3266</v>
      </c>
      <c r="C81" s="3002" t="s">
        <v>3261</v>
      </c>
      <c r="D81" s="3000" t="s">
        <v>3259</v>
      </c>
      <c r="E81" s="3002">
        <v>303</v>
      </c>
      <c r="F81" s="3000">
        <v>86.49</v>
      </c>
      <c r="G81" s="3001" t="s">
        <v>3055</v>
      </c>
    </row>
    <row r="82" spans="1:7" ht="14.25" thickBot="1">
      <c r="A82" s="2999">
        <v>81</v>
      </c>
      <c r="B82" s="3000" t="s">
        <v>3266</v>
      </c>
      <c r="C82" s="3002" t="s">
        <v>3261</v>
      </c>
      <c r="D82" s="3000" t="s">
        <v>3259</v>
      </c>
      <c r="E82" s="3002">
        <v>305</v>
      </c>
      <c r="F82" s="3000">
        <v>66.540000000000006</v>
      </c>
      <c r="G82" s="3001" t="s">
        <v>3055</v>
      </c>
    </row>
    <row r="83" spans="1:7" ht="14.25" thickBot="1">
      <c r="A83" s="2999">
        <v>82</v>
      </c>
      <c r="B83" s="3000" t="s">
        <v>3266</v>
      </c>
      <c r="C83" s="3002" t="s">
        <v>3261</v>
      </c>
      <c r="D83" s="3000" t="s">
        <v>3258</v>
      </c>
      <c r="E83" s="3002">
        <v>306</v>
      </c>
      <c r="F83" s="3000">
        <v>67.47</v>
      </c>
      <c r="G83" s="3001" t="s">
        <v>3055</v>
      </c>
    </row>
    <row r="84" spans="1:7" ht="14.25" thickBot="1">
      <c r="A84" s="2999">
        <v>83</v>
      </c>
      <c r="B84" s="3000" t="s">
        <v>3266</v>
      </c>
      <c r="C84" s="3002" t="s">
        <v>3261</v>
      </c>
      <c r="D84" s="3000" t="s">
        <v>3258</v>
      </c>
      <c r="E84" s="3002">
        <v>307</v>
      </c>
      <c r="F84" s="3000">
        <v>87.71</v>
      </c>
      <c r="G84" s="3001" t="s">
        <v>3055</v>
      </c>
    </row>
    <row r="85" spans="1:7" ht="14.25" thickBot="1">
      <c r="A85" s="2999">
        <v>84</v>
      </c>
      <c r="B85" s="3000" t="s">
        <v>3266</v>
      </c>
      <c r="C85" s="3002" t="s">
        <v>3261</v>
      </c>
      <c r="D85" s="3000" t="s">
        <v>3258</v>
      </c>
      <c r="E85" s="3002">
        <v>308</v>
      </c>
      <c r="F85" s="3000">
        <v>87.71</v>
      </c>
      <c r="G85" s="3001" t="s">
        <v>3055</v>
      </c>
    </row>
    <row r="86" spans="1:7" ht="14.25" thickBot="1">
      <c r="A86" s="2999">
        <v>85</v>
      </c>
      <c r="B86" s="3000" t="s">
        <v>3266</v>
      </c>
      <c r="C86" s="3002" t="s">
        <v>3261</v>
      </c>
      <c r="D86" s="3000" t="s">
        <v>3258</v>
      </c>
      <c r="E86" s="3002">
        <v>309</v>
      </c>
      <c r="F86" s="3000">
        <v>72.27</v>
      </c>
      <c r="G86" s="3001" t="s">
        <v>3055</v>
      </c>
    </row>
    <row r="87" spans="1:7" ht="14.25" thickBot="1">
      <c r="A87" s="2999">
        <v>86</v>
      </c>
      <c r="B87" s="3000" t="s">
        <v>3266</v>
      </c>
      <c r="C87" s="3002" t="s">
        <v>3262</v>
      </c>
      <c r="D87" s="3000" t="s">
        <v>3259</v>
      </c>
      <c r="E87" s="3002" t="s">
        <v>3145</v>
      </c>
      <c r="F87" s="3000">
        <v>97.04</v>
      </c>
      <c r="G87" s="3001" t="s">
        <v>3055</v>
      </c>
    </row>
    <row r="88" spans="1:7" ht="14.25" thickBot="1">
      <c r="A88" s="2999">
        <v>87</v>
      </c>
      <c r="B88" s="3000" t="s">
        <v>3266</v>
      </c>
      <c r="C88" s="3002" t="s">
        <v>3262</v>
      </c>
      <c r="D88" s="3000" t="s">
        <v>3259</v>
      </c>
      <c r="E88" s="3002" t="s">
        <v>3146</v>
      </c>
      <c r="F88" s="3000">
        <v>86.49</v>
      </c>
      <c r="G88" s="3001" t="s">
        <v>3055</v>
      </c>
    </row>
    <row r="89" spans="1:7" ht="14.25" thickBot="1">
      <c r="A89" s="2999">
        <v>88</v>
      </c>
      <c r="B89" s="3000" t="s">
        <v>3266</v>
      </c>
      <c r="C89" s="3002" t="s">
        <v>3262</v>
      </c>
      <c r="D89" s="3000" t="s">
        <v>3259</v>
      </c>
      <c r="E89" s="3002" t="s">
        <v>3147</v>
      </c>
      <c r="F89" s="3000">
        <v>86.49</v>
      </c>
      <c r="G89" s="3001" t="s">
        <v>3055</v>
      </c>
    </row>
    <row r="90" spans="1:7" ht="14.25" thickBot="1">
      <c r="A90" s="2999">
        <v>89</v>
      </c>
      <c r="B90" s="3000" t="s">
        <v>3266</v>
      </c>
      <c r="C90" s="3002" t="s">
        <v>3262</v>
      </c>
      <c r="D90" s="3000" t="s">
        <v>3259</v>
      </c>
      <c r="E90" s="3002" t="s">
        <v>3148</v>
      </c>
      <c r="F90" s="3000">
        <v>66.540000000000006</v>
      </c>
      <c r="G90" s="3001" t="s">
        <v>3055</v>
      </c>
    </row>
    <row r="91" spans="1:7" ht="14.25" thickBot="1">
      <c r="A91" s="2999">
        <v>90</v>
      </c>
      <c r="B91" s="3000" t="s">
        <v>3266</v>
      </c>
      <c r="C91" s="3002" t="s">
        <v>3262</v>
      </c>
      <c r="D91" s="3000" t="s">
        <v>3258</v>
      </c>
      <c r="E91" s="3002" t="s">
        <v>3149</v>
      </c>
      <c r="F91" s="3000">
        <v>67.47</v>
      </c>
      <c r="G91" s="3001" t="s">
        <v>3055</v>
      </c>
    </row>
    <row r="92" spans="1:7" ht="14.25" thickBot="1">
      <c r="A92" s="2999">
        <v>91</v>
      </c>
      <c r="B92" s="3000" t="s">
        <v>3266</v>
      </c>
      <c r="C92" s="3002" t="s">
        <v>3262</v>
      </c>
      <c r="D92" s="3000" t="s">
        <v>3258</v>
      </c>
      <c r="E92" s="3002" t="s">
        <v>3150</v>
      </c>
      <c r="F92" s="3000">
        <v>87.71</v>
      </c>
      <c r="G92" s="3001" t="s">
        <v>3055</v>
      </c>
    </row>
    <row r="93" spans="1:7" ht="14.25" thickBot="1">
      <c r="A93" s="2999">
        <v>92</v>
      </c>
      <c r="B93" s="3000" t="s">
        <v>3266</v>
      </c>
      <c r="C93" s="3002" t="s">
        <v>3262</v>
      </c>
      <c r="D93" s="3000" t="s">
        <v>3258</v>
      </c>
      <c r="E93" s="3002" t="s">
        <v>3151</v>
      </c>
      <c r="F93" s="3000">
        <v>87.71</v>
      </c>
      <c r="G93" s="3001" t="s">
        <v>3055</v>
      </c>
    </row>
    <row r="94" spans="1:7" ht="14.25" thickBot="1">
      <c r="A94" s="2999">
        <v>93</v>
      </c>
      <c r="B94" s="3000" t="s">
        <v>3266</v>
      </c>
      <c r="C94" s="3002" t="s">
        <v>3262</v>
      </c>
      <c r="D94" s="3000" t="s">
        <v>3258</v>
      </c>
      <c r="E94" s="3002" t="s">
        <v>3163</v>
      </c>
      <c r="F94" s="3000">
        <v>72.27</v>
      </c>
      <c r="G94" s="3001" t="s">
        <v>3055</v>
      </c>
    </row>
    <row r="95" spans="1:7" ht="14.25" thickBot="1">
      <c r="A95" s="2999">
        <v>94</v>
      </c>
      <c r="B95" s="3000" t="s">
        <v>3266</v>
      </c>
      <c r="C95" s="3002" t="s">
        <v>3263</v>
      </c>
      <c r="D95" s="3000" t="s">
        <v>3259</v>
      </c>
      <c r="E95" s="3002">
        <v>501</v>
      </c>
      <c r="F95" s="3000">
        <v>97.04</v>
      </c>
      <c r="G95" s="3001" t="s">
        <v>3055</v>
      </c>
    </row>
    <row r="96" spans="1:7" ht="14.25" thickBot="1">
      <c r="A96" s="2999">
        <v>95</v>
      </c>
      <c r="B96" s="3000" t="s">
        <v>3266</v>
      </c>
      <c r="C96" s="3002" t="s">
        <v>3263</v>
      </c>
      <c r="D96" s="3000" t="s">
        <v>3259</v>
      </c>
      <c r="E96" s="3002">
        <v>502</v>
      </c>
      <c r="F96" s="3000">
        <v>86.49</v>
      </c>
      <c r="G96" s="3001" t="s">
        <v>3055</v>
      </c>
    </row>
    <row r="97" spans="1:7" ht="14.25" thickBot="1">
      <c r="A97" s="2999">
        <v>96</v>
      </c>
      <c r="B97" s="3000" t="s">
        <v>3266</v>
      </c>
      <c r="C97" s="3002" t="s">
        <v>3263</v>
      </c>
      <c r="D97" s="3000" t="s">
        <v>3259</v>
      </c>
      <c r="E97" s="3002">
        <v>503</v>
      </c>
      <c r="F97" s="3000">
        <v>86.49</v>
      </c>
      <c r="G97" s="3001" t="s">
        <v>3055</v>
      </c>
    </row>
    <row r="98" spans="1:7" ht="14.25" thickBot="1">
      <c r="A98" s="2999">
        <v>97</v>
      </c>
      <c r="B98" s="3000" t="s">
        <v>3266</v>
      </c>
      <c r="C98" s="3002" t="s">
        <v>3263</v>
      </c>
      <c r="D98" s="3000" t="s">
        <v>3259</v>
      </c>
      <c r="E98" s="3002">
        <v>505</v>
      </c>
      <c r="F98" s="3000">
        <v>66.540000000000006</v>
      </c>
      <c r="G98" s="3001" t="s">
        <v>3055</v>
      </c>
    </row>
    <row r="99" spans="1:7" ht="14.25" thickBot="1">
      <c r="A99" s="2999">
        <v>98</v>
      </c>
      <c r="B99" s="3000" t="s">
        <v>3266</v>
      </c>
      <c r="C99" s="3002" t="s">
        <v>3263</v>
      </c>
      <c r="D99" s="3000" t="s">
        <v>3258</v>
      </c>
      <c r="E99" s="3002">
        <v>506</v>
      </c>
      <c r="F99" s="3000">
        <v>67.47</v>
      </c>
      <c r="G99" s="3001" t="s">
        <v>3055</v>
      </c>
    </row>
    <row r="100" spans="1:7" ht="14.25" thickBot="1">
      <c r="A100" s="2999">
        <v>99</v>
      </c>
      <c r="B100" s="3000" t="s">
        <v>3266</v>
      </c>
      <c r="C100" s="3002" t="s">
        <v>3263</v>
      </c>
      <c r="D100" s="3000" t="s">
        <v>3258</v>
      </c>
      <c r="E100" s="3002">
        <v>507</v>
      </c>
      <c r="F100" s="3000">
        <v>87.71</v>
      </c>
      <c r="G100" s="3001" t="s">
        <v>3055</v>
      </c>
    </row>
    <row r="101" spans="1:7" ht="14.25" thickBot="1">
      <c r="A101" s="2999">
        <v>100</v>
      </c>
      <c r="B101" s="3000" t="s">
        <v>3266</v>
      </c>
      <c r="C101" s="3002" t="s">
        <v>3263</v>
      </c>
      <c r="D101" s="3000" t="s">
        <v>3258</v>
      </c>
      <c r="E101" s="3002">
        <v>508</v>
      </c>
      <c r="F101" s="3000">
        <v>87.71</v>
      </c>
      <c r="G101" s="3001" t="s">
        <v>3055</v>
      </c>
    </row>
    <row r="102" spans="1:7" ht="14.25" thickBot="1">
      <c r="A102" s="2999">
        <v>101</v>
      </c>
      <c r="B102" s="3000" t="s">
        <v>3266</v>
      </c>
      <c r="C102" s="3002" t="s">
        <v>3263</v>
      </c>
      <c r="D102" s="3000" t="s">
        <v>3258</v>
      </c>
      <c r="E102" s="3002">
        <v>509</v>
      </c>
      <c r="F102" s="3000">
        <v>72.27</v>
      </c>
      <c r="G102" s="3001" t="s">
        <v>3055</v>
      </c>
    </row>
    <row r="103" spans="1:7" ht="14.25" thickBot="1">
      <c r="A103" s="2999">
        <v>102</v>
      </c>
      <c r="B103" s="3000" t="s">
        <v>3266</v>
      </c>
      <c r="C103" s="3002" t="s">
        <v>3264</v>
      </c>
      <c r="D103" s="3000" t="s">
        <v>3259</v>
      </c>
      <c r="E103" s="3002">
        <v>601</v>
      </c>
      <c r="F103" s="3000">
        <v>97.04</v>
      </c>
      <c r="G103" s="3001" t="s">
        <v>3055</v>
      </c>
    </row>
    <row r="104" spans="1:7" ht="14.25" thickBot="1">
      <c r="A104" s="2999">
        <v>103</v>
      </c>
      <c r="B104" s="3000" t="s">
        <v>3266</v>
      </c>
      <c r="C104" s="3002" t="s">
        <v>3264</v>
      </c>
      <c r="D104" s="3000" t="s">
        <v>3259</v>
      </c>
      <c r="E104" s="3002">
        <v>602</v>
      </c>
      <c r="F104" s="3000">
        <v>86.49</v>
      </c>
      <c r="G104" s="3001" t="s">
        <v>3055</v>
      </c>
    </row>
    <row r="105" spans="1:7" ht="14.25" thickBot="1">
      <c r="A105" s="2999">
        <v>104</v>
      </c>
      <c r="B105" s="3000" t="s">
        <v>3266</v>
      </c>
      <c r="C105" s="3002" t="s">
        <v>3264</v>
      </c>
      <c r="D105" s="3000" t="s">
        <v>3259</v>
      </c>
      <c r="E105" s="3002">
        <v>603</v>
      </c>
      <c r="F105" s="3000">
        <v>86.49</v>
      </c>
      <c r="G105" s="3001" t="s">
        <v>3055</v>
      </c>
    </row>
    <row r="106" spans="1:7" ht="14.25" thickBot="1">
      <c r="A106" s="2999">
        <v>105</v>
      </c>
      <c r="B106" s="3000" t="s">
        <v>3266</v>
      </c>
      <c r="C106" s="3002" t="s">
        <v>3264</v>
      </c>
      <c r="D106" s="3000" t="s">
        <v>3259</v>
      </c>
      <c r="E106" s="3002">
        <v>605</v>
      </c>
      <c r="F106" s="3000">
        <v>66.540000000000006</v>
      </c>
      <c r="G106" s="3001" t="s">
        <v>3055</v>
      </c>
    </row>
    <row r="107" spans="1:7" ht="14.25" thickBot="1">
      <c r="A107" s="2999">
        <v>106</v>
      </c>
      <c r="B107" s="3000" t="s">
        <v>3266</v>
      </c>
      <c r="C107" s="3002" t="s">
        <v>3264</v>
      </c>
      <c r="D107" s="3000" t="s">
        <v>3258</v>
      </c>
      <c r="E107" s="3002">
        <v>606</v>
      </c>
      <c r="F107" s="3000">
        <v>67.47</v>
      </c>
      <c r="G107" s="3001" t="s">
        <v>3055</v>
      </c>
    </row>
    <row r="108" spans="1:7" ht="14.25" thickBot="1">
      <c r="A108" s="2999">
        <v>107</v>
      </c>
      <c r="B108" s="3000" t="s">
        <v>3266</v>
      </c>
      <c r="C108" s="3002" t="s">
        <v>3264</v>
      </c>
      <c r="D108" s="3000" t="s">
        <v>3258</v>
      </c>
      <c r="E108" s="3002">
        <v>607</v>
      </c>
      <c r="F108" s="3000">
        <v>87.71</v>
      </c>
      <c r="G108" s="3001" t="s">
        <v>3055</v>
      </c>
    </row>
    <row r="109" spans="1:7" ht="14.25" thickBot="1">
      <c r="A109" s="2999">
        <v>108</v>
      </c>
      <c r="B109" s="3000" t="s">
        <v>3266</v>
      </c>
      <c r="C109" s="3002" t="s">
        <v>3264</v>
      </c>
      <c r="D109" s="3000" t="s">
        <v>3258</v>
      </c>
      <c r="E109" s="3002">
        <v>608</v>
      </c>
      <c r="F109" s="3000">
        <v>87.71</v>
      </c>
      <c r="G109" s="3001" t="s">
        <v>3055</v>
      </c>
    </row>
    <row r="110" spans="1:7" ht="14.25" thickBot="1">
      <c r="A110" s="2999">
        <v>109</v>
      </c>
      <c r="B110" s="3000" t="s">
        <v>3266</v>
      </c>
      <c r="C110" s="3002" t="s">
        <v>3264</v>
      </c>
      <c r="D110" s="3000" t="s">
        <v>3258</v>
      </c>
      <c r="E110" s="3002">
        <v>609</v>
      </c>
      <c r="F110" s="3000">
        <v>72.27</v>
      </c>
      <c r="G110" s="3001" t="s">
        <v>3055</v>
      </c>
    </row>
    <row r="111" spans="1:7" ht="14.25" thickBot="1">
      <c r="A111" s="2999">
        <v>110</v>
      </c>
      <c r="B111" s="3000" t="s">
        <v>3267</v>
      </c>
      <c r="C111" s="3002" t="s">
        <v>3261</v>
      </c>
      <c r="D111" s="3000" t="s">
        <v>3259</v>
      </c>
      <c r="E111" s="3002">
        <v>301</v>
      </c>
      <c r="F111" s="3000">
        <v>97.52</v>
      </c>
      <c r="G111" s="3001" t="s">
        <v>3055</v>
      </c>
    </row>
    <row r="112" spans="1:7" ht="14.25" thickBot="1">
      <c r="A112" s="2999">
        <v>111</v>
      </c>
      <c r="B112" s="3000" t="s">
        <v>3267</v>
      </c>
      <c r="C112" s="3002" t="s">
        <v>3261</v>
      </c>
      <c r="D112" s="3000" t="s">
        <v>3259</v>
      </c>
      <c r="E112" s="3002">
        <v>302</v>
      </c>
      <c r="F112" s="3000">
        <v>71.62</v>
      </c>
      <c r="G112" s="3001" t="s">
        <v>3055</v>
      </c>
    </row>
    <row r="113" spans="1:7" ht="14.25" thickBot="1">
      <c r="A113" s="2999">
        <v>112</v>
      </c>
      <c r="B113" s="3000" t="s">
        <v>3267</v>
      </c>
      <c r="C113" s="3002" t="s">
        <v>3261</v>
      </c>
      <c r="D113" s="3000" t="s">
        <v>3259</v>
      </c>
      <c r="E113" s="3002">
        <v>303</v>
      </c>
      <c r="F113" s="3000">
        <v>71.66</v>
      </c>
      <c r="G113" s="3001" t="s">
        <v>3055</v>
      </c>
    </row>
    <row r="114" spans="1:7" ht="14.25" thickBot="1">
      <c r="A114" s="2999">
        <v>113</v>
      </c>
      <c r="B114" s="3000" t="s">
        <v>3267</v>
      </c>
      <c r="C114" s="3002" t="s">
        <v>3261</v>
      </c>
      <c r="D114" s="3000" t="s">
        <v>3259</v>
      </c>
      <c r="E114" s="3002">
        <v>305</v>
      </c>
      <c r="F114" s="3000">
        <v>71.66</v>
      </c>
      <c r="G114" s="3001" t="s">
        <v>3055</v>
      </c>
    </row>
    <row r="115" spans="1:7" ht="14.25" thickBot="1">
      <c r="A115" s="2999">
        <v>114</v>
      </c>
      <c r="B115" s="3000" t="s">
        <v>3267</v>
      </c>
      <c r="C115" s="3002" t="s">
        <v>3261</v>
      </c>
      <c r="D115" s="3000" t="s">
        <v>3259</v>
      </c>
      <c r="E115" s="3002">
        <v>306</v>
      </c>
      <c r="F115" s="3000">
        <v>71.62</v>
      </c>
      <c r="G115" s="3001" t="s">
        <v>3055</v>
      </c>
    </row>
    <row r="116" spans="1:7" ht="14.25" thickBot="1">
      <c r="A116" s="2999">
        <v>115</v>
      </c>
      <c r="B116" s="3000" t="s">
        <v>3267</v>
      </c>
      <c r="C116" s="3002" t="s">
        <v>3261</v>
      </c>
      <c r="D116" s="3000" t="s">
        <v>3259</v>
      </c>
      <c r="E116" s="3002">
        <v>307</v>
      </c>
      <c r="F116" s="3000">
        <v>67.95</v>
      </c>
      <c r="G116" s="3001" t="s">
        <v>3055</v>
      </c>
    </row>
    <row r="117" spans="1:7" ht="14.25" thickBot="1">
      <c r="A117" s="2999">
        <v>116</v>
      </c>
      <c r="B117" s="3000" t="s">
        <v>3267</v>
      </c>
      <c r="C117" s="3002" t="s">
        <v>3261</v>
      </c>
      <c r="D117" s="3000" t="s">
        <v>3258</v>
      </c>
      <c r="E117" s="3002">
        <v>308</v>
      </c>
      <c r="F117" s="3000">
        <v>68.790000000000006</v>
      </c>
      <c r="G117" s="3001" t="s">
        <v>3055</v>
      </c>
    </row>
    <row r="118" spans="1:7" ht="14.25" thickBot="1">
      <c r="A118" s="2999">
        <v>117</v>
      </c>
      <c r="B118" s="3000" t="s">
        <v>3267</v>
      </c>
      <c r="C118" s="3002" t="s">
        <v>3261</v>
      </c>
      <c r="D118" s="3000" t="s">
        <v>3258</v>
      </c>
      <c r="E118" s="3002">
        <v>309</v>
      </c>
      <c r="F118" s="3000">
        <v>72.510000000000005</v>
      </c>
      <c r="G118" s="3001" t="s">
        <v>3055</v>
      </c>
    </row>
    <row r="119" spans="1:7" ht="14.25" thickBot="1">
      <c r="A119" s="2999">
        <v>118</v>
      </c>
      <c r="B119" s="3000" t="s">
        <v>3267</v>
      </c>
      <c r="C119" s="3002" t="s">
        <v>3261</v>
      </c>
      <c r="D119" s="3000" t="s">
        <v>3258</v>
      </c>
      <c r="E119" s="3002">
        <v>310</v>
      </c>
      <c r="F119" s="3000">
        <v>72.55</v>
      </c>
      <c r="G119" s="3001" t="s">
        <v>3055</v>
      </c>
    </row>
    <row r="120" spans="1:7" ht="14.25" thickBot="1">
      <c r="A120" s="2999">
        <v>119</v>
      </c>
      <c r="B120" s="3000" t="s">
        <v>3267</v>
      </c>
      <c r="C120" s="3002" t="s">
        <v>3261</v>
      </c>
      <c r="D120" s="3000" t="s">
        <v>3258</v>
      </c>
      <c r="E120" s="3002">
        <v>311</v>
      </c>
      <c r="F120" s="3000">
        <v>72.55</v>
      </c>
      <c r="G120" s="3001" t="s">
        <v>3055</v>
      </c>
    </row>
    <row r="121" spans="1:7" ht="14.25" thickBot="1">
      <c r="A121" s="2999">
        <v>120</v>
      </c>
      <c r="B121" s="3000" t="s">
        <v>3267</v>
      </c>
      <c r="C121" s="3002" t="s">
        <v>3261</v>
      </c>
      <c r="D121" s="3000" t="s">
        <v>3258</v>
      </c>
      <c r="E121" s="3002">
        <v>312</v>
      </c>
      <c r="F121" s="3000">
        <v>72.510000000000005</v>
      </c>
      <c r="G121" s="3001" t="s">
        <v>3055</v>
      </c>
    </row>
    <row r="122" spans="1:7" ht="14.25" thickBot="1">
      <c r="A122" s="2999">
        <v>121</v>
      </c>
      <c r="B122" s="3000" t="s">
        <v>3267</v>
      </c>
      <c r="C122" s="3002" t="s">
        <v>3261</v>
      </c>
      <c r="D122" s="3000" t="s">
        <v>3258</v>
      </c>
      <c r="E122" s="3002">
        <v>313</v>
      </c>
      <c r="F122" s="3000">
        <v>69.010000000000005</v>
      </c>
      <c r="G122" s="3001" t="s">
        <v>3055</v>
      </c>
    </row>
    <row r="123" spans="1:7" ht="14.25" thickBot="1">
      <c r="A123" s="2999">
        <v>122</v>
      </c>
      <c r="B123" s="3000" t="s">
        <v>3267</v>
      </c>
      <c r="C123" s="3002" t="s">
        <v>3262</v>
      </c>
      <c r="D123" s="3000" t="s">
        <v>3259</v>
      </c>
      <c r="E123" s="3002" t="s">
        <v>3145</v>
      </c>
      <c r="F123" s="3000">
        <v>97.52</v>
      </c>
      <c r="G123" s="3001" t="s">
        <v>3055</v>
      </c>
    </row>
    <row r="124" spans="1:7" ht="14.25" thickBot="1">
      <c r="A124" s="2999">
        <v>123</v>
      </c>
      <c r="B124" s="3000" t="s">
        <v>3267</v>
      </c>
      <c r="C124" s="3002" t="s">
        <v>3262</v>
      </c>
      <c r="D124" s="3000" t="s">
        <v>3259</v>
      </c>
      <c r="E124" s="3002" t="s">
        <v>3146</v>
      </c>
      <c r="F124" s="3000">
        <v>71.62</v>
      </c>
      <c r="G124" s="3001" t="s">
        <v>3055</v>
      </c>
    </row>
    <row r="125" spans="1:7" ht="14.25" thickBot="1">
      <c r="A125" s="2999">
        <v>124</v>
      </c>
      <c r="B125" s="3000" t="s">
        <v>3267</v>
      </c>
      <c r="C125" s="3002" t="s">
        <v>3262</v>
      </c>
      <c r="D125" s="3000" t="s">
        <v>3259</v>
      </c>
      <c r="E125" s="3002" t="s">
        <v>3147</v>
      </c>
      <c r="F125" s="3000">
        <v>71.66</v>
      </c>
      <c r="G125" s="3001" t="s">
        <v>3055</v>
      </c>
    </row>
    <row r="126" spans="1:7" ht="14.25" thickBot="1">
      <c r="A126" s="2999">
        <v>125</v>
      </c>
      <c r="B126" s="3000" t="s">
        <v>3267</v>
      </c>
      <c r="C126" s="3002" t="s">
        <v>3262</v>
      </c>
      <c r="D126" s="3000" t="s">
        <v>3259</v>
      </c>
      <c r="E126" s="3002" t="s">
        <v>3148</v>
      </c>
      <c r="F126" s="3000">
        <v>71.66</v>
      </c>
      <c r="G126" s="3001" t="s">
        <v>3055</v>
      </c>
    </row>
    <row r="127" spans="1:7" ht="14.25" thickBot="1">
      <c r="A127" s="2999">
        <v>126</v>
      </c>
      <c r="B127" s="3000" t="s">
        <v>3267</v>
      </c>
      <c r="C127" s="3002" t="s">
        <v>3262</v>
      </c>
      <c r="D127" s="3000" t="s">
        <v>3259</v>
      </c>
      <c r="E127" s="3002" t="s">
        <v>3149</v>
      </c>
      <c r="F127" s="3000">
        <v>71.62</v>
      </c>
      <c r="G127" s="3001" t="s">
        <v>3055</v>
      </c>
    </row>
    <row r="128" spans="1:7" ht="14.25" thickBot="1">
      <c r="A128" s="2999">
        <v>127</v>
      </c>
      <c r="B128" s="3000" t="s">
        <v>3267</v>
      </c>
      <c r="C128" s="3002" t="s">
        <v>3262</v>
      </c>
      <c r="D128" s="3000" t="s">
        <v>3259</v>
      </c>
      <c r="E128" s="3002" t="s">
        <v>3150</v>
      </c>
      <c r="F128" s="3000">
        <v>67.95</v>
      </c>
      <c r="G128" s="3001" t="s">
        <v>3055</v>
      </c>
    </row>
    <row r="129" spans="1:7" ht="14.25" thickBot="1">
      <c r="A129" s="2999">
        <v>128</v>
      </c>
      <c r="B129" s="3000" t="s">
        <v>3267</v>
      </c>
      <c r="C129" s="3002" t="s">
        <v>3262</v>
      </c>
      <c r="D129" s="3000" t="s">
        <v>3258</v>
      </c>
      <c r="E129" s="3002" t="s">
        <v>3151</v>
      </c>
      <c r="F129" s="3000">
        <v>68.790000000000006</v>
      </c>
      <c r="G129" s="3001" t="s">
        <v>3055</v>
      </c>
    </row>
    <row r="130" spans="1:7" ht="14.25" thickBot="1">
      <c r="A130" s="2999">
        <v>129</v>
      </c>
      <c r="B130" s="3000" t="s">
        <v>3267</v>
      </c>
      <c r="C130" s="3002" t="s">
        <v>3262</v>
      </c>
      <c r="D130" s="3000" t="s">
        <v>3258</v>
      </c>
      <c r="E130" s="3002" t="s">
        <v>3163</v>
      </c>
      <c r="F130" s="3000">
        <v>72.510000000000005</v>
      </c>
      <c r="G130" s="3001" t="s">
        <v>3055</v>
      </c>
    </row>
    <row r="131" spans="1:7" ht="14.25" thickBot="1">
      <c r="A131" s="2999">
        <v>130</v>
      </c>
      <c r="B131" s="3000" t="s">
        <v>3267</v>
      </c>
      <c r="C131" s="3002" t="s">
        <v>3262</v>
      </c>
      <c r="D131" s="3000" t="s">
        <v>3258</v>
      </c>
      <c r="E131" s="3002" t="s">
        <v>3166</v>
      </c>
      <c r="F131" s="3000">
        <v>72.55</v>
      </c>
      <c r="G131" s="3001" t="s">
        <v>3055</v>
      </c>
    </row>
    <row r="132" spans="1:7" ht="14.25" thickBot="1">
      <c r="A132" s="2999">
        <v>131</v>
      </c>
      <c r="B132" s="3000" t="s">
        <v>3267</v>
      </c>
      <c r="C132" s="3002" t="s">
        <v>3262</v>
      </c>
      <c r="D132" s="3000" t="s">
        <v>3258</v>
      </c>
      <c r="E132" s="3002" t="s">
        <v>3167</v>
      </c>
      <c r="F132" s="3000">
        <v>72.55</v>
      </c>
      <c r="G132" s="3001" t="s">
        <v>3055</v>
      </c>
    </row>
    <row r="133" spans="1:7" ht="14.25" thickBot="1">
      <c r="A133" s="2999">
        <v>132</v>
      </c>
      <c r="B133" s="3000" t="s">
        <v>3267</v>
      </c>
      <c r="C133" s="3002" t="s">
        <v>3262</v>
      </c>
      <c r="D133" s="3000" t="s">
        <v>3258</v>
      </c>
      <c r="E133" s="3002" t="s">
        <v>3168</v>
      </c>
      <c r="F133" s="3000">
        <v>72.510000000000005</v>
      </c>
      <c r="G133" s="3001" t="s">
        <v>3055</v>
      </c>
    </row>
    <row r="134" spans="1:7" ht="14.25" thickBot="1">
      <c r="A134" s="2999">
        <v>133</v>
      </c>
      <c r="B134" s="3000" t="s">
        <v>3267</v>
      </c>
      <c r="C134" s="3002" t="s">
        <v>3262</v>
      </c>
      <c r="D134" s="3000" t="s">
        <v>3258</v>
      </c>
      <c r="E134" s="3002" t="s">
        <v>3169</v>
      </c>
      <c r="F134" s="3000">
        <v>69.010000000000005</v>
      </c>
      <c r="G134" s="3001" t="s">
        <v>3055</v>
      </c>
    </row>
    <row r="135" spans="1:7" ht="14.25" thickBot="1">
      <c r="A135" s="2999">
        <v>134</v>
      </c>
      <c r="B135" s="3000" t="s">
        <v>3267</v>
      </c>
      <c r="C135" s="3002" t="s">
        <v>3263</v>
      </c>
      <c r="D135" s="3000" t="s">
        <v>3259</v>
      </c>
      <c r="E135" s="3002">
        <v>501</v>
      </c>
      <c r="F135" s="3000">
        <v>97.52</v>
      </c>
      <c r="G135" s="3001" t="s">
        <v>3055</v>
      </c>
    </row>
    <row r="136" spans="1:7" ht="14.25" thickBot="1">
      <c r="A136" s="2999">
        <v>135</v>
      </c>
      <c r="B136" s="3000" t="s">
        <v>3267</v>
      </c>
      <c r="C136" s="3002" t="s">
        <v>3263</v>
      </c>
      <c r="D136" s="3000" t="s">
        <v>3259</v>
      </c>
      <c r="E136" s="3002">
        <v>502</v>
      </c>
      <c r="F136" s="3000">
        <v>71.62</v>
      </c>
      <c r="G136" s="3001" t="s">
        <v>3055</v>
      </c>
    </row>
    <row r="137" spans="1:7" ht="14.25" thickBot="1">
      <c r="A137" s="2999">
        <v>136</v>
      </c>
      <c r="B137" s="3000" t="s">
        <v>3267</v>
      </c>
      <c r="C137" s="3002" t="s">
        <v>3263</v>
      </c>
      <c r="D137" s="3000" t="s">
        <v>3259</v>
      </c>
      <c r="E137" s="3002">
        <v>503</v>
      </c>
      <c r="F137" s="3000">
        <v>71.66</v>
      </c>
      <c r="G137" s="3001" t="s">
        <v>3055</v>
      </c>
    </row>
    <row r="138" spans="1:7" ht="14.25" thickBot="1">
      <c r="A138" s="2999">
        <v>137</v>
      </c>
      <c r="B138" s="3000" t="s">
        <v>3267</v>
      </c>
      <c r="C138" s="3002" t="s">
        <v>3263</v>
      </c>
      <c r="D138" s="3000" t="s">
        <v>3259</v>
      </c>
      <c r="E138" s="3002">
        <v>505</v>
      </c>
      <c r="F138" s="3000">
        <v>71.66</v>
      </c>
      <c r="G138" s="3001" t="s">
        <v>3055</v>
      </c>
    </row>
    <row r="139" spans="1:7" ht="14.25" thickBot="1">
      <c r="A139" s="2999">
        <v>138</v>
      </c>
      <c r="B139" s="3000" t="s">
        <v>3267</v>
      </c>
      <c r="C139" s="3002" t="s">
        <v>3263</v>
      </c>
      <c r="D139" s="3000" t="s">
        <v>3259</v>
      </c>
      <c r="E139" s="3002">
        <v>506</v>
      </c>
      <c r="F139" s="3000">
        <v>71.62</v>
      </c>
      <c r="G139" s="3001" t="s">
        <v>3055</v>
      </c>
    </row>
    <row r="140" spans="1:7" ht="14.25" thickBot="1">
      <c r="A140" s="2999">
        <v>139</v>
      </c>
      <c r="B140" s="3000" t="s">
        <v>3267</v>
      </c>
      <c r="C140" s="3002" t="s">
        <v>3263</v>
      </c>
      <c r="D140" s="3000" t="s">
        <v>3259</v>
      </c>
      <c r="E140" s="3002">
        <v>507</v>
      </c>
      <c r="F140" s="3000">
        <v>67.95</v>
      </c>
      <c r="G140" s="3001" t="s">
        <v>3055</v>
      </c>
    </row>
    <row r="141" spans="1:7" ht="14.25" thickBot="1">
      <c r="A141" s="2999">
        <v>140</v>
      </c>
      <c r="B141" s="3000" t="s">
        <v>3267</v>
      </c>
      <c r="C141" s="3002" t="s">
        <v>3263</v>
      </c>
      <c r="D141" s="3000" t="s">
        <v>3258</v>
      </c>
      <c r="E141" s="3002">
        <v>508</v>
      </c>
      <c r="F141" s="3000">
        <v>68.790000000000006</v>
      </c>
      <c r="G141" s="3001" t="s">
        <v>3055</v>
      </c>
    </row>
    <row r="142" spans="1:7" ht="14.25" thickBot="1">
      <c r="A142" s="2999">
        <v>141</v>
      </c>
      <c r="B142" s="3000" t="s">
        <v>3267</v>
      </c>
      <c r="C142" s="3002" t="s">
        <v>3263</v>
      </c>
      <c r="D142" s="3000" t="s">
        <v>3258</v>
      </c>
      <c r="E142" s="3002">
        <v>509</v>
      </c>
      <c r="F142" s="3000">
        <v>72.510000000000005</v>
      </c>
      <c r="G142" s="3001" t="s">
        <v>3055</v>
      </c>
    </row>
    <row r="143" spans="1:7" ht="14.25" thickBot="1">
      <c r="A143" s="2999">
        <v>142</v>
      </c>
      <c r="B143" s="3000" t="s">
        <v>3267</v>
      </c>
      <c r="C143" s="3002" t="s">
        <v>3263</v>
      </c>
      <c r="D143" s="3000" t="s">
        <v>3258</v>
      </c>
      <c r="E143" s="3002">
        <v>510</v>
      </c>
      <c r="F143" s="3000">
        <v>72.55</v>
      </c>
      <c r="G143" s="3001" t="s">
        <v>3055</v>
      </c>
    </row>
    <row r="144" spans="1:7" ht="14.25" thickBot="1">
      <c r="A144" s="2999">
        <v>143</v>
      </c>
      <c r="B144" s="3000" t="s">
        <v>3267</v>
      </c>
      <c r="C144" s="3002" t="s">
        <v>3263</v>
      </c>
      <c r="D144" s="3000" t="s">
        <v>3258</v>
      </c>
      <c r="E144" s="3002">
        <v>511</v>
      </c>
      <c r="F144" s="3000">
        <v>72.55</v>
      </c>
      <c r="G144" s="3001" t="s">
        <v>3055</v>
      </c>
    </row>
    <row r="145" spans="1:7" ht="14.25" thickBot="1">
      <c r="A145" s="2999">
        <v>144</v>
      </c>
      <c r="B145" s="3000" t="s">
        <v>3267</v>
      </c>
      <c r="C145" s="3002" t="s">
        <v>3263</v>
      </c>
      <c r="D145" s="3000" t="s">
        <v>3258</v>
      </c>
      <c r="E145" s="3002">
        <v>512</v>
      </c>
      <c r="F145" s="3000">
        <v>72.510000000000005</v>
      </c>
      <c r="G145" s="3001" t="s">
        <v>3055</v>
      </c>
    </row>
    <row r="146" spans="1:7" ht="14.25" thickBot="1">
      <c r="A146" s="2999">
        <v>145</v>
      </c>
      <c r="B146" s="3000" t="s">
        <v>3267</v>
      </c>
      <c r="C146" s="3002" t="s">
        <v>3263</v>
      </c>
      <c r="D146" s="3000" t="s">
        <v>3258</v>
      </c>
      <c r="E146" s="3002">
        <v>513</v>
      </c>
      <c r="F146" s="3000">
        <v>69.010000000000005</v>
      </c>
      <c r="G146" s="3001" t="s">
        <v>3055</v>
      </c>
    </row>
    <row r="147" spans="1:7" ht="14.25" thickBot="1">
      <c r="A147" s="2999">
        <v>146</v>
      </c>
      <c r="B147" s="3000" t="s">
        <v>3267</v>
      </c>
      <c r="C147" s="3002" t="s">
        <v>3264</v>
      </c>
      <c r="D147" s="3000" t="s">
        <v>3259</v>
      </c>
      <c r="E147" s="3002">
        <v>601</v>
      </c>
      <c r="F147" s="3000">
        <v>97.52</v>
      </c>
      <c r="G147" s="3001" t="s">
        <v>3055</v>
      </c>
    </row>
    <row r="148" spans="1:7" ht="14.25" thickBot="1">
      <c r="A148" s="2999">
        <v>147</v>
      </c>
      <c r="B148" s="3000" t="s">
        <v>3267</v>
      </c>
      <c r="C148" s="3002" t="s">
        <v>3264</v>
      </c>
      <c r="D148" s="3000" t="s">
        <v>3259</v>
      </c>
      <c r="E148" s="3002">
        <v>602</v>
      </c>
      <c r="F148" s="3000">
        <v>71.62</v>
      </c>
      <c r="G148" s="3001" t="s">
        <v>3055</v>
      </c>
    </row>
    <row r="149" spans="1:7" ht="14.25" thickBot="1">
      <c r="A149" s="2999">
        <v>148</v>
      </c>
      <c r="B149" s="3000" t="s">
        <v>3267</v>
      </c>
      <c r="C149" s="3002" t="s">
        <v>3264</v>
      </c>
      <c r="D149" s="3000" t="s">
        <v>3259</v>
      </c>
      <c r="E149" s="3002">
        <v>603</v>
      </c>
      <c r="F149" s="3000">
        <v>71.66</v>
      </c>
      <c r="G149" s="3001" t="s">
        <v>3055</v>
      </c>
    </row>
    <row r="150" spans="1:7" ht="14.25" thickBot="1">
      <c r="A150" s="2999">
        <v>149</v>
      </c>
      <c r="B150" s="3000" t="s">
        <v>3267</v>
      </c>
      <c r="C150" s="3002" t="s">
        <v>3264</v>
      </c>
      <c r="D150" s="3000" t="s">
        <v>3259</v>
      </c>
      <c r="E150" s="3002">
        <v>605</v>
      </c>
      <c r="F150" s="3000">
        <v>71.66</v>
      </c>
      <c r="G150" s="3001" t="s">
        <v>3055</v>
      </c>
    </row>
    <row r="151" spans="1:7" ht="14.25" thickBot="1">
      <c r="A151" s="2999">
        <v>150</v>
      </c>
      <c r="B151" s="3000" t="s">
        <v>3267</v>
      </c>
      <c r="C151" s="3002" t="s">
        <v>3264</v>
      </c>
      <c r="D151" s="3000" t="s">
        <v>3259</v>
      </c>
      <c r="E151" s="3002">
        <v>606</v>
      </c>
      <c r="F151" s="3000">
        <v>71.62</v>
      </c>
      <c r="G151" s="3001" t="s">
        <v>3055</v>
      </c>
    </row>
    <row r="152" spans="1:7" ht="14.25" thickBot="1">
      <c r="A152" s="2999">
        <v>151</v>
      </c>
      <c r="B152" s="3000" t="s">
        <v>3267</v>
      </c>
      <c r="C152" s="3002" t="s">
        <v>3264</v>
      </c>
      <c r="D152" s="3000" t="s">
        <v>3259</v>
      </c>
      <c r="E152" s="3002">
        <v>607</v>
      </c>
      <c r="F152" s="3000">
        <v>67.95</v>
      </c>
      <c r="G152" s="3001" t="s">
        <v>3055</v>
      </c>
    </row>
    <row r="153" spans="1:7" ht="14.25" thickBot="1">
      <c r="A153" s="2999">
        <v>152</v>
      </c>
      <c r="B153" s="3000" t="s">
        <v>3267</v>
      </c>
      <c r="C153" s="3002" t="s">
        <v>3264</v>
      </c>
      <c r="D153" s="3000" t="s">
        <v>3258</v>
      </c>
      <c r="E153" s="3002">
        <v>608</v>
      </c>
      <c r="F153" s="3000">
        <v>68.790000000000006</v>
      </c>
      <c r="G153" s="3001" t="s">
        <v>3055</v>
      </c>
    </row>
    <row r="154" spans="1:7" ht="14.25" thickBot="1">
      <c r="A154" s="2999">
        <v>153</v>
      </c>
      <c r="B154" s="3000" t="s">
        <v>3267</v>
      </c>
      <c r="C154" s="3002" t="s">
        <v>3264</v>
      </c>
      <c r="D154" s="3000" t="s">
        <v>3258</v>
      </c>
      <c r="E154" s="3002">
        <v>609</v>
      </c>
      <c r="F154" s="3000">
        <v>72.510000000000005</v>
      </c>
      <c r="G154" s="3001" t="s">
        <v>3055</v>
      </c>
    </row>
    <row r="155" spans="1:7" ht="14.25" thickBot="1">
      <c r="A155" s="2999">
        <v>154</v>
      </c>
      <c r="B155" s="3000" t="s">
        <v>3267</v>
      </c>
      <c r="C155" s="3002" t="s">
        <v>3264</v>
      </c>
      <c r="D155" s="3000" t="s">
        <v>3258</v>
      </c>
      <c r="E155" s="3002">
        <v>610</v>
      </c>
      <c r="F155" s="3000">
        <v>72.55</v>
      </c>
      <c r="G155" s="3001" t="s">
        <v>3055</v>
      </c>
    </row>
    <row r="156" spans="1:7" ht="14.25" thickBot="1">
      <c r="A156" s="2999">
        <v>155</v>
      </c>
      <c r="B156" s="3000" t="s">
        <v>3267</v>
      </c>
      <c r="C156" s="3002" t="s">
        <v>3264</v>
      </c>
      <c r="D156" s="3000" t="s">
        <v>3258</v>
      </c>
      <c r="E156" s="3002">
        <v>611</v>
      </c>
      <c r="F156" s="3000">
        <v>72.55</v>
      </c>
      <c r="G156" s="3001" t="s">
        <v>3055</v>
      </c>
    </row>
    <row r="157" spans="1:7" ht="14.25" thickBot="1">
      <c r="A157" s="2999">
        <v>156</v>
      </c>
      <c r="B157" s="3000" t="s">
        <v>3267</v>
      </c>
      <c r="C157" s="3002" t="s">
        <v>3264</v>
      </c>
      <c r="D157" s="3000" t="s">
        <v>3258</v>
      </c>
      <c r="E157" s="3002">
        <v>612</v>
      </c>
      <c r="F157" s="3000">
        <v>72.510000000000005</v>
      </c>
      <c r="G157" s="3001" t="s">
        <v>3055</v>
      </c>
    </row>
    <row r="158" spans="1:7" ht="14.25" thickBot="1">
      <c r="A158" s="2999">
        <v>157</v>
      </c>
      <c r="B158" s="3000" t="s">
        <v>3267</v>
      </c>
      <c r="C158" s="3002" t="s">
        <v>3264</v>
      </c>
      <c r="D158" s="3000" t="s">
        <v>3258</v>
      </c>
      <c r="E158" s="3002">
        <v>613</v>
      </c>
      <c r="F158" s="3000">
        <v>69.010000000000005</v>
      </c>
      <c r="G158" s="3001" t="s">
        <v>3055</v>
      </c>
    </row>
    <row r="159" spans="1:7" ht="14.25" thickBot="1">
      <c r="A159" s="2999">
        <v>158</v>
      </c>
      <c r="B159" s="3000" t="s">
        <v>3268</v>
      </c>
      <c r="C159" s="3002" t="s">
        <v>3261</v>
      </c>
      <c r="D159" s="3000" t="s">
        <v>3259</v>
      </c>
      <c r="E159" s="3002">
        <v>301</v>
      </c>
      <c r="F159" s="3000">
        <v>101.78</v>
      </c>
      <c r="G159" s="3001" t="s">
        <v>3055</v>
      </c>
    </row>
    <row r="160" spans="1:7" ht="14.25" thickBot="1">
      <c r="A160" s="2999">
        <v>159</v>
      </c>
      <c r="B160" s="3000" t="s">
        <v>3268</v>
      </c>
      <c r="C160" s="3002" t="s">
        <v>3261</v>
      </c>
      <c r="D160" s="3000" t="s">
        <v>3259</v>
      </c>
      <c r="E160" s="3002">
        <v>302</v>
      </c>
      <c r="F160" s="3000">
        <v>90.71</v>
      </c>
      <c r="G160" s="3001" t="s">
        <v>3055</v>
      </c>
    </row>
    <row r="161" spans="1:7" ht="14.25" thickBot="1">
      <c r="A161" s="2999">
        <v>160</v>
      </c>
      <c r="B161" s="3000" t="s">
        <v>3268</v>
      </c>
      <c r="C161" s="3002" t="s">
        <v>3261</v>
      </c>
      <c r="D161" s="3000" t="s">
        <v>3259</v>
      </c>
      <c r="E161" s="3002">
        <v>303</v>
      </c>
      <c r="F161" s="3000">
        <v>90.71</v>
      </c>
      <c r="G161" s="3001" t="s">
        <v>3055</v>
      </c>
    </row>
    <row r="162" spans="1:7" ht="14.25" thickBot="1">
      <c r="A162" s="2999">
        <v>161</v>
      </c>
      <c r="B162" s="3000" t="s">
        <v>3268</v>
      </c>
      <c r="C162" s="3002" t="s">
        <v>3261</v>
      </c>
      <c r="D162" s="3000" t="s">
        <v>3259</v>
      </c>
      <c r="E162" s="3002">
        <v>305</v>
      </c>
      <c r="F162" s="3000">
        <v>69.78</v>
      </c>
      <c r="G162" s="3001" t="s">
        <v>3055</v>
      </c>
    </row>
    <row r="163" spans="1:7" ht="14.25" thickBot="1">
      <c r="A163" s="2999">
        <v>162</v>
      </c>
      <c r="B163" s="3000" t="s">
        <v>3268</v>
      </c>
      <c r="C163" s="3002" t="s">
        <v>3261</v>
      </c>
      <c r="D163" s="3000" t="s">
        <v>3258</v>
      </c>
      <c r="E163" s="3002">
        <v>306</v>
      </c>
      <c r="F163" s="3000">
        <v>69.78</v>
      </c>
      <c r="G163" s="3001" t="s">
        <v>3055</v>
      </c>
    </row>
    <row r="164" spans="1:7" ht="14.25" thickBot="1">
      <c r="A164" s="2999">
        <v>163</v>
      </c>
      <c r="B164" s="3000" t="s">
        <v>3268</v>
      </c>
      <c r="C164" s="3002" t="s">
        <v>3261</v>
      </c>
      <c r="D164" s="3000" t="s">
        <v>3258</v>
      </c>
      <c r="E164" s="3002">
        <v>307</v>
      </c>
      <c r="F164" s="3000">
        <v>90.71</v>
      </c>
      <c r="G164" s="3001" t="s">
        <v>3055</v>
      </c>
    </row>
    <row r="165" spans="1:7" ht="14.25" thickBot="1">
      <c r="A165" s="2999">
        <v>164</v>
      </c>
      <c r="B165" s="3000" t="s">
        <v>3268</v>
      </c>
      <c r="C165" s="3002" t="s">
        <v>3261</v>
      </c>
      <c r="D165" s="3000" t="s">
        <v>3258</v>
      </c>
      <c r="E165" s="3002">
        <v>308</v>
      </c>
      <c r="F165" s="3000">
        <v>90.71</v>
      </c>
      <c r="G165" s="3001" t="s">
        <v>3055</v>
      </c>
    </row>
    <row r="166" spans="1:7" ht="14.25" thickBot="1">
      <c r="A166" s="2999">
        <v>165</v>
      </c>
      <c r="B166" s="3000" t="s">
        <v>3268</v>
      </c>
      <c r="C166" s="3002" t="s">
        <v>3261</v>
      </c>
      <c r="D166" s="3000" t="s">
        <v>3258</v>
      </c>
      <c r="E166" s="3002">
        <v>309</v>
      </c>
      <c r="F166" s="3000">
        <v>101.78</v>
      </c>
      <c r="G166" s="3001" t="s">
        <v>3055</v>
      </c>
    </row>
    <row r="167" spans="1:7" ht="14.25" thickBot="1">
      <c r="A167" s="2999">
        <v>166</v>
      </c>
      <c r="B167" s="3000" t="s">
        <v>3268</v>
      </c>
      <c r="C167" s="3002" t="s">
        <v>3262</v>
      </c>
      <c r="D167" s="3000" t="s">
        <v>3259</v>
      </c>
      <c r="E167" s="3002" t="s">
        <v>3145</v>
      </c>
      <c r="F167" s="3000">
        <v>101.78</v>
      </c>
      <c r="G167" s="3001" t="s">
        <v>3055</v>
      </c>
    </row>
    <row r="168" spans="1:7" ht="14.25" thickBot="1">
      <c r="A168" s="2999">
        <v>167</v>
      </c>
      <c r="B168" s="3000" t="s">
        <v>3268</v>
      </c>
      <c r="C168" s="3002" t="s">
        <v>3262</v>
      </c>
      <c r="D168" s="3000" t="s">
        <v>3259</v>
      </c>
      <c r="E168" s="3002" t="s">
        <v>3146</v>
      </c>
      <c r="F168" s="3000">
        <v>90.71</v>
      </c>
      <c r="G168" s="3001" t="s">
        <v>3055</v>
      </c>
    </row>
    <row r="169" spans="1:7" ht="14.25" thickBot="1">
      <c r="A169" s="2999">
        <v>168</v>
      </c>
      <c r="B169" s="3000" t="s">
        <v>3268</v>
      </c>
      <c r="C169" s="3002" t="s">
        <v>3262</v>
      </c>
      <c r="D169" s="3000" t="s">
        <v>3259</v>
      </c>
      <c r="E169" s="3002" t="s">
        <v>3147</v>
      </c>
      <c r="F169" s="3000">
        <v>90.71</v>
      </c>
      <c r="G169" s="3001" t="s">
        <v>3055</v>
      </c>
    </row>
    <row r="170" spans="1:7" ht="14.25" thickBot="1">
      <c r="A170" s="2999">
        <v>169</v>
      </c>
      <c r="B170" s="3000" t="s">
        <v>3268</v>
      </c>
      <c r="C170" s="3002" t="s">
        <v>3262</v>
      </c>
      <c r="D170" s="3000" t="s">
        <v>3259</v>
      </c>
      <c r="E170" s="3002" t="s">
        <v>3148</v>
      </c>
      <c r="F170" s="3000">
        <v>69.78</v>
      </c>
      <c r="G170" s="3001" t="s">
        <v>3055</v>
      </c>
    </row>
    <row r="171" spans="1:7" ht="14.25" thickBot="1">
      <c r="A171" s="2999">
        <v>170</v>
      </c>
      <c r="B171" s="3000" t="s">
        <v>3268</v>
      </c>
      <c r="C171" s="3002" t="s">
        <v>3262</v>
      </c>
      <c r="D171" s="3000" t="s">
        <v>3258</v>
      </c>
      <c r="E171" s="3002" t="s">
        <v>3149</v>
      </c>
      <c r="F171" s="3000">
        <v>69.78</v>
      </c>
      <c r="G171" s="3001" t="s">
        <v>3055</v>
      </c>
    </row>
    <row r="172" spans="1:7" ht="14.25" thickBot="1">
      <c r="A172" s="2999">
        <v>171</v>
      </c>
      <c r="B172" s="3000" t="s">
        <v>3268</v>
      </c>
      <c r="C172" s="3002" t="s">
        <v>3262</v>
      </c>
      <c r="D172" s="3000" t="s">
        <v>3258</v>
      </c>
      <c r="E172" s="3002" t="s">
        <v>3150</v>
      </c>
      <c r="F172" s="3000">
        <v>90.71</v>
      </c>
      <c r="G172" s="3001" t="s">
        <v>3055</v>
      </c>
    </row>
    <row r="173" spans="1:7" ht="14.25" thickBot="1">
      <c r="A173" s="2999">
        <v>172</v>
      </c>
      <c r="B173" s="3000" t="s">
        <v>3268</v>
      </c>
      <c r="C173" s="3002" t="s">
        <v>3262</v>
      </c>
      <c r="D173" s="3000" t="s">
        <v>3258</v>
      </c>
      <c r="E173" s="3002" t="s">
        <v>3151</v>
      </c>
      <c r="F173" s="3000">
        <v>90.71</v>
      </c>
      <c r="G173" s="3001" t="s">
        <v>3055</v>
      </c>
    </row>
    <row r="174" spans="1:7" ht="14.25" thickBot="1">
      <c r="A174" s="2999">
        <v>173</v>
      </c>
      <c r="B174" s="3000" t="s">
        <v>3268</v>
      </c>
      <c r="C174" s="3002" t="s">
        <v>3262</v>
      </c>
      <c r="D174" s="3000" t="s">
        <v>3258</v>
      </c>
      <c r="E174" s="3002" t="s">
        <v>3163</v>
      </c>
      <c r="F174" s="3000">
        <v>101.78</v>
      </c>
      <c r="G174" s="3001" t="s">
        <v>3055</v>
      </c>
    </row>
    <row r="175" spans="1:7" ht="14.25" thickBot="1">
      <c r="A175" s="2999">
        <v>174</v>
      </c>
      <c r="B175" s="3000" t="s">
        <v>3268</v>
      </c>
      <c r="C175" s="3002" t="s">
        <v>3263</v>
      </c>
      <c r="D175" s="3000" t="s">
        <v>3259</v>
      </c>
      <c r="E175" s="3002">
        <v>501</v>
      </c>
      <c r="F175" s="3000">
        <v>101.78</v>
      </c>
      <c r="G175" s="3001" t="s">
        <v>3055</v>
      </c>
    </row>
    <row r="176" spans="1:7" ht="14.25" thickBot="1">
      <c r="A176" s="2999">
        <v>175</v>
      </c>
      <c r="B176" s="3000" t="s">
        <v>3268</v>
      </c>
      <c r="C176" s="3002" t="s">
        <v>3263</v>
      </c>
      <c r="D176" s="3000" t="s">
        <v>3259</v>
      </c>
      <c r="E176" s="3002">
        <v>502</v>
      </c>
      <c r="F176" s="3000">
        <v>90.71</v>
      </c>
      <c r="G176" s="3001" t="s">
        <v>3055</v>
      </c>
    </row>
    <row r="177" spans="1:7" ht="14.25" thickBot="1">
      <c r="A177" s="2999">
        <v>176</v>
      </c>
      <c r="B177" s="3000" t="s">
        <v>3268</v>
      </c>
      <c r="C177" s="3002" t="s">
        <v>3263</v>
      </c>
      <c r="D177" s="3000" t="s">
        <v>3259</v>
      </c>
      <c r="E177" s="3002">
        <v>503</v>
      </c>
      <c r="F177" s="3000">
        <v>90.71</v>
      </c>
      <c r="G177" s="3001" t="s">
        <v>3055</v>
      </c>
    </row>
    <row r="178" spans="1:7" ht="14.25" thickBot="1">
      <c r="A178" s="2999">
        <v>177</v>
      </c>
      <c r="B178" s="3000" t="s">
        <v>3268</v>
      </c>
      <c r="C178" s="3002" t="s">
        <v>3263</v>
      </c>
      <c r="D178" s="3000" t="s">
        <v>3259</v>
      </c>
      <c r="E178" s="3002">
        <v>505</v>
      </c>
      <c r="F178" s="3000">
        <v>69.78</v>
      </c>
      <c r="G178" s="3001" t="s">
        <v>3055</v>
      </c>
    </row>
    <row r="179" spans="1:7" ht="14.25" thickBot="1">
      <c r="A179" s="2999">
        <v>178</v>
      </c>
      <c r="B179" s="3000" t="s">
        <v>3268</v>
      </c>
      <c r="C179" s="3002" t="s">
        <v>3263</v>
      </c>
      <c r="D179" s="3000" t="s">
        <v>3258</v>
      </c>
      <c r="E179" s="3002">
        <v>506</v>
      </c>
      <c r="F179" s="3000">
        <v>69.78</v>
      </c>
      <c r="G179" s="3001" t="s">
        <v>3055</v>
      </c>
    </row>
    <row r="180" spans="1:7" ht="14.25" thickBot="1">
      <c r="A180" s="2999">
        <v>179</v>
      </c>
      <c r="B180" s="3000" t="s">
        <v>3268</v>
      </c>
      <c r="C180" s="3002" t="s">
        <v>3263</v>
      </c>
      <c r="D180" s="3000" t="s">
        <v>3258</v>
      </c>
      <c r="E180" s="3002">
        <v>507</v>
      </c>
      <c r="F180" s="3000">
        <v>90.71</v>
      </c>
      <c r="G180" s="3001" t="s">
        <v>3055</v>
      </c>
    </row>
    <row r="181" spans="1:7" ht="14.25" thickBot="1">
      <c r="A181" s="2999">
        <v>180</v>
      </c>
      <c r="B181" s="3000" t="s">
        <v>3268</v>
      </c>
      <c r="C181" s="3002" t="s">
        <v>3263</v>
      </c>
      <c r="D181" s="3000" t="s">
        <v>3258</v>
      </c>
      <c r="E181" s="3002">
        <v>508</v>
      </c>
      <c r="F181" s="3000">
        <v>90.71</v>
      </c>
      <c r="G181" s="3001" t="s">
        <v>3055</v>
      </c>
    </row>
    <row r="182" spans="1:7" ht="14.25" thickBot="1">
      <c r="A182" s="2999">
        <v>181</v>
      </c>
      <c r="B182" s="3000" t="s">
        <v>3268</v>
      </c>
      <c r="C182" s="3002" t="s">
        <v>3263</v>
      </c>
      <c r="D182" s="3000" t="s">
        <v>3258</v>
      </c>
      <c r="E182" s="3002">
        <v>509</v>
      </c>
      <c r="F182" s="3000">
        <v>101.78</v>
      </c>
      <c r="G182" s="3001" t="s">
        <v>3055</v>
      </c>
    </row>
    <row r="183" spans="1:7" ht="14.25" thickBot="1">
      <c r="A183" s="2999">
        <v>182</v>
      </c>
      <c r="B183" s="3000" t="s">
        <v>3268</v>
      </c>
      <c r="C183" s="3002" t="s">
        <v>3264</v>
      </c>
      <c r="D183" s="3000" t="s">
        <v>3259</v>
      </c>
      <c r="E183" s="3002">
        <v>601</v>
      </c>
      <c r="F183" s="3000">
        <v>101.78</v>
      </c>
      <c r="G183" s="3001" t="s">
        <v>3055</v>
      </c>
    </row>
    <row r="184" spans="1:7" ht="14.25" thickBot="1">
      <c r="A184" s="2999">
        <v>183</v>
      </c>
      <c r="B184" s="3000" t="s">
        <v>3268</v>
      </c>
      <c r="C184" s="3002" t="s">
        <v>3264</v>
      </c>
      <c r="D184" s="3000" t="s">
        <v>3259</v>
      </c>
      <c r="E184" s="3002">
        <v>602</v>
      </c>
      <c r="F184" s="3000">
        <v>90.71</v>
      </c>
      <c r="G184" s="3001" t="s">
        <v>3055</v>
      </c>
    </row>
    <row r="185" spans="1:7" ht="14.25" thickBot="1">
      <c r="A185" s="2999">
        <v>184</v>
      </c>
      <c r="B185" s="3000" t="s">
        <v>3268</v>
      </c>
      <c r="C185" s="3002" t="s">
        <v>3264</v>
      </c>
      <c r="D185" s="3000" t="s">
        <v>3259</v>
      </c>
      <c r="E185" s="3002">
        <v>603</v>
      </c>
      <c r="F185" s="3000">
        <v>90.71</v>
      </c>
      <c r="G185" s="3001" t="s">
        <v>3055</v>
      </c>
    </row>
    <row r="186" spans="1:7" ht="14.25" thickBot="1">
      <c r="A186" s="2999">
        <v>185</v>
      </c>
      <c r="B186" s="3000" t="s">
        <v>3268</v>
      </c>
      <c r="C186" s="3002" t="s">
        <v>3264</v>
      </c>
      <c r="D186" s="3000" t="s">
        <v>3259</v>
      </c>
      <c r="E186" s="3002">
        <v>605</v>
      </c>
      <c r="F186" s="3000">
        <v>69.78</v>
      </c>
      <c r="G186" s="3001" t="s">
        <v>3055</v>
      </c>
    </row>
    <row r="187" spans="1:7" ht="14.25" thickBot="1">
      <c r="A187" s="2999">
        <v>186</v>
      </c>
      <c r="B187" s="3000" t="s">
        <v>3268</v>
      </c>
      <c r="C187" s="3002" t="s">
        <v>3264</v>
      </c>
      <c r="D187" s="3000" t="s">
        <v>3258</v>
      </c>
      <c r="E187" s="3002">
        <v>606</v>
      </c>
      <c r="F187" s="3000">
        <v>69.78</v>
      </c>
      <c r="G187" s="3001" t="s">
        <v>3055</v>
      </c>
    </row>
    <row r="188" spans="1:7" ht="14.25" thickBot="1">
      <c r="A188" s="2999">
        <v>187</v>
      </c>
      <c r="B188" s="3000" t="s">
        <v>3268</v>
      </c>
      <c r="C188" s="3002" t="s">
        <v>3264</v>
      </c>
      <c r="D188" s="3000" t="s">
        <v>3258</v>
      </c>
      <c r="E188" s="3002">
        <v>607</v>
      </c>
      <c r="F188" s="3000">
        <v>90.71</v>
      </c>
      <c r="G188" s="3001" t="s">
        <v>3055</v>
      </c>
    </row>
    <row r="189" spans="1:7" ht="14.25" thickBot="1">
      <c r="A189" s="2999">
        <v>188</v>
      </c>
      <c r="B189" s="3000" t="s">
        <v>3268</v>
      </c>
      <c r="C189" s="3002" t="s">
        <v>3264</v>
      </c>
      <c r="D189" s="3000" t="s">
        <v>3258</v>
      </c>
      <c r="E189" s="3002">
        <v>608</v>
      </c>
      <c r="F189" s="3000">
        <v>90.71</v>
      </c>
      <c r="G189" s="3001" t="s">
        <v>3055</v>
      </c>
    </row>
    <row r="190" spans="1:7" ht="14.25" thickBot="1">
      <c r="A190" s="2999">
        <v>189</v>
      </c>
      <c r="B190" s="3000" t="s">
        <v>3268</v>
      </c>
      <c r="C190" s="3002" t="s">
        <v>3264</v>
      </c>
      <c r="D190" s="3000" t="s">
        <v>3258</v>
      </c>
      <c r="E190" s="3002">
        <v>609</v>
      </c>
      <c r="F190" s="3000">
        <v>101.78</v>
      </c>
      <c r="G190" s="3001" t="s">
        <v>3055</v>
      </c>
    </row>
    <row r="191" spans="1:7" ht="14.25" thickBot="1">
      <c r="A191" s="2999">
        <v>190</v>
      </c>
      <c r="B191" s="3000" t="s">
        <v>3269</v>
      </c>
      <c r="C191" s="3002" t="s">
        <v>3257</v>
      </c>
      <c r="D191" s="3000" t="s">
        <v>70</v>
      </c>
      <c r="E191" s="3002">
        <v>101</v>
      </c>
      <c r="F191" s="3000">
        <v>94.54</v>
      </c>
      <c r="G191" s="3001" t="s">
        <v>3055</v>
      </c>
    </row>
    <row r="192" spans="1:7" ht="14.25" thickBot="1">
      <c r="A192" s="2999">
        <v>191</v>
      </c>
      <c r="B192" s="3000" t="s">
        <v>3269</v>
      </c>
      <c r="C192" s="3002" t="s">
        <v>3257</v>
      </c>
      <c r="D192" s="3000" t="s">
        <v>70</v>
      </c>
      <c r="E192" s="3002">
        <v>102</v>
      </c>
      <c r="F192" s="3000">
        <v>69.53</v>
      </c>
      <c r="G192" s="3001" t="s">
        <v>3055</v>
      </c>
    </row>
    <row r="193" spans="1:7" ht="14.25" thickBot="1">
      <c r="A193" s="2999">
        <v>192</v>
      </c>
      <c r="B193" s="3000" t="s">
        <v>3269</v>
      </c>
      <c r="C193" s="3002" t="s">
        <v>3257</v>
      </c>
      <c r="D193" s="3000" t="s">
        <v>70</v>
      </c>
      <c r="E193" s="3002">
        <v>103</v>
      </c>
      <c r="F193" s="3000">
        <v>69.47</v>
      </c>
      <c r="G193" s="3001" t="s">
        <v>3055</v>
      </c>
    </row>
    <row r="194" spans="1:7" ht="14.25" thickBot="1">
      <c r="A194" s="2999">
        <v>193</v>
      </c>
      <c r="B194" s="3000" t="s">
        <v>3269</v>
      </c>
      <c r="C194" s="3002" t="s">
        <v>3257</v>
      </c>
      <c r="D194" s="3000" t="s">
        <v>70</v>
      </c>
      <c r="E194" s="3002">
        <v>106</v>
      </c>
      <c r="F194" s="3000">
        <v>69.53</v>
      </c>
      <c r="G194" s="3001" t="s">
        <v>3055</v>
      </c>
    </row>
    <row r="195" spans="1:7" ht="14.25" thickBot="1">
      <c r="A195" s="2999">
        <v>194</v>
      </c>
      <c r="B195" s="3000" t="s">
        <v>3269</v>
      </c>
      <c r="C195" s="3002" t="s">
        <v>3257</v>
      </c>
      <c r="D195" s="3000" t="s">
        <v>70</v>
      </c>
      <c r="E195" s="3002">
        <v>107</v>
      </c>
      <c r="F195" s="3000">
        <v>66.08</v>
      </c>
      <c r="G195" s="3001" t="s">
        <v>3055</v>
      </c>
    </row>
    <row r="196" spans="1:7" ht="14.25" thickBot="1">
      <c r="A196" s="2999">
        <v>195</v>
      </c>
      <c r="B196" s="3000" t="s">
        <v>3269</v>
      </c>
      <c r="C196" s="3002" t="s">
        <v>3260</v>
      </c>
      <c r="D196" s="3000" t="s">
        <v>70</v>
      </c>
      <c r="E196" s="3002">
        <v>201</v>
      </c>
      <c r="F196" s="3000">
        <v>94.54</v>
      </c>
      <c r="G196" s="3001" t="s">
        <v>3055</v>
      </c>
    </row>
    <row r="197" spans="1:7" ht="14.25" thickBot="1">
      <c r="A197" s="2999">
        <v>196</v>
      </c>
      <c r="B197" s="3000" t="s">
        <v>3269</v>
      </c>
      <c r="C197" s="3002" t="s">
        <v>3260</v>
      </c>
      <c r="D197" s="3000" t="s">
        <v>70</v>
      </c>
      <c r="E197" s="3002">
        <v>202</v>
      </c>
      <c r="F197" s="3000">
        <v>69.53</v>
      </c>
      <c r="G197" s="3001" t="s">
        <v>3055</v>
      </c>
    </row>
    <row r="198" spans="1:7" ht="14.25" thickBot="1">
      <c r="A198" s="2999">
        <v>197</v>
      </c>
      <c r="B198" s="3000" t="s">
        <v>3269</v>
      </c>
      <c r="C198" s="3002" t="s">
        <v>3260</v>
      </c>
      <c r="D198" s="3000" t="s">
        <v>70</v>
      </c>
      <c r="E198" s="3002">
        <v>203</v>
      </c>
      <c r="F198" s="3000">
        <v>69.47</v>
      </c>
      <c r="G198" s="3001" t="s">
        <v>3055</v>
      </c>
    </row>
    <row r="199" spans="1:7" ht="14.25" thickBot="1">
      <c r="A199" s="2999">
        <v>198</v>
      </c>
      <c r="B199" s="3000" t="s">
        <v>3269</v>
      </c>
      <c r="C199" s="3002" t="s">
        <v>3260</v>
      </c>
      <c r="D199" s="3000" t="s">
        <v>70</v>
      </c>
      <c r="E199" s="3002">
        <v>205</v>
      </c>
      <c r="F199" s="3000">
        <v>69.47</v>
      </c>
      <c r="G199" s="3001" t="s">
        <v>3055</v>
      </c>
    </row>
    <row r="200" spans="1:7" ht="14.25" thickBot="1">
      <c r="A200" s="2999">
        <v>199</v>
      </c>
      <c r="B200" s="3000" t="s">
        <v>3269</v>
      </c>
      <c r="C200" s="3002" t="s">
        <v>3260</v>
      </c>
      <c r="D200" s="3000" t="s">
        <v>70</v>
      </c>
      <c r="E200" s="3002">
        <v>206</v>
      </c>
      <c r="F200" s="3000">
        <v>69.53</v>
      </c>
      <c r="G200" s="3001" t="s">
        <v>3055</v>
      </c>
    </row>
    <row r="201" spans="1:7" ht="14.25" thickBot="1">
      <c r="A201" s="2999">
        <v>200</v>
      </c>
      <c r="B201" s="3000" t="s">
        <v>3269</v>
      </c>
      <c r="C201" s="3002" t="s">
        <v>3260</v>
      </c>
      <c r="D201" s="3000" t="s">
        <v>70</v>
      </c>
      <c r="E201" s="3002">
        <v>207</v>
      </c>
      <c r="F201" s="3000">
        <v>66.08</v>
      </c>
      <c r="G201" s="3001" t="s">
        <v>3055</v>
      </c>
    </row>
    <row r="202" spans="1:7" ht="14.25" thickBot="1">
      <c r="A202" s="2999">
        <v>201</v>
      </c>
      <c r="B202" s="3000" t="s">
        <v>3269</v>
      </c>
      <c r="C202" s="3002" t="s">
        <v>3261</v>
      </c>
      <c r="D202" s="3000" t="s">
        <v>70</v>
      </c>
      <c r="E202" s="3002">
        <v>301</v>
      </c>
      <c r="F202" s="3000">
        <v>94.54</v>
      </c>
      <c r="G202" s="3001" t="s">
        <v>3055</v>
      </c>
    </row>
    <row r="203" spans="1:7" ht="14.25" thickBot="1">
      <c r="A203" s="2999">
        <v>202</v>
      </c>
      <c r="B203" s="3000" t="s">
        <v>3269</v>
      </c>
      <c r="C203" s="3002" t="s">
        <v>3261</v>
      </c>
      <c r="D203" s="3000" t="s">
        <v>70</v>
      </c>
      <c r="E203" s="3002">
        <v>302</v>
      </c>
      <c r="F203" s="3000">
        <v>69.53</v>
      </c>
      <c r="G203" s="3001" t="s">
        <v>3055</v>
      </c>
    </row>
    <row r="204" spans="1:7" ht="14.25" thickBot="1">
      <c r="A204" s="2999">
        <v>203</v>
      </c>
      <c r="B204" s="3000" t="s">
        <v>3269</v>
      </c>
      <c r="C204" s="3002" t="s">
        <v>3261</v>
      </c>
      <c r="D204" s="3000" t="s">
        <v>70</v>
      </c>
      <c r="E204" s="3002">
        <v>303</v>
      </c>
      <c r="F204" s="3000">
        <v>69.47</v>
      </c>
      <c r="G204" s="3001" t="s">
        <v>3055</v>
      </c>
    </row>
    <row r="205" spans="1:7" ht="14.25" thickBot="1">
      <c r="A205" s="2999">
        <v>204</v>
      </c>
      <c r="B205" s="3000" t="s">
        <v>3269</v>
      </c>
      <c r="C205" s="3002" t="s">
        <v>3261</v>
      </c>
      <c r="D205" s="3000" t="s">
        <v>70</v>
      </c>
      <c r="E205" s="3002">
        <v>305</v>
      </c>
      <c r="F205" s="3000">
        <v>69.47</v>
      </c>
      <c r="G205" s="3001" t="s">
        <v>3055</v>
      </c>
    </row>
    <row r="206" spans="1:7" ht="14.25" thickBot="1">
      <c r="A206" s="2999">
        <v>205</v>
      </c>
      <c r="B206" s="3000" t="s">
        <v>3269</v>
      </c>
      <c r="C206" s="3002" t="s">
        <v>3261</v>
      </c>
      <c r="D206" s="3000" t="s">
        <v>70</v>
      </c>
      <c r="E206" s="3002">
        <v>306</v>
      </c>
      <c r="F206" s="3000">
        <v>69.53</v>
      </c>
      <c r="G206" s="3001" t="s">
        <v>3055</v>
      </c>
    </row>
    <row r="207" spans="1:7" ht="14.25" thickBot="1">
      <c r="A207" s="2999">
        <v>206</v>
      </c>
      <c r="B207" s="3000" t="s">
        <v>3269</v>
      </c>
      <c r="C207" s="3002" t="s">
        <v>3261</v>
      </c>
      <c r="D207" s="3000" t="s">
        <v>70</v>
      </c>
      <c r="E207" s="3002">
        <v>307</v>
      </c>
      <c r="F207" s="3000">
        <v>66.08</v>
      </c>
      <c r="G207" s="3001" t="s">
        <v>3055</v>
      </c>
    </row>
    <row r="208" spans="1:7" ht="14.25" thickBot="1">
      <c r="A208" s="2999">
        <v>207</v>
      </c>
      <c r="B208" s="3000" t="s">
        <v>3269</v>
      </c>
      <c r="C208" s="3002" t="s">
        <v>3262</v>
      </c>
      <c r="D208" s="3000" t="s">
        <v>70</v>
      </c>
      <c r="E208" s="3002" t="s">
        <v>3145</v>
      </c>
      <c r="F208" s="3000">
        <v>94.54</v>
      </c>
      <c r="G208" s="3001" t="s">
        <v>3055</v>
      </c>
    </row>
    <row r="209" spans="1:7" ht="14.25" thickBot="1">
      <c r="A209" s="2999">
        <v>208</v>
      </c>
      <c r="B209" s="3000" t="s">
        <v>3269</v>
      </c>
      <c r="C209" s="3002" t="s">
        <v>3262</v>
      </c>
      <c r="D209" s="3000" t="s">
        <v>70</v>
      </c>
      <c r="E209" s="3002" t="s">
        <v>3146</v>
      </c>
      <c r="F209" s="3000">
        <v>69.53</v>
      </c>
      <c r="G209" s="3001" t="s">
        <v>3055</v>
      </c>
    </row>
    <row r="210" spans="1:7" ht="14.25" thickBot="1">
      <c r="A210" s="2999">
        <v>209</v>
      </c>
      <c r="B210" s="3000" t="s">
        <v>3269</v>
      </c>
      <c r="C210" s="3002" t="s">
        <v>3262</v>
      </c>
      <c r="D210" s="3000" t="s">
        <v>70</v>
      </c>
      <c r="E210" s="3002" t="s">
        <v>3147</v>
      </c>
      <c r="F210" s="3000">
        <v>69.47</v>
      </c>
      <c r="G210" s="3001" t="s">
        <v>3055</v>
      </c>
    </row>
    <row r="211" spans="1:7" ht="14.25" thickBot="1">
      <c r="A211" s="2999">
        <v>210</v>
      </c>
      <c r="B211" s="3000" t="s">
        <v>3269</v>
      </c>
      <c r="C211" s="3002" t="s">
        <v>3262</v>
      </c>
      <c r="D211" s="3000" t="s">
        <v>70</v>
      </c>
      <c r="E211" s="3002" t="s">
        <v>3148</v>
      </c>
      <c r="F211" s="3000">
        <v>69.47</v>
      </c>
      <c r="G211" s="3001" t="s">
        <v>3055</v>
      </c>
    </row>
    <row r="212" spans="1:7" ht="14.25" thickBot="1">
      <c r="A212" s="2999">
        <v>211</v>
      </c>
      <c r="B212" s="3000" t="s">
        <v>3269</v>
      </c>
      <c r="C212" s="3002" t="s">
        <v>3262</v>
      </c>
      <c r="D212" s="3000" t="s">
        <v>70</v>
      </c>
      <c r="E212" s="3002" t="s">
        <v>3149</v>
      </c>
      <c r="F212" s="3000">
        <v>69.53</v>
      </c>
      <c r="G212" s="3001" t="s">
        <v>3055</v>
      </c>
    </row>
    <row r="213" spans="1:7" ht="14.25" thickBot="1">
      <c r="A213" s="2999">
        <v>212</v>
      </c>
      <c r="B213" s="3000" t="s">
        <v>3269</v>
      </c>
      <c r="C213" s="3002" t="s">
        <v>3262</v>
      </c>
      <c r="D213" s="3000" t="s">
        <v>70</v>
      </c>
      <c r="E213" s="3002" t="s">
        <v>3150</v>
      </c>
      <c r="F213" s="3000">
        <v>66.08</v>
      </c>
      <c r="G213" s="3001" t="s">
        <v>3055</v>
      </c>
    </row>
    <row r="214" spans="1:7" ht="14.25" thickBot="1">
      <c r="A214" s="2999">
        <v>213</v>
      </c>
      <c r="B214" s="3000" t="s">
        <v>3269</v>
      </c>
      <c r="C214" s="3002" t="s">
        <v>3263</v>
      </c>
      <c r="D214" s="3000" t="s">
        <v>70</v>
      </c>
      <c r="E214" s="3002">
        <v>501</v>
      </c>
      <c r="F214" s="3000">
        <v>94.54</v>
      </c>
      <c r="G214" s="3001" t="s">
        <v>3055</v>
      </c>
    </row>
    <row r="215" spans="1:7" ht="14.25" thickBot="1">
      <c r="A215" s="2999">
        <v>214</v>
      </c>
      <c r="B215" s="3000" t="s">
        <v>3269</v>
      </c>
      <c r="C215" s="3002" t="s">
        <v>3263</v>
      </c>
      <c r="D215" s="3000" t="s">
        <v>70</v>
      </c>
      <c r="E215" s="3002">
        <v>502</v>
      </c>
      <c r="F215" s="3000">
        <v>69.53</v>
      </c>
      <c r="G215" s="3001" t="s">
        <v>3055</v>
      </c>
    </row>
    <row r="216" spans="1:7" ht="14.25" thickBot="1">
      <c r="A216" s="2999">
        <v>215</v>
      </c>
      <c r="B216" s="3000" t="s">
        <v>3269</v>
      </c>
      <c r="C216" s="3002" t="s">
        <v>3263</v>
      </c>
      <c r="D216" s="3000" t="s">
        <v>70</v>
      </c>
      <c r="E216" s="3002">
        <v>503</v>
      </c>
      <c r="F216" s="3000">
        <v>69.47</v>
      </c>
      <c r="G216" s="3001" t="s">
        <v>3055</v>
      </c>
    </row>
    <row r="217" spans="1:7" ht="14.25" thickBot="1">
      <c r="A217" s="2999">
        <v>216</v>
      </c>
      <c r="B217" s="3000" t="s">
        <v>3269</v>
      </c>
      <c r="C217" s="3002" t="s">
        <v>3263</v>
      </c>
      <c r="D217" s="3000" t="s">
        <v>70</v>
      </c>
      <c r="E217" s="3002">
        <v>505</v>
      </c>
      <c r="F217" s="3000">
        <v>69.47</v>
      </c>
      <c r="G217" s="3001" t="s">
        <v>3055</v>
      </c>
    </row>
    <row r="218" spans="1:7" ht="14.25" thickBot="1">
      <c r="A218" s="2999">
        <v>217</v>
      </c>
      <c r="B218" s="3000" t="s">
        <v>3269</v>
      </c>
      <c r="C218" s="3002" t="s">
        <v>3263</v>
      </c>
      <c r="D218" s="3000" t="s">
        <v>70</v>
      </c>
      <c r="E218" s="3002">
        <v>506</v>
      </c>
      <c r="F218" s="3000">
        <v>69.53</v>
      </c>
      <c r="G218" s="3001" t="s">
        <v>3055</v>
      </c>
    </row>
    <row r="219" spans="1:7" ht="14.25" thickBot="1">
      <c r="A219" s="2999">
        <v>218</v>
      </c>
      <c r="B219" s="3000" t="s">
        <v>3269</v>
      </c>
      <c r="C219" s="3002" t="s">
        <v>3263</v>
      </c>
      <c r="D219" s="3000" t="s">
        <v>70</v>
      </c>
      <c r="E219" s="3002">
        <v>507</v>
      </c>
      <c r="F219" s="3000">
        <v>66.08</v>
      </c>
      <c r="G219" s="3001" t="s">
        <v>3055</v>
      </c>
    </row>
    <row r="220" spans="1:7" ht="14.25" thickBot="1">
      <c r="A220" s="2999">
        <v>219</v>
      </c>
      <c r="B220" s="3000" t="s">
        <v>3269</v>
      </c>
      <c r="C220" s="3002" t="s">
        <v>3264</v>
      </c>
      <c r="D220" s="3000" t="s">
        <v>70</v>
      </c>
      <c r="E220" s="3002">
        <v>601</v>
      </c>
      <c r="F220" s="3000">
        <v>94.54</v>
      </c>
      <c r="G220" s="3001" t="s">
        <v>3055</v>
      </c>
    </row>
    <row r="221" spans="1:7" ht="14.25" thickBot="1">
      <c r="A221" s="2999">
        <v>220</v>
      </c>
      <c r="B221" s="3000" t="s">
        <v>3269</v>
      </c>
      <c r="C221" s="3002" t="s">
        <v>3264</v>
      </c>
      <c r="D221" s="3000" t="s">
        <v>70</v>
      </c>
      <c r="E221" s="3002">
        <v>602</v>
      </c>
      <c r="F221" s="3000">
        <v>69.53</v>
      </c>
      <c r="G221" s="3001" t="s">
        <v>3055</v>
      </c>
    </row>
    <row r="222" spans="1:7" ht="14.25" thickBot="1">
      <c r="A222" s="2999">
        <v>221</v>
      </c>
      <c r="B222" s="3000" t="s">
        <v>3269</v>
      </c>
      <c r="C222" s="3002" t="s">
        <v>3264</v>
      </c>
      <c r="D222" s="3000" t="s">
        <v>70</v>
      </c>
      <c r="E222" s="3002">
        <v>603</v>
      </c>
      <c r="F222" s="3000">
        <v>69.47</v>
      </c>
      <c r="G222" s="3001" t="s">
        <v>3055</v>
      </c>
    </row>
    <row r="223" spans="1:7" ht="14.25" thickBot="1">
      <c r="A223" s="2999">
        <v>222</v>
      </c>
      <c r="B223" s="3000" t="s">
        <v>3269</v>
      </c>
      <c r="C223" s="3002" t="s">
        <v>3264</v>
      </c>
      <c r="D223" s="3000" t="s">
        <v>70</v>
      </c>
      <c r="E223" s="3002">
        <v>605</v>
      </c>
      <c r="F223" s="3000">
        <v>69.47</v>
      </c>
      <c r="G223" s="3001" t="s">
        <v>3055</v>
      </c>
    </row>
    <row r="224" spans="1:7" ht="14.25" thickBot="1">
      <c r="A224" s="2999">
        <v>223</v>
      </c>
      <c r="B224" s="3000" t="s">
        <v>3269</v>
      </c>
      <c r="C224" s="3002" t="s">
        <v>3264</v>
      </c>
      <c r="D224" s="3000" t="s">
        <v>70</v>
      </c>
      <c r="E224" s="3002">
        <v>606</v>
      </c>
      <c r="F224" s="3000">
        <v>69.53</v>
      </c>
      <c r="G224" s="3001" t="s">
        <v>3055</v>
      </c>
    </row>
    <row r="225" spans="1:7" ht="14.25" thickBot="1">
      <c r="A225" s="2999">
        <v>224</v>
      </c>
      <c r="B225" s="3000" t="s">
        <v>3269</v>
      </c>
      <c r="C225" s="3002" t="s">
        <v>3264</v>
      </c>
      <c r="D225" s="3000" t="s">
        <v>70</v>
      </c>
      <c r="E225" s="3002">
        <v>607</v>
      </c>
      <c r="F225" s="3000">
        <v>66.08</v>
      </c>
      <c r="G225" s="3001" t="s">
        <v>3055</v>
      </c>
    </row>
    <row r="226" spans="1:7" ht="14.25" thickBot="1">
      <c r="A226" s="2999">
        <v>225</v>
      </c>
      <c r="B226" s="3000" t="s">
        <v>3270</v>
      </c>
      <c r="C226" s="3002" t="s">
        <v>3257</v>
      </c>
      <c r="D226" s="3000" t="s">
        <v>70</v>
      </c>
      <c r="E226" s="3002">
        <v>101</v>
      </c>
      <c r="F226" s="3000">
        <v>93.94</v>
      </c>
      <c r="G226" s="3001" t="s">
        <v>3055</v>
      </c>
    </row>
    <row r="227" spans="1:7" ht="14.25" thickBot="1">
      <c r="A227" s="2999">
        <v>226</v>
      </c>
      <c r="B227" s="3000" t="s">
        <v>3270</v>
      </c>
      <c r="C227" s="3002" t="s">
        <v>3257</v>
      </c>
      <c r="D227" s="3000" t="s">
        <v>70</v>
      </c>
      <c r="E227" s="3002">
        <v>102</v>
      </c>
      <c r="F227" s="3000">
        <v>69.09</v>
      </c>
      <c r="G227" s="3001" t="s">
        <v>3055</v>
      </c>
    </row>
    <row r="228" spans="1:7" ht="14.25" thickBot="1">
      <c r="A228" s="2999">
        <v>227</v>
      </c>
      <c r="B228" s="3000" t="s">
        <v>3270</v>
      </c>
      <c r="C228" s="3002" t="s">
        <v>3257</v>
      </c>
      <c r="D228" s="3000" t="s">
        <v>70</v>
      </c>
      <c r="E228" s="3002">
        <v>103</v>
      </c>
      <c r="F228" s="3000">
        <v>69.03</v>
      </c>
      <c r="G228" s="3001" t="s">
        <v>3055</v>
      </c>
    </row>
    <row r="229" spans="1:7" ht="14.25" thickBot="1">
      <c r="A229" s="2999">
        <v>228</v>
      </c>
      <c r="B229" s="3000" t="s">
        <v>3270</v>
      </c>
      <c r="C229" s="3002" t="s">
        <v>3257</v>
      </c>
      <c r="D229" s="3000" t="s">
        <v>70</v>
      </c>
      <c r="E229" s="3002">
        <v>105</v>
      </c>
      <c r="F229" s="3000">
        <v>69.03</v>
      </c>
      <c r="G229" s="3001" t="s">
        <v>3055</v>
      </c>
    </row>
    <row r="230" spans="1:7" ht="14.25" thickBot="1">
      <c r="A230" s="2999">
        <v>229</v>
      </c>
      <c r="B230" s="3000" t="s">
        <v>3270</v>
      </c>
      <c r="C230" s="3002" t="s">
        <v>3257</v>
      </c>
      <c r="D230" s="3000" t="s">
        <v>70</v>
      </c>
      <c r="E230" s="3002">
        <v>106</v>
      </c>
      <c r="F230" s="3000">
        <v>69.09</v>
      </c>
      <c r="G230" s="3001" t="s">
        <v>3055</v>
      </c>
    </row>
    <row r="231" spans="1:7" ht="14.25" thickBot="1">
      <c r="A231" s="2999">
        <v>230</v>
      </c>
      <c r="B231" s="3000" t="s">
        <v>3270</v>
      </c>
      <c r="C231" s="3002" t="s">
        <v>3257</v>
      </c>
      <c r="D231" s="3000" t="s">
        <v>70</v>
      </c>
      <c r="E231" s="3002">
        <v>107</v>
      </c>
      <c r="F231" s="3000">
        <v>65.66</v>
      </c>
      <c r="G231" s="3001" t="s">
        <v>3055</v>
      </c>
    </row>
    <row r="232" spans="1:7" ht="14.25" thickBot="1">
      <c r="A232" s="2999">
        <v>231</v>
      </c>
      <c r="B232" s="3000" t="s">
        <v>3270</v>
      </c>
      <c r="C232" s="3002" t="s">
        <v>3260</v>
      </c>
      <c r="D232" s="3000" t="s">
        <v>70</v>
      </c>
      <c r="E232" s="3002">
        <v>201</v>
      </c>
      <c r="F232" s="3000">
        <v>93.94</v>
      </c>
      <c r="G232" s="3001" t="s">
        <v>3055</v>
      </c>
    </row>
    <row r="233" spans="1:7" ht="14.25" thickBot="1">
      <c r="A233" s="2999">
        <v>232</v>
      </c>
      <c r="B233" s="3000" t="s">
        <v>3270</v>
      </c>
      <c r="C233" s="3002" t="s">
        <v>3260</v>
      </c>
      <c r="D233" s="3000" t="s">
        <v>70</v>
      </c>
      <c r="E233" s="3002">
        <v>202</v>
      </c>
      <c r="F233" s="3000">
        <v>69.09</v>
      </c>
      <c r="G233" s="3001" t="s">
        <v>3055</v>
      </c>
    </row>
    <row r="234" spans="1:7" ht="14.25" thickBot="1">
      <c r="A234" s="2999">
        <v>233</v>
      </c>
      <c r="B234" s="3000" t="s">
        <v>3270</v>
      </c>
      <c r="C234" s="3002" t="s">
        <v>3260</v>
      </c>
      <c r="D234" s="3000" t="s">
        <v>70</v>
      </c>
      <c r="E234" s="3002">
        <v>203</v>
      </c>
      <c r="F234" s="3000">
        <v>69.03</v>
      </c>
      <c r="G234" s="3001" t="s">
        <v>3055</v>
      </c>
    </row>
    <row r="235" spans="1:7" ht="14.25" thickBot="1">
      <c r="A235" s="2999">
        <v>234</v>
      </c>
      <c r="B235" s="3000" t="s">
        <v>3270</v>
      </c>
      <c r="C235" s="3002" t="s">
        <v>3260</v>
      </c>
      <c r="D235" s="3000" t="s">
        <v>70</v>
      </c>
      <c r="E235" s="3002">
        <v>205</v>
      </c>
      <c r="F235" s="3000">
        <v>69.03</v>
      </c>
      <c r="G235" s="3001" t="s">
        <v>3055</v>
      </c>
    </row>
    <row r="236" spans="1:7" ht="14.25" thickBot="1">
      <c r="A236" s="2999">
        <v>235</v>
      </c>
      <c r="B236" s="3000" t="s">
        <v>3270</v>
      </c>
      <c r="C236" s="3002" t="s">
        <v>3260</v>
      </c>
      <c r="D236" s="3000" t="s">
        <v>70</v>
      </c>
      <c r="E236" s="3002">
        <v>206</v>
      </c>
      <c r="F236" s="3000">
        <v>69.09</v>
      </c>
      <c r="G236" s="3001" t="s">
        <v>3055</v>
      </c>
    </row>
    <row r="237" spans="1:7" ht="14.25" thickBot="1">
      <c r="A237" s="2999">
        <v>236</v>
      </c>
      <c r="B237" s="3000" t="s">
        <v>3270</v>
      </c>
      <c r="C237" s="3002" t="s">
        <v>3260</v>
      </c>
      <c r="D237" s="3000" t="s">
        <v>70</v>
      </c>
      <c r="E237" s="3002">
        <v>207</v>
      </c>
      <c r="F237" s="3000">
        <v>65.66</v>
      </c>
      <c r="G237" s="3001" t="s">
        <v>3055</v>
      </c>
    </row>
    <row r="238" spans="1:7" ht="14.25" thickBot="1">
      <c r="A238" s="2999">
        <v>237</v>
      </c>
      <c r="B238" s="3000" t="s">
        <v>3270</v>
      </c>
      <c r="C238" s="3002" t="s">
        <v>3261</v>
      </c>
      <c r="D238" s="3000" t="s">
        <v>70</v>
      </c>
      <c r="E238" s="3002">
        <v>301</v>
      </c>
      <c r="F238" s="3000">
        <v>93.94</v>
      </c>
      <c r="G238" s="3001" t="s">
        <v>3055</v>
      </c>
    </row>
    <row r="239" spans="1:7" ht="14.25" thickBot="1">
      <c r="A239" s="2999">
        <v>238</v>
      </c>
      <c r="B239" s="3000" t="s">
        <v>3270</v>
      </c>
      <c r="C239" s="3002" t="s">
        <v>3261</v>
      </c>
      <c r="D239" s="3000" t="s">
        <v>70</v>
      </c>
      <c r="E239" s="3002">
        <v>302</v>
      </c>
      <c r="F239" s="3000">
        <v>69.09</v>
      </c>
      <c r="G239" s="3001" t="s">
        <v>3055</v>
      </c>
    </row>
    <row r="240" spans="1:7" ht="14.25" thickBot="1">
      <c r="A240" s="2999">
        <v>239</v>
      </c>
      <c r="B240" s="3000" t="s">
        <v>3270</v>
      </c>
      <c r="C240" s="3002" t="s">
        <v>3261</v>
      </c>
      <c r="D240" s="3000" t="s">
        <v>70</v>
      </c>
      <c r="E240" s="3002">
        <v>303</v>
      </c>
      <c r="F240" s="3000">
        <v>69.03</v>
      </c>
      <c r="G240" s="3001" t="s">
        <v>3055</v>
      </c>
    </row>
    <row r="241" spans="1:7" ht="14.25" thickBot="1">
      <c r="A241" s="2999">
        <v>240</v>
      </c>
      <c r="B241" s="3000" t="s">
        <v>3270</v>
      </c>
      <c r="C241" s="3002" t="s">
        <v>3261</v>
      </c>
      <c r="D241" s="3000" t="s">
        <v>70</v>
      </c>
      <c r="E241" s="3002">
        <v>305</v>
      </c>
      <c r="F241" s="3000">
        <v>69.03</v>
      </c>
      <c r="G241" s="3001" t="s">
        <v>3055</v>
      </c>
    </row>
    <row r="242" spans="1:7" ht="14.25" thickBot="1">
      <c r="A242" s="2999">
        <v>241</v>
      </c>
      <c r="B242" s="3000" t="s">
        <v>3270</v>
      </c>
      <c r="C242" s="3002" t="s">
        <v>3261</v>
      </c>
      <c r="D242" s="3000" t="s">
        <v>70</v>
      </c>
      <c r="E242" s="3002">
        <v>306</v>
      </c>
      <c r="F242" s="3000">
        <v>69.09</v>
      </c>
      <c r="G242" s="3001" t="s">
        <v>3055</v>
      </c>
    </row>
    <row r="243" spans="1:7" ht="14.25" thickBot="1">
      <c r="A243" s="2999">
        <v>242</v>
      </c>
      <c r="B243" s="3000" t="s">
        <v>3270</v>
      </c>
      <c r="C243" s="3002" t="s">
        <v>3261</v>
      </c>
      <c r="D243" s="3000" t="s">
        <v>70</v>
      </c>
      <c r="E243" s="3002">
        <v>307</v>
      </c>
      <c r="F243" s="3000">
        <v>65.66</v>
      </c>
      <c r="G243" s="3001" t="s">
        <v>3055</v>
      </c>
    </row>
    <row r="244" spans="1:7" ht="14.25" thickBot="1">
      <c r="A244" s="2999">
        <v>243</v>
      </c>
      <c r="B244" s="3000" t="s">
        <v>3270</v>
      </c>
      <c r="C244" s="3002" t="s">
        <v>3262</v>
      </c>
      <c r="D244" s="3000" t="s">
        <v>70</v>
      </c>
      <c r="E244" s="3002" t="s">
        <v>3145</v>
      </c>
      <c r="F244" s="3000">
        <v>93.94</v>
      </c>
      <c r="G244" s="3001" t="s">
        <v>3055</v>
      </c>
    </row>
    <row r="245" spans="1:7" ht="14.25" thickBot="1">
      <c r="A245" s="2999">
        <v>244</v>
      </c>
      <c r="B245" s="3000" t="s">
        <v>3270</v>
      </c>
      <c r="C245" s="3002" t="s">
        <v>3262</v>
      </c>
      <c r="D245" s="3000" t="s">
        <v>70</v>
      </c>
      <c r="E245" s="3002" t="s">
        <v>3146</v>
      </c>
      <c r="F245" s="3000">
        <v>69.09</v>
      </c>
      <c r="G245" s="3001" t="s">
        <v>3055</v>
      </c>
    </row>
    <row r="246" spans="1:7" ht="14.25" thickBot="1">
      <c r="A246" s="2999">
        <v>245</v>
      </c>
      <c r="B246" s="3000" t="s">
        <v>3270</v>
      </c>
      <c r="C246" s="3002" t="s">
        <v>3262</v>
      </c>
      <c r="D246" s="3000" t="s">
        <v>70</v>
      </c>
      <c r="E246" s="3002" t="s">
        <v>3147</v>
      </c>
      <c r="F246" s="3000">
        <v>69.03</v>
      </c>
      <c r="G246" s="3001" t="s">
        <v>3055</v>
      </c>
    </row>
    <row r="247" spans="1:7" ht="14.25" thickBot="1">
      <c r="A247" s="2999">
        <v>246</v>
      </c>
      <c r="B247" s="3000" t="s">
        <v>3270</v>
      </c>
      <c r="C247" s="3002" t="s">
        <v>3262</v>
      </c>
      <c r="D247" s="3000" t="s">
        <v>70</v>
      </c>
      <c r="E247" s="3002" t="s">
        <v>3148</v>
      </c>
      <c r="F247" s="3000">
        <v>69.03</v>
      </c>
      <c r="G247" s="3001" t="s">
        <v>3055</v>
      </c>
    </row>
    <row r="248" spans="1:7" ht="14.25" thickBot="1">
      <c r="A248" s="2999">
        <v>247</v>
      </c>
      <c r="B248" s="3000" t="s">
        <v>3270</v>
      </c>
      <c r="C248" s="3002" t="s">
        <v>3262</v>
      </c>
      <c r="D248" s="3000" t="s">
        <v>70</v>
      </c>
      <c r="E248" s="3002" t="s">
        <v>3149</v>
      </c>
      <c r="F248" s="3000">
        <v>69.09</v>
      </c>
      <c r="G248" s="3001" t="s">
        <v>3055</v>
      </c>
    </row>
    <row r="249" spans="1:7" ht="14.25" thickBot="1">
      <c r="A249" s="2999">
        <v>248</v>
      </c>
      <c r="B249" s="3000" t="s">
        <v>3270</v>
      </c>
      <c r="C249" s="3002" t="s">
        <v>3262</v>
      </c>
      <c r="D249" s="3000" t="s">
        <v>70</v>
      </c>
      <c r="E249" s="3002" t="s">
        <v>3150</v>
      </c>
      <c r="F249" s="3000">
        <v>65.66</v>
      </c>
      <c r="G249" s="3001" t="s">
        <v>3055</v>
      </c>
    </row>
    <row r="250" spans="1:7" ht="14.25" thickBot="1">
      <c r="A250" s="2999">
        <v>249</v>
      </c>
      <c r="B250" s="3000" t="s">
        <v>3270</v>
      </c>
      <c r="C250" s="3002" t="s">
        <v>3263</v>
      </c>
      <c r="D250" s="3000" t="s">
        <v>70</v>
      </c>
      <c r="E250" s="3002">
        <v>501</v>
      </c>
      <c r="F250" s="3000">
        <v>93.94</v>
      </c>
      <c r="G250" s="3001" t="s">
        <v>3055</v>
      </c>
    </row>
    <row r="251" spans="1:7" ht="14.25" thickBot="1">
      <c r="A251" s="2999">
        <v>250</v>
      </c>
      <c r="B251" s="3000" t="s">
        <v>3270</v>
      </c>
      <c r="C251" s="3002" t="s">
        <v>3263</v>
      </c>
      <c r="D251" s="3000" t="s">
        <v>70</v>
      </c>
      <c r="E251" s="3002">
        <v>502</v>
      </c>
      <c r="F251" s="3000">
        <v>69.09</v>
      </c>
      <c r="G251" s="3001" t="s">
        <v>3055</v>
      </c>
    </row>
    <row r="252" spans="1:7" ht="14.25" thickBot="1">
      <c r="A252" s="2999">
        <v>251</v>
      </c>
      <c r="B252" s="3000" t="s">
        <v>3270</v>
      </c>
      <c r="C252" s="3002" t="s">
        <v>3263</v>
      </c>
      <c r="D252" s="3000" t="s">
        <v>70</v>
      </c>
      <c r="E252" s="3002">
        <v>503</v>
      </c>
      <c r="F252" s="3000">
        <v>69.03</v>
      </c>
      <c r="G252" s="3001" t="s">
        <v>3055</v>
      </c>
    </row>
    <row r="253" spans="1:7" ht="14.25" thickBot="1">
      <c r="A253" s="2999">
        <v>252</v>
      </c>
      <c r="B253" s="3000" t="s">
        <v>3270</v>
      </c>
      <c r="C253" s="3002" t="s">
        <v>3263</v>
      </c>
      <c r="D253" s="3000" t="s">
        <v>70</v>
      </c>
      <c r="E253" s="3002">
        <v>505</v>
      </c>
      <c r="F253" s="3000">
        <v>69.03</v>
      </c>
      <c r="G253" s="3001" t="s">
        <v>3055</v>
      </c>
    </row>
    <row r="254" spans="1:7" ht="14.25" thickBot="1">
      <c r="A254" s="2999">
        <v>253</v>
      </c>
      <c r="B254" s="3000" t="s">
        <v>3270</v>
      </c>
      <c r="C254" s="3002" t="s">
        <v>3263</v>
      </c>
      <c r="D254" s="3000" t="s">
        <v>70</v>
      </c>
      <c r="E254" s="3002">
        <v>506</v>
      </c>
      <c r="F254" s="3000">
        <v>69.09</v>
      </c>
      <c r="G254" s="3001" t="s">
        <v>3055</v>
      </c>
    </row>
    <row r="255" spans="1:7" ht="14.25" thickBot="1">
      <c r="A255" s="2999">
        <v>254</v>
      </c>
      <c r="B255" s="3000" t="s">
        <v>3270</v>
      </c>
      <c r="C255" s="3002" t="s">
        <v>3263</v>
      </c>
      <c r="D255" s="3000" t="s">
        <v>70</v>
      </c>
      <c r="E255" s="3002">
        <v>507</v>
      </c>
      <c r="F255" s="3000">
        <v>65.66</v>
      </c>
      <c r="G255" s="3001" t="s">
        <v>3055</v>
      </c>
    </row>
    <row r="256" spans="1:7" ht="14.25" thickBot="1">
      <c r="A256" s="2999">
        <v>255</v>
      </c>
      <c r="B256" s="3000" t="s">
        <v>3270</v>
      </c>
      <c r="C256" s="3002" t="s">
        <v>3264</v>
      </c>
      <c r="D256" s="3000" t="s">
        <v>70</v>
      </c>
      <c r="E256" s="3002">
        <v>601</v>
      </c>
      <c r="F256" s="3000">
        <v>93.94</v>
      </c>
      <c r="G256" s="3001" t="s">
        <v>3055</v>
      </c>
    </row>
    <row r="257" spans="1:7" ht="14.25" thickBot="1">
      <c r="A257" s="2999">
        <v>256</v>
      </c>
      <c r="B257" s="3000" t="s">
        <v>3270</v>
      </c>
      <c r="C257" s="3002" t="s">
        <v>3264</v>
      </c>
      <c r="D257" s="3000" t="s">
        <v>70</v>
      </c>
      <c r="E257" s="3002">
        <v>602</v>
      </c>
      <c r="F257" s="3000">
        <v>69.09</v>
      </c>
      <c r="G257" s="3001" t="s">
        <v>3055</v>
      </c>
    </row>
    <row r="258" spans="1:7" ht="14.25" thickBot="1">
      <c r="A258" s="2999">
        <v>257</v>
      </c>
      <c r="B258" s="3000" t="s">
        <v>3270</v>
      </c>
      <c r="C258" s="3002" t="s">
        <v>3264</v>
      </c>
      <c r="D258" s="3000" t="s">
        <v>70</v>
      </c>
      <c r="E258" s="3002">
        <v>603</v>
      </c>
      <c r="F258" s="3000">
        <v>69.03</v>
      </c>
      <c r="G258" s="3001" t="s">
        <v>3055</v>
      </c>
    </row>
    <row r="259" spans="1:7" ht="14.25" thickBot="1">
      <c r="A259" s="2999">
        <v>258</v>
      </c>
      <c r="B259" s="3000" t="s">
        <v>3270</v>
      </c>
      <c r="C259" s="3002" t="s">
        <v>3264</v>
      </c>
      <c r="D259" s="3000" t="s">
        <v>70</v>
      </c>
      <c r="E259" s="3002">
        <v>605</v>
      </c>
      <c r="F259" s="3000">
        <v>69.03</v>
      </c>
      <c r="G259" s="3001" t="s">
        <v>3055</v>
      </c>
    </row>
    <row r="260" spans="1:7" ht="14.25" thickBot="1">
      <c r="A260" s="2999">
        <v>259</v>
      </c>
      <c r="B260" s="3000" t="s">
        <v>3270</v>
      </c>
      <c r="C260" s="3002" t="s">
        <v>3264</v>
      </c>
      <c r="D260" s="3000" t="s">
        <v>70</v>
      </c>
      <c r="E260" s="3002">
        <v>606</v>
      </c>
      <c r="F260" s="3000">
        <v>69.09</v>
      </c>
      <c r="G260" s="3001" t="s">
        <v>3055</v>
      </c>
    </row>
    <row r="261" spans="1:7" ht="14.25" thickBot="1">
      <c r="A261" s="2999">
        <v>260</v>
      </c>
      <c r="B261" s="3000" t="s">
        <v>3270</v>
      </c>
      <c r="C261" s="3002" t="s">
        <v>3264</v>
      </c>
      <c r="D261" s="3000" t="s">
        <v>70</v>
      </c>
      <c r="E261" s="3002">
        <v>607</v>
      </c>
      <c r="F261" s="3000">
        <v>65.66</v>
      </c>
      <c r="G261" s="3001" t="s">
        <v>3055</v>
      </c>
    </row>
    <row r="262" spans="1:7" ht="14.25" thickBot="1">
      <c r="A262" s="2999">
        <v>261</v>
      </c>
      <c r="B262" s="3000" t="s">
        <v>3271</v>
      </c>
      <c r="C262" s="3000" t="s">
        <v>3257</v>
      </c>
      <c r="D262" s="3000" t="s">
        <v>3258</v>
      </c>
      <c r="E262" s="3000">
        <v>102</v>
      </c>
      <c r="F262" s="3000">
        <v>69.77</v>
      </c>
      <c r="G262" s="3001" t="s">
        <v>3055</v>
      </c>
    </row>
    <row r="263" spans="1:7" ht="14.25" thickBot="1">
      <c r="A263" s="2999">
        <v>262</v>
      </c>
      <c r="B263" s="3000" t="s">
        <v>3271</v>
      </c>
      <c r="C263" s="3000" t="s">
        <v>3257</v>
      </c>
      <c r="D263" s="3000" t="s">
        <v>3258</v>
      </c>
      <c r="E263" s="3000">
        <v>105</v>
      </c>
      <c r="F263" s="3000">
        <v>69.94</v>
      </c>
      <c r="G263" s="3001" t="s">
        <v>3055</v>
      </c>
    </row>
    <row r="264" spans="1:7" ht="14.25" thickBot="1">
      <c r="A264" s="2999">
        <v>263</v>
      </c>
      <c r="B264" s="3000" t="s">
        <v>3271</v>
      </c>
      <c r="C264" s="3000" t="s">
        <v>3257</v>
      </c>
      <c r="D264" s="3000" t="s">
        <v>3258</v>
      </c>
      <c r="E264" s="3000">
        <v>106</v>
      </c>
      <c r="F264" s="3000">
        <v>69.77</v>
      </c>
      <c r="G264" s="3001" t="s">
        <v>3055</v>
      </c>
    </row>
    <row r="265" spans="1:7" ht="14.25" thickBot="1">
      <c r="A265" s="2999">
        <v>264</v>
      </c>
      <c r="B265" s="3000" t="s">
        <v>3271</v>
      </c>
      <c r="C265" s="3000" t="s">
        <v>3257</v>
      </c>
      <c r="D265" s="3000" t="s">
        <v>3258</v>
      </c>
      <c r="E265" s="3000">
        <v>107</v>
      </c>
      <c r="F265" s="3000">
        <v>66.28</v>
      </c>
      <c r="G265" s="3001" t="s">
        <v>3055</v>
      </c>
    </row>
    <row r="266" spans="1:7" ht="14.25" thickBot="1">
      <c r="A266" s="2999">
        <v>265</v>
      </c>
      <c r="B266" s="3000" t="s">
        <v>3271</v>
      </c>
      <c r="C266" s="3000" t="s">
        <v>3260</v>
      </c>
      <c r="D266" s="3000" t="s">
        <v>3258</v>
      </c>
      <c r="E266" s="3000">
        <v>202</v>
      </c>
      <c r="F266" s="3000">
        <v>69.77</v>
      </c>
      <c r="G266" s="3001" t="s">
        <v>3055</v>
      </c>
    </row>
    <row r="267" spans="1:7" ht="14.25" thickBot="1">
      <c r="A267" s="2999">
        <v>266</v>
      </c>
      <c r="B267" s="3000" t="s">
        <v>3271</v>
      </c>
      <c r="C267" s="3000" t="s">
        <v>3260</v>
      </c>
      <c r="D267" s="3000" t="s">
        <v>3258</v>
      </c>
      <c r="E267" s="3000">
        <v>203</v>
      </c>
      <c r="F267" s="3000">
        <v>69.94</v>
      </c>
      <c r="G267" s="3001" t="s">
        <v>3055</v>
      </c>
    </row>
    <row r="268" spans="1:7" ht="14.25" thickBot="1">
      <c r="A268" s="2999">
        <v>267</v>
      </c>
      <c r="B268" s="3000" t="s">
        <v>3271</v>
      </c>
      <c r="C268" s="3000" t="s">
        <v>3260</v>
      </c>
      <c r="D268" s="3000" t="s">
        <v>3258</v>
      </c>
      <c r="E268" s="3000">
        <v>205</v>
      </c>
      <c r="F268" s="3000">
        <v>69.94</v>
      </c>
      <c r="G268" s="3001" t="s">
        <v>3055</v>
      </c>
    </row>
    <row r="269" spans="1:7" ht="14.25" thickBot="1">
      <c r="A269" s="2999">
        <v>268</v>
      </c>
      <c r="B269" s="3000" t="s">
        <v>3271</v>
      </c>
      <c r="C269" s="3000" t="s">
        <v>3260</v>
      </c>
      <c r="D269" s="3000" t="s">
        <v>3259</v>
      </c>
      <c r="E269" s="3000">
        <v>203</v>
      </c>
      <c r="F269" s="3000">
        <v>69.94</v>
      </c>
      <c r="G269" s="3001" t="s">
        <v>3055</v>
      </c>
    </row>
    <row r="270" spans="1:7" ht="14.25" thickBot="1">
      <c r="A270" s="2999">
        <v>269</v>
      </c>
      <c r="B270" s="3000" t="s">
        <v>3271</v>
      </c>
      <c r="C270" s="3000" t="s">
        <v>3261</v>
      </c>
      <c r="D270" s="3000" t="s">
        <v>3258</v>
      </c>
      <c r="E270" s="3000">
        <v>302</v>
      </c>
      <c r="F270" s="3000">
        <v>69.77</v>
      </c>
      <c r="G270" s="3001" t="s">
        <v>3055</v>
      </c>
    </row>
    <row r="271" spans="1:7" ht="14.25" thickBot="1">
      <c r="A271" s="2999">
        <v>270</v>
      </c>
      <c r="B271" s="3000" t="s">
        <v>3271</v>
      </c>
      <c r="C271" s="3000" t="s">
        <v>3261</v>
      </c>
      <c r="D271" s="3000" t="s">
        <v>3258</v>
      </c>
      <c r="E271" s="3000">
        <v>303</v>
      </c>
      <c r="F271" s="3000">
        <v>69.94</v>
      </c>
      <c r="G271" s="3001" t="s">
        <v>3055</v>
      </c>
    </row>
    <row r="272" spans="1:7" ht="14.25" thickBot="1">
      <c r="A272" s="2999">
        <v>271</v>
      </c>
      <c r="B272" s="3000" t="s">
        <v>3271</v>
      </c>
      <c r="C272" s="3000" t="s">
        <v>3261</v>
      </c>
      <c r="D272" s="3000" t="s">
        <v>3258</v>
      </c>
      <c r="E272" s="3000">
        <v>305</v>
      </c>
      <c r="F272" s="3000">
        <v>69.94</v>
      </c>
      <c r="G272" s="3001" t="s">
        <v>3055</v>
      </c>
    </row>
    <row r="273" spans="1:7" ht="14.25" thickBot="1">
      <c r="A273" s="2999">
        <v>272</v>
      </c>
      <c r="B273" s="3000" t="s">
        <v>3271</v>
      </c>
      <c r="C273" s="3000" t="s">
        <v>3261</v>
      </c>
      <c r="D273" s="3000" t="s">
        <v>3258</v>
      </c>
      <c r="E273" s="3000">
        <v>306</v>
      </c>
      <c r="F273" s="3000">
        <v>69.77</v>
      </c>
      <c r="G273" s="3001" t="s">
        <v>3055</v>
      </c>
    </row>
    <row r="274" spans="1:7" ht="14.25" thickBot="1">
      <c r="A274" s="2999">
        <v>273</v>
      </c>
      <c r="B274" s="3000" t="s">
        <v>3271</v>
      </c>
      <c r="C274" s="3000" t="s">
        <v>3261</v>
      </c>
      <c r="D274" s="3000" t="s">
        <v>3258</v>
      </c>
      <c r="E274" s="3000">
        <v>307</v>
      </c>
      <c r="F274" s="3000">
        <v>66.28</v>
      </c>
      <c r="G274" s="3001" t="s">
        <v>3055</v>
      </c>
    </row>
    <row r="275" spans="1:7" ht="14.25" thickBot="1">
      <c r="A275" s="2999">
        <v>274</v>
      </c>
      <c r="B275" s="3000" t="s">
        <v>3271</v>
      </c>
      <c r="C275" s="3000" t="s">
        <v>3261</v>
      </c>
      <c r="D275" s="3000" t="s">
        <v>3259</v>
      </c>
      <c r="E275" s="3000">
        <v>302</v>
      </c>
      <c r="F275" s="3000">
        <v>69.77</v>
      </c>
      <c r="G275" s="3001" t="s">
        <v>3055</v>
      </c>
    </row>
    <row r="276" spans="1:7" ht="14.25" thickBot="1">
      <c r="A276" s="2999">
        <v>275</v>
      </c>
      <c r="B276" s="3000" t="s">
        <v>3271</v>
      </c>
      <c r="C276" s="3000" t="s">
        <v>3261</v>
      </c>
      <c r="D276" s="3000" t="s">
        <v>3259</v>
      </c>
      <c r="E276" s="3000">
        <v>303</v>
      </c>
      <c r="F276" s="3000">
        <v>69.94</v>
      </c>
      <c r="G276" s="3001" t="s">
        <v>3055</v>
      </c>
    </row>
    <row r="277" spans="1:7" ht="14.25" thickBot="1">
      <c r="A277" s="2999">
        <v>276</v>
      </c>
      <c r="B277" s="3000" t="s">
        <v>3271</v>
      </c>
      <c r="C277" s="3000" t="s">
        <v>3261</v>
      </c>
      <c r="D277" s="3000" t="s">
        <v>3259</v>
      </c>
      <c r="E277" s="3000">
        <v>306</v>
      </c>
      <c r="F277" s="3000">
        <v>69.77</v>
      </c>
      <c r="G277" s="3001" t="s">
        <v>3055</v>
      </c>
    </row>
    <row r="278" spans="1:7" ht="14.25" thickBot="1">
      <c r="A278" s="2999">
        <v>277</v>
      </c>
      <c r="B278" s="3000" t="s">
        <v>3271</v>
      </c>
      <c r="C278" s="3000" t="s">
        <v>3261</v>
      </c>
      <c r="D278" s="3000" t="s">
        <v>3259</v>
      </c>
      <c r="E278" s="3000">
        <v>307</v>
      </c>
      <c r="F278" s="3000">
        <v>66.28</v>
      </c>
      <c r="G278" s="3001" t="s">
        <v>3055</v>
      </c>
    </row>
    <row r="279" spans="1:7" ht="14.25" thickBot="1">
      <c r="A279" s="2999">
        <v>278</v>
      </c>
      <c r="B279" s="3000" t="s">
        <v>3271</v>
      </c>
      <c r="C279" s="3000" t="s">
        <v>3262</v>
      </c>
      <c r="D279" s="3000" t="s">
        <v>3258</v>
      </c>
      <c r="E279" s="3000" t="s">
        <v>3146</v>
      </c>
      <c r="F279" s="3000">
        <v>69.77</v>
      </c>
      <c r="G279" s="3001" t="s">
        <v>3055</v>
      </c>
    </row>
    <row r="280" spans="1:7" ht="14.25" thickBot="1">
      <c r="A280" s="2999">
        <v>279</v>
      </c>
      <c r="B280" s="3000" t="s">
        <v>3271</v>
      </c>
      <c r="C280" s="3000" t="s">
        <v>3262</v>
      </c>
      <c r="D280" s="3000" t="s">
        <v>3258</v>
      </c>
      <c r="E280" s="3000" t="s">
        <v>3147</v>
      </c>
      <c r="F280" s="3000">
        <v>69.94</v>
      </c>
      <c r="G280" s="3001" t="s">
        <v>3055</v>
      </c>
    </row>
    <row r="281" spans="1:7" ht="14.25" thickBot="1">
      <c r="A281" s="2999">
        <v>280</v>
      </c>
      <c r="B281" s="3000" t="s">
        <v>3271</v>
      </c>
      <c r="C281" s="3000" t="s">
        <v>3262</v>
      </c>
      <c r="D281" s="3000" t="s">
        <v>3258</v>
      </c>
      <c r="E281" s="3000" t="s">
        <v>3148</v>
      </c>
      <c r="F281" s="3000">
        <v>69.94</v>
      </c>
      <c r="G281" s="3001" t="s">
        <v>3055</v>
      </c>
    </row>
    <row r="282" spans="1:7" ht="14.25" thickBot="1">
      <c r="A282" s="2999">
        <v>281</v>
      </c>
      <c r="B282" s="3000" t="s">
        <v>3271</v>
      </c>
      <c r="C282" s="3000" t="s">
        <v>3262</v>
      </c>
      <c r="D282" s="3000" t="s">
        <v>3258</v>
      </c>
      <c r="E282" s="3000" t="s">
        <v>3150</v>
      </c>
      <c r="F282" s="3000">
        <v>66.28</v>
      </c>
      <c r="G282" s="3001" t="s">
        <v>3055</v>
      </c>
    </row>
    <row r="283" spans="1:7" ht="14.25" thickBot="1">
      <c r="A283" s="2999">
        <v>282</v>
      </c>
      <c r="B283" s="3000" t="s">
        <v>3271</v>
      </c>
      <c r="C283" s="3000" t="s">
        <v>3262</v>
      </c>
      <c r="D283" s="3000" t="s">
        <v>3259</v>
      </c>
      <c r="E283" s="3000" t="s">
        <v>3145</v>
      </c>
      <c r="F283" s="3000">
        <v>66.28</v>
      </c>
      <c r="G283" s="3001" t="s">
        <v>3055</v>
      </c>
    </row>
    <row r="284" spans="1:7" ht="14.25" thickBot="1">
      <c r="A284" s="2999">
        <v>283</v>
      </c>
      <c r="B284" s="3000" t="s">
        <v>3271</v>
      </c>
      <c r="C284" s="3000" t="s">
        <v>3262</v>
      </c>
      <c r="D284" s="3000" t="s">
        <v>3259</v>
      </c>
      <c r="E284" s="3000" t="s">
        <v>3146</v>
      </c>
      <c r="F284" s="3000">
        <v>69.77</v>
      </c>
      <c r="G284" s="3001" t="s">
        <v>3055</v>
      </c>
    </row>
    <row r="285" spans="1:7" ht="14.25" thickBot="1">
      <c r="A285" s="2999">
        <v>284</v>
      </c>
      <c r="B285" s="3000" t="s">
        <v>3271</v>
      </c>
      <c r="C285" s="3000" t="s">
        <v>3262</v>
      </c>
      <c r="D285" s="3000" t="s">
        <v>3259</v>
      </c>
      <c r="E285" s="3000" t="s">
        <v>3147</v>
      </c>
      <c r="F285" s="3000">
        <v>69.94</v>
      </c>
      <c r="G285" s="3001" t="s">
        <v>3055</v>
      </c>
    </row>
    <row r="286" spans="1:7" ht="14.25" thickBot="1">
      <c r="A286" s="2999">
        <v>285</v>
      </c>
      <c r="B286" s="3000" t="s">
        <v>3271</v>
      </c>
      <c r="C286" s="3000" t="s">
        <v>3262</v>
      </c>
      <c r="D286" s="3000" t="s">
        <v>3259</v>
      </c>
      <c r="E286" s="3000" t="s">
        <v>3148</v>
      </c>
      <c r="F286" s="3000">
        <v>69.94</v>
      </c>
      <c r="G286" s="3001" t="s">
        <v>3055</v>
      </c>
    </row>
    <row r="287" spans="1:7" ht="14.25" thickBot="1">
      <c r="A287" s="2999">
        <v>286</v>
      </c>
      <c r="B287" s="3000" t="s">
        <v>3271</v>
      </c>
      <c r="C287" s="3000" t="s">
        <v>3262</v>
      </c>
      <c r="D287" s="3000" t="s">
        <v>3259</v>
      </c>
      <c r="E287" s="3000" t="s">
        <v>3150</v>
      </c>
      <c r="F287" s="3000">
        <v>66.28</v>
      </c>
      <c r="G287" s="3001" t="s">
        <v>3055</v>
      </c>
    </row>
    <row r="288" spans="1:7" ht="14.25" thickBot="1">
      <c r="A288" s="2999">
        <v>287</v>
      </c>
      <c r="B288" s="3000" t="s">
        <v>3271</v>
      </c>
      <c r="C288" s="3000" t="s">
        <v>3263</v>
      </c>
      <c r="D288" s="3000" t="s">
        <v>3258</v>
      </c>
      <c r="E288" s="3000">
        <v>501</v>
      </c>
      <c r="F288" s="3000">
        <v>66.28</v>
      </c>
      <c r="G288" s="3001" t="s">
        <v>3055</v>
      </c>
    </row>
    <row r="289" spans="1:7" ht="14.25" thickBot="1">
      <c r="A289" s="2999">
        <v>288</v>
      </c>
      <c r="B289" s="3000" t="s">
        <v>3271</v>
      </c>
      <c r="C289" s="3000" t="s">
        <v>3263</v>
      </c>
      <c r="D289" s="3000" t="s">
        <v>3258</v>
      </c>
      <c r="E289" s="3000">
        <v>505</v>
      </c>
      <c r="F289" s="3000">
        <v>69.94</v>
      </c>
      <c r="G289" s="3001" t="s">
        <v>3055</v>
      </c>
    </row>
    <row r="290" spans="1:7" ht="14.25" thickBot="1">
      <c r="A290" s="2999">
        <v>289</v>
      </c>
      <c r="B290" s="3000" t="s">
        <v>3271</v>
      </c>
      <c r="C290" s="3000" t="s">
        <v>3263</v>
      </c>
      <c r="D290" s="3000" t="s">
        <v>3258</v>
      </c>
      <c r="E290" s="3000">
        <v>506</v>
      </c>
      <c r="F290" s="3000">
        <v>69.77</v>
      </c>
      <c r="G290" s="3001" t="s">
        <v>3055</v>
      </c>
    </row>
    <row r="291" spans="1:7" ht="14.25" thickBot="1">
      <c r="A291" s="2999">
        <v>290</v>
      </c>
      <c r="B291" s="3000" t="s">
        <v>3271</v>
      </c>
      <c r="C291" s="3000" t="s">
        <v>3263</v>
      </c>
      <c r="D291" s="3000" t="s">
        <v>3258</v>
      </c>
      <c r="E291" s="3000">
        <v>507</v>
      </c>
      <c r="F291" s="3000">
        <v>66.28</v>
      </c>
      <c r="G291" s="3001" t="s">
        <v>3055</v>
      </c>
    </row>
    <row r="292" spans="1:7" ht="14.25" thickBot="1">
      <c r="A292" s="2999">
        <v>291</v>
      </c>
      <c r="B292" s="3000" t="s">
        <v>3271</v>
      </c>
      <c r="C292" s="3000" t="s">
        <v>3263</v>
      </c>
      <c r="D292" s="3000" t="s">
        <v>3259</v>
      </c>
      <c r="E292" s="3000">
        <v>506</v>
      </c>
      <c r="F292" s="3000">
        <v>69.77</v>
      </c>
      <c r="G292" s="3001" t="s">
        <v>3055</v>
      </c>
    </row>
    <row r="293" spans="1:7" ht="14.25" thickBot="1">
      <c r="A293" s="2999">
        <v>292</v>
      </c>
      <c r="B293" s="3000" t="s">
        <v>3271</v>
      </c>
      <c r="C293" s="3000" t="s">
        <v>3263</v>
      </c>
      <c r="D293" s="3000" t="s">
        <v>3259</v>
      </c>
      <c r="E293" s="3000">
        <v>507</v>
      </c>
      <c r="F293" s="3000">
        <v>66.28</v>
      </c>
      <c r="G293" s="3001" t="s">
        <v>3055</v>
      </c>
    </row>
    <row r="294" spans="1:7" ht="14.25" thickBot="1">
      <c r="A294" s="2999">
        <v>293</v>
      </c>
      <c r="B294" s="3000" t="s">
        <v>3271</v>
      </c>
      <c r="C294" s="3000" t="s">
        <v>3264</v>
      </c>
      <c r="D294" s="3000" t="s">
        <v>3258</v>
      </c>
      <c r="E294" s="3000">
        <v>601</v>
      </c>
      <c r="F294" s="3000">
        <v>66.28</v>
      </c>
      <c r="G294" s="3001" t="s">
        <v>3055</v>
      </c>
    </row>
    <row r="295" spans="1:7" ht="14.25" thickBot="1">
      <c r="A295" s="2999">
        <v>294</v>
      </c>
      <c r="B295" s="3000" t="s">
        <v>3271</v>
      </c>
      <c r="C295" s="3000" t="s">
        <v>3264</v>
      </c>
      <c r="D295" s="3000" t="s">
        <v>3258</v>
      </c>
      <c r="E295" s="3000">
        <v>602</v>
      </c>
      <c r="F295" s="3000">
        <v>69.77</v>
      </c>
      <c r="G295" s="3001" t="s">
        <v>3055</v>
      </c>
    </row>
    <row r="296" spans="1:7" ht="14.25" thickBot="1">
      <c r="A296" s="2999">
        <v>295</v>
      </c>
      <c r="B296" s="3000" t="s">
        <v>3271</v>
      </c>
      <c r="C296" s="3000" t="s">
        <v>3264</v>
      </c>
      <c r="D296" s="3000" t="s">
        <v>3258</v>
      </c>
      <c r="E296" s="3000">
        <v>606</v>
      </c>
      <c r="F296" s="3000">
        <v>69.77</v>
      </c>
      <c r="G296" s="3001" t="s">
        <v>3055</v>
      </c>
    </row>
    <row r="297" spans="1:7" ht="14.25" thickBot="1">
      <c r="A297" s="2999">
        <v>296</v>
      </c>
      <c r="B297" s="3000" t="s">
        <v>3271</v>
      </c>
      <c r="C297" s="3000" t="s">
        <v>3264</v>
      </c>
      <c r="D297" s="3000" t="s">
        <v>3259</v>
      </c>
      <c r="E297" s="3000">
        <v>601</v>
      </c>
      <c r="F297" s="3000">
        <v>66.28</v>
      </c>
      <c r="G297" s="3001" t="s">
        <v>3055</v>
      </c>
    </row>
    <row r="298" spans="1:7" ht="14.25" thickBot="1">
      <c r="A298" s="2999">
        <v>297</v>
      </c>
      <c r="B298" s="3000" t="s">
        <v>3271</v>
      </c>
      <c r="C298" s="3000" t="s">
        <v>3264</v>
      </c>
      <c r="D298" s="3000" t="s">
        <v>3259</v>
      </c>
      <c r="E298" s="3000">
        <v>602</v>
      </c>
      <c r="F298" s="3000">
        <v>69.77</v>
      </c>
      <c r="G298" s="3001" t="s">
        <v>3055</v>
      </c>
    </row>
    <row r="299" spans="1:7" ht="14.25" thickBot="1">
      <c r="A299" s="2999">
        <v>298</v>
      </c>
      <c r="B299" s="3000" t="s">
        <v>3271</v>
      </c>
      <c r="C299" s="3000" t="s">
        <v>3264</v>
      </c>
      <c r="D299" s="3000" t="s">
        <v>3259</v>
      </c>
      <c r="E299" s="3000">
        <v>603</v>
      </c>
      <c r="F299" s="3000">
        <v>69.94</v>
      </c>
      <c r="G299" s="3001" t="s">
        <v>3055</v>
      </c>
    </row>
    <row r="300" spans="1:7" ht="14.25" thickBot="1">
      <c r="A300" s="2999">
        <v>299</v>
      </c>
      <c r="B300" s="3000" t="s">
        <v>3271</v>
      </c>
      <c r="C300" s="3000" t="s">
        <v>3264</v>
      </c>
      <c r="D300" s="3000" t="s">
        <v>3259</v>
      </c>
      <c r="E300" s="3000">
        <v>605</v>
      </c>
      <c r="F300" s="3000">
        <v>69.94</v>
      </c>
      <c r="G300" s="3001" t="s">
        <v>3055</v>
      </c>
    </row>
    <row r="301" spans="1:7" ht="14.25" thickBot="1">
      <c r="A301" s="2999">
        <v>300</v>
      </c>
      <c r="B301" s="3000" t="s">
        <v>3271</v>
      </c>
      <c r="C301" s="3000" t="s">
        <v>3264</v>
      </c>
      <c r="D301" s="3000" t="s">
        <v>3259</v>
      </c>
      <c r="E301" s="3000">
        <v>606</v>
      </c>
      <c r="F301" s="3000">
        <v>69.77</v>
      </c>
      <c r="G301" s="3001" t="s">
        <v>3055</v>
      </c>
    </row>
    <row r="302" spans="1:7" ht="14.25" thickBot="1">
      <c r="A302" s="2999">
        <v>301</v>
      </c>
      <c r="B302" s="3000" t="s">
        <v>3272</v>
      </c>
      <c r="C302" s="3000" t="s">
        <v>3257</v>
      </c>
      <c r="D302" s="3000" t="s">
        <v>3258</v>
      </c>
      <c r="E302" s="3000">
        <v>101</v>
      </c>
      <c r="F302" s="3000">
        <v>66.069999999999993</v>
      </c>
      <c r="G302" s="3001" t="s">
        <v>3055</v>
      </c>
    </row>
    <row r="303" spans="1:7" ht="14.25" thickBot="1">
      <c r="A303" s="2999">
        <v>302</v>
      </c>
      <c r="B303" s="3000" t="s">
        <v>3272</v>
      </c>
      <c r="C303" s="3000" t="s">
        <v>3257</v>
      </c>
      <c r="D303" s="3000" t="s">
        <v>3258</v>
      </c>
      <c r="E303" s="3000">
        <v>102</v>
      </c>
      <c r="F303" s="3000">
        <v>69.56</v>
      </c>
      <c r="G303" s="3001" t="s">
        <v>3055</v>
      </c>
    </row>
    <row r="304" spans="1:7" ht="14.25" thickBot="1">
      <c r="A304" s="2999">
        <v>303</v>
      </c>
      <c r="B304" s="3000" t="s">
        <v>3272</v>
      </c>
      <c r="C304" s="3000" t="s">
        <v>3257</v>
      </c>
      <c r="D304" s="3000" t="s">
        <v>3258</v>
      </c>
      <c r="E304" s="3000">
        <v>103</v>
      </c>
      <c r="F304" s="3000">
        <v>69.72</v>
      </c>
      <c r="G304" s="3001" t="s">
        <v>3055</v>
      </c>
    </row>
    <row r="305" spans="1:7" ht="14.25" thickBot="1">
      <c r="A305" s="2999">
        <v>304</v>
      </c>
      <c r="B305" s="3000" t="s">
        <v>3272</v>
      </c>
      <c r="C305" s="3000" t="s">
        <v>3257</v>
      </c>
      <c r="D305" s="3000" t="s">
        <v>3258</v>
      </c>
      <c r="E305" s="3000">
        <v>105</v>
      </c>
      <c r="F305" s="3000">
        <v>69.56</v>
      </c>
      <c r="G305" s="3001" t="s">
        <v>3055</v>
      </c>
    </row>
    <row r="306" spans="1:7" ht="14.25" thickBot="1">
      <c r="A306" s="2999">
        <v>305</v>
      </c>
      <c r="B306" s="3000" t="s">
        <v>3272</v>
      </c>
      <c r="C306" s="3000" t="s">
        <v>3257</v>
      </c>
      <c r="D306" s="3000" t="s">
        <v>3258</v>
      </c>
      <c r="E306" s="3000">
        <v>106</v>
      </c>
      <c r="F306" s="3000">
        <v>94.74</v>
      </c>
      <c r="G306" s="3001" t="s">
        <v>3055</v>
      </c>
    </row>
    <row r="307" spans="1:7" ht="14.25" thickBot="1">
      <c r="A307" s="2999">
        <v>306</v>
      </c>
      <c r="B307" s="3000" t="s">
        <v>3272</v>
      </c>
      <c r="C307" s="3000" t="s">
        <v>3257</v>
      </c>
      <c r="D307" s="3000" t="s">
        <v>3259</v>
      </c>
      <c r="E307" s="3000">
        <v>101</v>
      </c>
      <c r="F307" s="3000">
        <v>94.74</v>
      </c>
      <c r="G307" s="3001" t="s">
        <v>3055</v>
      </c>
    </row>
    <row r="308" spans="1:7" ht="14.25" thickBot="1">
      <c r="A308" s="2999">
        <v>307</v>
      </c>
      <c r="B308" s="3000" t="s">
        <v>3272</v>
      </c>
      <c r="C308" s="3000" t="s">
        <v>3257</v>
      </c>
      <c r="D308" s="3000" t="s">
        <v>3259</v>
      </c>
      <c r="E308" s="3000">
        <v>102</v>
      </c>
      <c r="F308" s="3000">
        <v>69.56</v>
      </c>
      <c r="G308" s="3001" t="s">
        <v>3055</v>
      </c>
    </row>
    <row r="309" spans="1:7" ht="14.25" thickBot="1">
      <c r="A309" s="2999">
        <v>308</v>
      </c>
      <c r="B309" s="3000" t="s">
        <v>3272</v>
      </c>
      <c r="C309" s="3000" t="s">
        <v>3257</v>
      </c>
      <c r="D309" s="3000" t="s">
        <v>3259</v>
      </c>
      <c r="E309" s="3000">
        <v>103</v>
      </c>
      <c r="F309" s="3000">
        <v>69.72</v>
      </c>
      <c r="G309" s="3001" t="s">
        <v>3055</v>
      </c>
    </row>
    <row r="310" spans="1:7" ht="14.25" thickBot="1">
      <c r="A310" s="2999">
        <v>309</v>
      </c>
      <c r="B310" s="3000" t="s">
        <v>3272</v>
      </c>
      <c r="C310" s="3000" t="s">
        <v>3257</v>
      </c>
      <c r="D310" s="3000" t="s">
        <v>3259</v>
      </c>
      <c r="E310" s="3000">
        <v>105</v>
      </c>
      <c r="F310" s="3000">
        <v>69.56</v>
      </c>
      <c r="G310" s="3001" t="s">
        <v>3055</v>
      </c>
    </row>
    <row r="311" spans="1:7" ht="14.25" thickBot="1">
      <c r="A311" s="2999">
        <v>310</v>
      </c>
      <c r="B311" s="3000" t="s">
        <v>3272</v>
      </c>
      <c r="C311" s="3000" t="s">
        <v>3257</v>
      </c>
      <c r="D311" s="3000" t="s">
        <v>3259</v>
      </c>
      <c r="E311" s="3000">
        <v>106</v>
      </c>
      <c r="F311" s="3000">
        <v>66.069999999999993</v>
      </c>
      <c r="G311" s="3001" t="s">
        <v>3055</v>
      </c>
    </row>
    <row r="312" spans="1:7" ht="14.25" thickBot="1">
      <c r="A312" s="2999">
        <v>311</v>
      </c>
      <c r="B312" s="3000" t="s">
        <v>3272</v>
      </c>
      <c r="C312" s="3000" t="s">
        <v>3260</v>
      </c>
      <c r="D312" s="3000" t="s">
        <v>3258</v>
      </c>
      <c r="E312" s="3000">
        <v>201</v>
      </c>
      <c r="F312" s="3000">
        <v>66.069999999999993</v>
      </c>
      <c r="G312" s="3001" t="s">
        <v>3055</v>
      </c>
    </row>
    <row r="313" spans="1:7" ht="14.25" thickBot="1">
      <c r="A313" s="2999">
        <v>312</v>
      </c>
      <c r="B313" s="3000" t="s">
        <v>3272</v>
      </c>
      <c r="C313" s="3000" t="s">
        <v>3260</v>
      </c>
      <c r="D313" s="3000" t="s">
        <v>3258</v>
      </c>
      <c r="E313" s="3000">
        <v>203</v>
      </c>
      <c r="F313" s="3000">
        <v>69.75</v>
      </c>
      <c r="G313" s="3001" t="s">
        <v>3055</v>
      </c>
    </row>
    <row r="314" spans="1:7" ht="14.25" thickBot="1">
      <c r="A314" s="2999">
        <v>313</v>
      </c>
      <c r="B314" s="3000" t="s">
        <v>3272</v>
      </c>
      <c r="C314" s="3000" t="s">
        <v>3260</v>
      </c>
      <c r="D314" s="3000" t="s">
        <v>3258</v>
      </c>
      <c r="E314" s="3000">
        <v>205</v>
      </c>
      <c r="F314" s="3000">
        <v>69.75</v>
      </c>
      <c r="G314" s="3001" t="s">
        <v>3055</v>
      </c>
    </row>
    <row r="315" spans="1:7" ht="14.25" thickBot="1">
      <c r="A315" s="2999">
        <v>314</v>
      </c>
      <c r="B315" s="3000" t="s">
        <v>3272</v>
      </c>
      <c r="C315" s="3000" t="s">
        <v>3260</v>
      </c>
      <c r="D315" s="3000" t="s">
        <v>3258</v>
      </c>
      <c r="E315" s="3000">
        <v>207</v>
      </c>
      <c r="F315" s="3000">
        <v>94.74</v>
      </c>
      <c r="G315" s="3001" t="s">
        <v>3055</v>
      </c>
    </row>
    <row r="316" spans="1:7" ht="14.25" thickBot="1">
      <c r="A316" s="2999">
        <v>315</v>
      </c>
      <c r="B316" s="3000" t="s">
        <v>3272</v>
      </c>
      <c r="C316" s="3000" t="s">
        <v>3260</v>
      </c>
      <c r="D316" s="3000" t="s">
        <v>3259</v>
      </c>
      <c r="E316" s="3000">
        <v>203</v>
      </c>
      <c r="F316" s="3000">
        <v>69.75</v>
      </c>
      <c r="G316" s="3001" t="s">
        <v>3055</v>
      </c>
    </row>
    <row r="317" spans="1:7" ht="14.25" thickBot="1">
      <c r="A317" s="2999">
        <v>316</v>
      </c>
      <c r="B317" s="3000" t="s">
        <v>3272</v>
      </c>
      <c r="C317" s="3000" t="s">
        <v>3260</v>
      </c>
      <c r="D317" s="3000" t="s">
        <v>3259</v>
      </c>
      <c r="E317" s="3000">
        <v>207</v>
      </c>
      <c r="F317" s="3000">
        <v>66.069999999999993</v>
      </c>
      <c r="G317" s="3001" t="s">
        <v>3055</v>
      </c>
    </row>
    <row r="318" spans="1:7" ht="14.25" thickBot="1">
      <c r="A318" s="2999">
        <v>317</v>
      </c>
      <c r="B318" s="3000" t="s">
        <v>3272</v>
      </c>
      <c r="C318" s="3000" t="s">
        <v>3261</v>
      </c>
      <c r="D318" s="3000" t="s">
        <v>3258</v>
      </c>
      <c r="E318" s="3000">
        <v>303</v>
      </c>
      <c r="F318" s="3000">
        <v>69.75</v>
      </c>
      <c r="G318" s="3001" t="s">
        <v>3055</v>
      </c>
    </row>
    <row r="319" spans="1:7" ht="14.25" thickBot="1">
      <c r="A319" s="2999">
        <v>318</v>
      </c>
      <c r="B319" s="3000" t="s">
        <v>3272</v>
      </c>
      <c r="C319" s="3000" t="s">
        <v>3261</v>
      </c>
      <c r="D319" s="3000" t="s">
        <v>3258</v>
      </c>
      <c r="E319" s="3000">
        <v>305</v>
      </c>
      <c r="F319" s="3000">
        <v>69.75</v>
      </c>
      <c r="G319" s="3001" t="s">
        <v>3055</v>
      </c>
    </row>
    <row r="320" spans="1:7" ht="14.25" thickBot="1">
      <c r="A320" s="2999">
        <v>319</v>
      </c>
      <c r="B320" s="3000" t="s">
        <v>3272</v>
      </c>
      <c r="C320" s="3000" t="s">
        <v>3261</v>
      </c>
      <c r="D320" s="3000" t="s">
        <v>3258</v>
      </c>
      <c r="E320" s="3000">
        <v>306</v>
      </c>
      <c r="F320" s="3000">
        <v>69.56</v>
      </c>
      <c r="G320" s="3001" t="s">
        <v>3055</v>
      </c>
    </row>
    <row r="321" spans="1:7" ht="14.25" thickBot="1">
      <c r="A321" s="2999">
        <v>320</v>
      </c>
      <c r="B321" s="3000" t="s">
        <v>3272</v>
      </c>
      <c r="C321" s="3000" t="s">
        <v>3261</v>
      </c>
      <c r="D321" s="3000" t="s">
        <v>3259</v>
      </c>
      <c r="E321" s="3000">
        <v>303</v>
      </c>
      <c r="F321" s="3000">
        <v>69.75</v>
      </c>
      <c r="G321" s="3001" t="s">
        <v>3055</v>
      </c>
    </row>
    <row r="322" spans="1:7" ht="14.25" thickBot="1">
      <c r="A322" s="2999">
        <v>321</v>
      </c>
      <c r="B322" s="3000" t="s">
        <v>3272</v>
      </c>
      <c r="C322" s="3000" t="s">
        <v>3261</v>
      </c>
      <c r="D322" s="3000" t="s">
        <v>3259</v>
      </c>
      <c r="E322" s="3000">
        <v>307</v>
      </c>
      <c r="F322" s="3000">
        <v>66.069999999999993</v>
      </c>
      <c r="G322" s="3001" t="s">
        <v>3055</v>
      </c>
    </row>
    <row r="323" spans="1:7" ht="14.25" thickBot="1">
      <c r="A323" s="2999">
        <v>322</v>
      </c>
      <c r="B323" s="3000" t="s">
        <v>3272</v>
      </c>
      <c r="C323" s="3000" t="s">
        <v>3262</v>
      </c>
      <c r="D323" s="3000" t="s">
        <v>3258</v>
      </c>
      <c r="E323" s="3000" t="s">
        <v>3148</v>
      </c>
      <c r="F323" s="3000">
        <v>69.75</v>
      </c>
      <c r="G323" s="3001" t="s">
        <v>3055</v>
      </c>
    </row>
    <row r="324" spans="1:7" ht="14.25" thickBot="1">
      <c r="A324" s="2999">
        <v>323</v>
      </c>
      <c r="B324" s="3000" t="s">
        <v>3272</v>
      </c>
      <c r="C324" s="3000" t="s">
        <v>3262</v>
      </c>
      <c r="D324" s="3000" t="s">
        <v>3258</v>
      </c>
      <c r="E324" s="3000" t="s">
        <v>3150</v>
      </c>
      <c r="F324" s="3000">
        <v>94.74</v>
      </c>
      <c r="G324" s="3001" t="s">
        <v>3055</v>
      </c>
    </row>
    <row r="325" spans="1:7" ht="14.25" thickBot="1">
      <c r="A325" s="2999">
        <v>324</v>
      </c>
      <c r="B325" s="3000" t="s">
        <v>3272</v>
      </c>
      <c r="C325" s="3000" t="s">
        <v>3262</v>
      </c>
      <c r="D325" s="3000" t="s">
        <v>3259</v>
      </c>
      <c r="E325" s="3000" t="s">
        <v>3146</v>
      </c>
      <c r="F325" s="3000">
        <v>69.56</v>
      </c>
      <c r="G325" s="3001" t="s">
        <v>3055</v>
      </c>
    </row>
    <row r="326" spans="1:7" ht="14.25" thickBot="1">
      <c r="A326" s="2999">
        <v>325</v>
      </c>
      <c r="B326" s="3000" t="s">
        <v>3272</v>
      </c>
      <c r="C326" s="3000" t="s">
        <v>3262</v>
      </c>
      <c r="D326" s="3000" t="s">
        <v>3259</v>
      </c>
      <c r="E326" s="3000" t="s">
        <v>3147</v>
      </c>
      <c r="F326" s="3000">
        <v>69.75</v>
      </c>
      <c r="G326" s="3001" t="s">
        <v>3055</v>
      </c>
    </row>
    <row r="327" spans="1:7" ht="14.25" thickBot="1">
      <c r="A327" s="2999">
        <v>326</v>
      </c>
      <c r="B327" s="3000" t="s">
        <v>3272</v>
      </c>
      <c r="C327" s="3000" t="s">
        <v>3262</v>
      </c>
      <c r="D327" s="3000" t="s">
        <v>3259</v>
      </c>
      <c r="E327" s="3000" t="s">
        <v>3149</v>
      </c>
      <c r="F327" s="3000">
        <v>69.56</v>
      </c>
      <c r="G327" s="3001" t="s">
        <v>3055</v>
      </c>
    </row>
    <row r="328" spans="1:7" ht="14.25" thickBot="1">
      <c r="A328" s="2999">
        <v>327</v>
      </c>
      <c r="B328" s="3000" t="s">
        <v>3272</v>
      </c>
      <c r="C328" s="3000" t="s">
        <v>3263</v>
      </c>
      <c r="D328" s="3000" t="s">
        <v>3258</v>
      </c>
      <c r="E328" s="3000">
        <v>503</v>
      </c>
      <c r="F328" s="3000">
        <v>69.75</v>
      </c>
      <c r="G328" s="3001" t="s">
        <v>3055</v>
      </c>
    </row>
    <row r="329" spans="1:7" ht="14.25" thickBot="1">
      <c r="A329" s="2999">
        <v>328</v>
      </c>
      <c r="B329" s="3000" t="s">
        <v>3272</v>
      </c>
      <c r="C329" s="3000" t="s">
        <v>3263</v>
      </c>
      <c r="D329" s="3000" t="s">
        <v>3258</v>
      </c>
      <c r="E329" s="3000">
        <v>505</v>
      </c>
      <c r="F329" s="3000">
        <v>69.75</v>
      </c>
      <c r="G329" s="3001" t="s">
        <v>3055</v>
      </c>
    </row>
    <row r="330" spans="1:7" ht="14.25" thickBot="1">
      <c r="A330" s="2999">
        <v>329</v>
      </c>
      <c r="B330" s="3000" t="s">
        <v>3272</v>
      </c>
      <c r="C330" s="3000" t="s">
        <v>3263</v>
      </c>
      <c r="D330" s="3000" t="s">
        <v>3258</v>
      </c>
      <c r="E330" s="3000">
        <v>506</v>
      </c>
      <c r="F330" s="3000">
        <v>69.56</v>
      </c>
      <c r="G330" s="3001" t="s">
        <v>3055</v>
      </c>
    </row>
    <row r="331" spans="1:7" ht="14.25" thickBot="1">
      <c r="A331" s="2999">
        <v>330</v>
      </c>
      <c r="B331" s="3000" t="s">
        <v>3272</v>
      </c>
      <c r="C331" s="3000" t="s">
        <v>3263</v>
      </c>
      <c r="D331" s="3000" t="s">
        <v>3258</v>
      </c>
      <c r="E331" s="3000">
        <v>507</v>
      </c>
      <c r="F331" s="3000">
        <v>94.74</v>
      </c>
      <c r="G331" s="3001" t="s">
        <v>3055</v>
      </c>
    </row>
    <row r="332" spans="1:7" ht="14.25" thickBot="1">
      <c r="A332" s="2999">
        <v>331</v>
      </c>
      <c r="B332" s="3000" t="s">
        <v>3272</v>
      </c>
      <c r="C332" s="3000" t="s">
        <v>3263</v>
      </c>
      <c r="D332" s="3000" t="s">
        <v>3259</v>
      </c>
      <c r="E332" s="3000">
        <v>502</v>
      </c>
      <c r="F332" s="3000">
        <v>69.56</v>
      </c>
      <c r="G332" s="3001" t="s">
        <v>3055</v>
      </c>
    </row>
    <row r="333" spans="1:7" ht="14.25" thickBot="1">
      <c r="A333" s="2999">
        <v>332</v>
      </c>
      <c r="B333" s="3000" t="s">
        <v>3272</v>
      </c>
      <c r="C333" s="3000" t="s">
        <v>3263</v>
      </c>
      <c r="D333" s="3000" t="s">
        <v>3259</v>
      </c>
      <c r="E333" s="3000">
        <v>503</v>
      </c>
      <c r="F333" s="3000">
        <v>69.75</v>
      </c>
      <c r="G333" s="3001" t="s">
        <v>3055</v>
      </c>
    </row>
    <row r="334" spans="1:7" ht="14.25" thickBot="1">
      <c r="A334" s="2999">
        <v>333</v>
      </c>
      <c r="B334" s="3000" t="s">
        <v>3272</v>
      </c>
      <c r="C334" s="3000" t="s">
        <v>3263</v>
      </c>
      <c r="D334" s="3000" t="s">
        <v>3259</v>
      </c>
      <c r="E334" s="3000">
        <v>505</v>
      </c>
      <c r="F334" s="3000">
        <v>69.75</v>
      </c>
      <c r="G334" s="3001" t="s">
        <v>3055</v>
      </c>
    </row>
    <row r="335" spans="1:7" ht="14.25" thickBot="1">
      <c r="A335" s="2999">
        <v>334</v>
      </c>
      <c r="B335" s="3000" t="s">
        <v>3272</v>
      </c>
      <c r="C335" s="3000" t="s">
        <v>3263</v>
      </c>
      <c r="D335" s="3000" t="s">
        <v>3259</v>
      </c>
      <c r="E335" s="3000">
        <v>506</v>
      </c>
      <c r="F335" s="3000">
        <v>69.56</v>
      </c>
      <c r="G335" s="3001" t="s">
        <v>3055</v>
      </c>
    </row>
    <row r="336" spans="1:7" ht="14.25" thickBot="1">
      <c r="A336" s="2999">
        <v>335</v>
      </c>
      <c r="B336" s="3000" t="s">
        <v>3272</v>
      </c>
      <c r="C336" s="3000" t="s">
        <v>3263</v>
      </c>
      <c r="D336" s="3000" t="s">
        <v>3259</v>
      </c>
      <c r="E336" s="3000">
        <v>507</v>
      </c>
      <c r="F336" s="3000">
        <v>66.069999999999993</v>
      </c>
      <c r="G336" s="3001" t="s">
        <v>3055</v>
      </c>
    </row>
    <row r="337" spans="1:7" ht="14.25" thickBot="1">
      <c r="A337" s="2999">
        <v>336</v>
      </c>
      <c r="B337" s="3000" t="s">
        <v>3272</v>
      </c>
      <c r="C337" s="3000" t="s">
        <v>3264</v>
      </c>
      <c r="D337" s="3000" t="s">
        <v>3258</v>
      </c>
      <c r="E337" s="3000">
        <v>606</v>
      </c>
      <c r="F337" s="3000">
        <v>69.56</v>
      </c>
      <c r="G337" s="3001" t="s">
        <v>3055</v>
      </c>
    </row>
    <row r="338" spans="1:7" ht="14.25" thickBot="1">
      <c r="A338" s="2999">
        <v>337</v>
      </c>
      <c r="B338" s="3000" t="s">
        <v>3273</v>
      </c>
      <c r="C338" s="3000" t="s">
        <v>3257</v>
      </c>
      <c r="D338" s="3000" t="s">
        <v>3258</v>
      </c>
      <c r="E338" s="3000">
        <v>101</v>
      </c>
      <c r="F338" s="3000">
        <v>65.67</v>
      </c>
      <c r="G338" s="3001" t="s">
        <v>3055</v>
      </c>
    </row>
    <row r="339" spans="1:7" ht="14.25" thickBot="1">
      <c r="A339" s="2999">
        <v>338</v>
      </c>
      <c r="B339" s="3000" t="s">
        <v>3273</v>
      </c>
      <c r="C339" s="3000" t="s">
        <v>3257</v>
      </c>
      <c r="D339" s="3000" t="s">
        <v>3258</v>
      </c>
      <c r="E339" s="3000">
        <v>102</v>
      </c>
      <c r="F339" s="3000">
        <v>68.94</v>
      </c>
      <c r="G339" s="3001" t="s">
        <v>3055</v>
      </c>
    </row>
    <row r="340" spans="1:7" ht="14.25" thickBot="1">
      <c r="A340" s="2999">
        <v>339</v>
      </c>
      <c r="B340" s="3000" t="s">
        <v>3273</v>
      </c>
      <c r="C340" s="3000" t="s">
        <v>3257</v>
      </c>
      <c r="D340" s="3000" t="s">
        <v>3258</v>
      </c>
      <c r="E340" s="3000">
        <v>103</v>
      </c>
      <c r="F340" s="3000">
        <v>69.290000000000006</v>
      </c>
      <c r="G340" s="3001" t="s">
        <v>3055</v>
      </c>
    </row>
    <row r="341" spans="1:7" ht="14.25" thickBot="1">
      <c r="A341" s="2999">
        <v>340</v>
      </c>
      <c r="B341" s="3000" t="s">
        <v>3273</v>
      </c>
      <c r="C341" s="3000" t="s">
        <v>3257</v>
      </c>
      <c r="D341" s="3000" t="s">
        <v>3258</v>
      </c>
      <c r="E341" s="3000">
        <v>105</v>
      </c>
      <c r="F341" s="3000">
        <v>69.290000000000006</v>
      </c>
      <c r="G341" s="3001" t="s">
        <v>3055</v>
      </c>
    </row>
    <row r="342" spans="1:7" ht="14.25" thickBot="1">
      <c r="A342" s="2999">
        <v>341</v>
      </c>
      <c r="B342" s="3000" t="s">
        <v>3273</v>
      </c>
      <c r="C342" s="3000" t="s">
        <v>3257</v>
      </c>
      <c r="D342" s="3000" t="s">
        <v>3258</v>
      </c>
      <c r="E342" s="3000">
        <v>106</v>
      </c>
      <c r="F342" s="3000">
        <v>68.94</v>
      </c>
      <c r="G342" s="3001" t="s">
        <v>3055</v>
      </c>
    </row>
    <row r="343" spans="1:7" ht="14.25" thickBot="1">
      <c r="A343" s="2999">
        <v>342</v>
      </c>
      <c r="B343" s="3000" t="s">
        <v>3273</v>
      </c>
      <c r="C343" s="3000" t="s">
        <v>3257</v>
      </c>
      <c r="D343" s="3000" t="s">
        <v>3258</v>
      </c>
      <c r="E343" s="3000">
        <v>107</v>
      </c>
      <c r="F343" s="3000">
        <v>94.13</v>
      </c>
      <c r="G343" s="3001" t="s">
        <v>3055</v>
      </c>
    </row>
    <row r="344" spans="1:7" ht="14.25" thickBot="1">
      <c r="A344" s="2999">
        <v>343</v>
      </c>
      <c r="B344" s="3000" t="s">
        <v>3273</v>
      </c>
      <c r="C344" s="3000" t="s">
        <v>3257</v>
      </c>
      <c r="D344" s="3000" t="s">
        <v>3259</v>
      </c>
      <c r="E344" s="3000">
        <v>101</v>
      </c>
      <c r="F344" s="3000">
        <v>94.13</v>
      </c>
      <c r="G344" s="3001" t="s">
        <v>3055</v>
      </c>
    </row>
    <row r="345" spans="1:7" ht="14.25" thickBot="1">
      <c r="A345" s="2999">
        <v>344</v>
      </c>
      <c r="B345" s="3000" t="s">
        <v>3273</v>
      </c>
      <c r="C345" s="3000" t="s">
        <v>3257</v>
      </c>
      <c r="D345" s="3000" t="s">
        <v>3259</v>
      </c>
      <c r="E345" s="3000">
        <v>103</v>
      </c>
      <c r="F345" s="3000">
        <v>69.290000000000006</v>
      </c>
      <c r="G345" s="3001" t="s">
        <v>3055</v>
      </c>
    </row>
    <row r="346" spans="1:7" ht="14.25" thickBot="1">
      <c r="A346" s="2999">
        <v>345</v>
      </c>
      <c r="B346" s="3000" t="s">
        <v>3273</v>
      </c>
      <c r="C346" s="3000" t="s">
        <v>3257</v>
      </c>
      <c r="D346" s="3000" t="s">
        <v>3259</v>
      </c>
      <c r="E346" s="3000">
        <v>105</v>
      </c>
      <c r="F346" s="3000">
        <v>69.290000000000006</v>
      </c>
      <c r="G346" s="3001" t="s">
        <v>3055</v>
      </c>
    </row>
    <row r="347" spans="1:7" ht="14.25" thickBot="1">
      <c r="A347" s="2999">
        <v>346</v>
      </c>
      <c r="B347" s="3000" t="s">
        <v>3273</v>
      </c>
      <c r="C347" s="3000" t="s">
        <v>3257</v>
      </c>
      <c r="D347" s="3000" t="s">
        <v>3259</v>
      </c>
      <c r="E347" s="3000">
        <v>106</v>
      </c>
      <c r="F347" s="3000">
        <v>68.94</v>
      </c>
      <c r="G347" s="3001" t="s">
        <v>3055</v>
      </c>
    </row>
    <row r="348" spans="1:7" ht="14.25" thickBot="1">
      <c r="A348" s="2999">
        <v>347</v>
      </c>
      <c r="B348" s="3000" t="s">
        <v>3273</v>
      </c>
      <c r="C348" s="3000" t="s">
        <v>3257</v>
      </c>
      <c r="D348" s="3000" t="s">
        <v>3259</v>
      </c>
      <c r="E348" s="3000">
        <v>107</v>
      </c>
      <c r="F348" s="3000">
        <v>65.67</v>
      </c>
      <c r="G348" s="3001" t="s">
        <v>3055</v>
      </c>
    </row>
    <row r="349" spans="1:7" ht="14.25" thickBot="1">
      <c r="A349" s="2999">
        <v>348</v>
      </c>
      <c r="B349" s="3000" t="s">
        <v>3273</v>
      </c>
      <c r="C349" s="3000" t="s">
        <v>3260</v>
      </c>
      <c r="D349" s="3000" t="s">
        <v>3258</v>
      </c>
      <c r="E349" s="3000">
        <v>201</v>
      </c>
      <c r="F349" s="3000">
        <v>65.510000000000005</v>
      </c>
      <c r="G349" s="3001" t="s">
        <v>3055</v>
      </c>
    </row>
    <row r="350" spans="1:7" ht="14.25" thickBot="1">
      <c r="A350" s="2999">
        <v>349</v>
      </c>
      <c r="B350" s="3000" t="s">
        <v>3273</v>
      </c>
      <c r="C350" s="3000" t="s">
        <v>3260</v>
      </c>
      <c r="D350" s="3000" t="s">
        <v>3259</v>
      </c>
      <c r="E350" s="3000">
        <v>207</v>
      </c>
      <c r="F350" s="3000">
        <v>65.510000000000005</v>
      </c>
      <c r="G350" s="3001" t="s">
        <v>3055</v>
      </c>
    </row>
    <row r="351" spans="1:7" ht="14.25" thickBot="1">
      <c r="A351" s="2999">
        <v>350</v>
      </c>
      <c r="B351" s="3000" t="s">
        <v>3273</v>
      </c>
      <c r="C351" s="3000" t="s">
        <v>3261</v>
      </c>
      <c r="D351" s="3000" t="s">
        <v>3258</v>
      </c>
      <c r="E351" s="3000">
        <v>301</v>
      </c>
      <c r="F351" s="3000">
        <v>65.510000000000005</v>
      </c>
      <c r="G351" s="3001" t="s">
        <v>3055</v>
      </c>
    </row>
    <row r="352" spans="1:7" ht="14.25" thickBot="1">
      <c r="A352" s="2999">
        <v>351</v>
      </c>
      <c r="B352" s="3000" t="s">
        <v>3273</v>
      </c>
      <c r="C352" s="3000" t="s">
        <v>3261</v>
      </c>
      <c r="D352" s="3000" t="s">
        <v>3258</v>
      </c>
      <c r="E352" s="3000">
        <v>302</v>
      </c>
      <c r="F352" s="3000">
        <v>68.94</v>
      </c>
      <c r="G352" s="3001" t="s">
        <v>3055</v>
      </c>
    </row>
    <row r="353" spans="1:7" ht="14.25" thickBot="1">
      <c r="A353" s="2999">
        <v>352</v>
      </c>
      <c r="B353" s="3000" t="s">
        <v>3273</v>
      </c>
      <c r="C353" s="3000" t="s">
        <v>3261</v>
      </c>
      <c r="D353" s="3000" t="s">
        <v>3259</v>
      </c>
      <c r="E353" s="3000">
        <v>306</v>
      </c>
      <c r="F353" s="3000">
        <v>68.94</v>
      </c>
      <c r="G353" s="3001" t="s">
        <v>3055</v>
      </c>
    </row>
    <row r="354" spans="1:7" ht="14.25" thickBot="1">
      <c r="A354" s="2999">
        <v>353</v>
      </c>
      <c r="B354" s="3000" t="s">
        <v>3273</v>
      </c>
      <c r="C354" s="3000" t="s">
        <v>3262</v>
      </c>
      <c r="D354" s="3000" t="s">
        <v>3258</v>
      </c>
      <c r="E354" s="3000" t="s">
        <v>3150</v>
      </c>
      <c r="F354" s="3000">
        <v>93.91</v>
      </c>
      <c r="G354" s="3001" t="s">
        <v>3055</v>
      </c>
    </row>
    <row r="355" spans="1:7" ht="14.25" thickBot="1">
      <c r="A355" s="2999">
        <v>354</v>
      </c>
      <c r="B355" s="3000" t="s">
        <v>3273</v>
      </c>
      <c r="C355" s="3000" t="s">
        <v>3262</v>
      </c>
      <c r="D355" s="3000" t="s">
        <v>3259</v>
      </c>
      <c r="E355" s="3000" t="s">
        <v>3150</v>
      </c>
      <c r="F355" s="3000">
        <v>65.510000000000005</v>
      </c>
      <c r="G355" s="3001" t="s">
        <v>3055</v>
      </c>
    </row>
    <row r="356" spans="1:7" ht="14.25" thickBot="1">
      <c r="A356" s="2999">
        <v>355</v>
      </c>
      <c r="B356" s="3000" t="s">
        <v>3273</v>
      </c>
      <c r="C356" s="3000" t="s">
        <v>3263</v>
      </c>
      <c r="D356" s="3000" t="s">
        <v>3258</v>
      </c>
      <c r="E356" s="3000">
        <v>507</v>
      </c>
      <c r="F356" s="3000">
        <v>93.91</v>
      </c>
      <c r="G356" s="3001" t="s">
        <v>3055</v>
      </c>
    </row>
    <row r="357" spans="1:7" ht="14.25" thickBot="1">
      <c r="A357" s="2999">
        <v>356</v>
      </c>
      <c r="B357" s="3000" t="s">
        <v>3273</v>
      </c>
      <c r="C357" s="3000" t="s">
        <v>3263</v>
      </c>
      <c r="D357" s="3000" t="s">
        <v>3259</v>
      </c>
      <c r="E357" s="3000">
        <v>501</v>
      </c>
      <c r="F357" s="3000">
        <v>93.91</v>
      </c>
      <c r="G357" s="3001" t="s">
        <v>3055</v>
      </c>
    </row>
    <row r="358" spans="1:7" ht="14.25" thickBot="1">
      <c r="A358" s="2999">
        <v>357</v>
      </c>
      <c r="B358" s="3000" t="s">
        <v>3273</v>
      </c>
      <c r="C358" s="3000" t="s">
        <v>3263</v>
      </c>
      <c r="D358" s="3000" t="s">
        <v>3259</v>
      </c>
      <c r="E358" s="3000">
        <v>506</v>
      </c>
      <c r="F358" s="3000">
        <v>68.94</v>
      </c>
      <c r="G358" s="3001" t="s">
        <v>3055</v>
      </c>
    </row>
    <row r="359" spans="1:7" ht="14.25" thickBot="1">
      <c r="A359" s="2999">
        <v>358</v>
      </c>
      <c r="B359" s="3000" t="s">
        <v>3273</v>
      </c>
      <c r="C359" s="3000" t="s">
        <v>3263</v>
      </c>
      <c r="D359" s="3000" t="s">
        <v>3259</v>
      </c>
      <c r="E359" s="3000">
        <v>507</v>
      </c>
      <c r="F359" s="3000">
        <v>65.510000000000005</v>
      </c>
      <c r="G359" s="3001" t="s">
        <v>3055</v>
      </c>
    </row>
    <row r="360" spans="1:7" ht="14.25" thickBot="1">
      <c r="A360" s="2999">
        <v>359</v>
      </c>
      <c r="B360" s="3000" t="s">
        <v>3273</v>
      </c>
      <c r="C360" s="3000" t="s">
        <v>3264</v>
      </c>
      <c r="D360" s="3000" t="s">
        <v>3258</v>
      </c>
      <c r="E360" s="3000">
        <v>602</v>
      </c>
      <c r="F360" s="3000">
        <v>68.94</v>
      </c>
      <c r="G360" s="3001" t="s">
        <v>3055</v>
      </c>
    </row>
    <row r="361" spans="1:7" ht="14.25" thickBot="1">
      <c r="A361" s="2999">
        <v>360</v>
      </c>
      <c r="B361" s="3000" t="s">
        <v>3273</v>
      </c>
      <c r="C361" s="3000" t="s">
        <v>3264</v>
      </c>
      <c r="D361" s="3000" t="s">
        <v>3258</v>
      </c>
      <c r="E361" s="3000">
        <v>603</v>
      </c>
      <c r="F361" s="3000">
        <v>69.290000000000006</v>
      </c>
      <c r="G361" s="3001" t="s">
        <v>3055</v>
      </c>
    </row>
    <row r="362" spans="1:7" ht="14.25" thickBot="1">
      <c r="A362" s="2999">
        <v>361</v>
      </c>
      <c r="B362" s="3000" t="s">
        <v>3273</v>
      </c>
      <c r="C362" s="3000" t="s">
        <v>3264</v>
      </c>
      <c r="D362" s="3000" t="s">
        <v>3258</v>
      </c>
      <c r="E362" s="3000">
        <v>605</v>
      </c>
      <c r="F362" s="3000">
        <v>69.290000000000006</v>
      </c>
      <c r="G362" s="3001" t="s">
        <v>3055</v>
      </c>
    </row>
    <row r="363" spans="1:7" ht="14.25" thickBot="1">
      <c r="A363" s="2999">
        <v>362</v>
      </c>
      <c r="B363" s="3000" t="s">
        <v>3273</v>
      </c>
      <c r="C363" s="3000" t="s">
        <v>3264</v>
      </c>
      <c r="D363" s="3000" t="s">
        <v>3259</v>
      </c>
      <c r="E363" s="3000">
        <v>602</v>
      </c>
      <c r="F363" s="3000">
        <v>68.94</v>
      </c>
      <c r="G363" s="3001" t="s">
        <v>3055</v>
      </c>
    </row>
    <row r="364" spans="1:7" ht="14.25" thickBot="1">
      <c r="A364" s="2999">
        <v>363</v>
      </c>
      <c r="B364" s="3000" t="s">
        <v>3273</v>
      </c>
      <c r="C364" s="3000" t="s">
        <v>3264</v>
      </c>
      <c r="D364" s="3000" t="s">
        <v>3259</v>
      </c>
      <c r="E364" s="3000">
        <v>603</v>
      </c>
      <c r="F364" s="3000">
        <v>69.290000000000006</v>
      </c>
      <c r="G364" s="3001" t="s">
        <v>3055</v>
      </c>
    </row>
    <row r="365" spans="1:7" ht="14.25" thickBot="1">
      <c r="A365" s="2999">
        <v>364</v>
      </c>
      <c r="B365" s="3000" t="s">
        <v>3273</v>
      </c>
      <c r="C365" s="3000" t="s">
        <v>3264</v>
      </c>
      <c r="D365" s="3000" t="s">
        <v>3259</v>
      </c>
      <c r="E365" s="3000">
        <v>605</v>
      </c>
      <c r="F365" s="3000">
        <v>69.290000000000006</v>
      </c>
      <c r="G365" s="3001" t="s">
        <v>3055</v>
      </c>
    </row>
    <row r="366" spans="1:7" ht="14.25" thickBot="1">
      <c r="A366" s="2999">
        <v>365</v>
      </c>
      <c r="B366" s="3000" t="s">
        <v>3273</v>
      </c>
      <c r="C366" s="3000" t="s">
        <v>3264</v>
      </c>
      <c r="D366" s="3000" t="s">
        <v>3259</v>
      </c>
      <c r="E366" s="3000">
        <v>606</v>
      </c>
      <c r="F366" s="3000">
        <v>68.94</v>
      </c>
      <c r="G366" s="3001" t="s">
        <v>3055</v>
      </c>
    </row>
    <row r="367" spans="1:7" ht="14.25" thickBot="1">
      <c r="A367" s="2999">
        <v>366</v>
      </c>
      <c r="B367" s="3000" t="s">
        <v>3274</v>
      </c>
      <c r="C367" s="3000" t="s">
        <v>3257</v>
      </c>
      <c r="D367" s="3000" t="s">
        <v>70</v>
      </c>
      <c r="E367" s="3000">
        <v>101</v>
      </c>
      <c r="F367" s="3000">
        <v>93.93</v>
      </c>
      <c r="G367" s="3001" t="s">
        <v>3055</v>
      </c>
    </row>
    <row r="368" spans="1:7" ht="14.25" thickBot="1">
      <c r="A368" s="2999">
        <v>367</v>
      </c>
      <c r="B368" s="3000" t="s">
        <v>3274</v>
      </c>
      <c r="C368" s="3000" t="s">
        <v>3257</v>
      </c>
      <c r="D368" s="3000" t="s">
        <v>70</v>
      </c>
      <c r="E368" s="3000">
        <v>102</v>
      </c>
      <c r="F368" s="3000">
        <v>69.17</v>
      </c>
      <c r="G368" s="3001" t="s">
        <v>3055</v>
      </c>
    </row>
    <row r="369" spans="1:7" ht="14.25" thickBot="1">
      <c r="A369" s="2999">
        <v>368</v>
      </c>
      <c r="B369" s="3000" t="s">
        <v>3274</v>
      </c>
      <c r="C369" s="3000" t="s">
        <v>3257</v>
      </c>
      <c r="D369" s="3000" t="s">
        <v>70</v>
      </c>
      <c r="E369" s="3000">
        <v>103</v>
      </c>
      <c r="F369" s="3000">
        <v>69.27</v>
      </c>
      <c r="G369" s="3001" t="s">
        <v>3055</v>
      </c>
    </row>
    <row r="370" spans="1:7" ht="14.25" thickBot="1">
      <c r="A370" s="2999">
        <v>369</v>
      </c>
      <c r="B370" s="3000" t="s">
        <v>3274</v>
      </c>
      <c r="C370" s="3000" t="s">
        <v>3257</v>
      </c>
      <c r="D370" s="3000" t="s">
        <v>70</v>
      </c>
      <c r="E370" s="3000">
        <v>105</v>
      </c>
      <c r="F370" s="3000">
        <v>69.27</v>
      </c>
      <c r="G370" s="3001" t="s">
        <v>3055</v>
      </c>
    </row>
    <row r="371" spans="1:7" ht="14.25" thickBot="1">
      <c r="A371" s="2999">
        <v>370</v>
      </c>
      <c r="B371" s="3000" t="s">
        <v>3274</v>
      </c>
      <c r="C371" s="3000" t="s">
        <v>3257</v>
      </c>
      <c r="D371" s="3000" t="s">
        <v>70</v>
      </c>
      <c r="E371" s="3000">
        <v>106</v>
      </c>
      <c r="F371" s="3000">
        <v>68.95</v>
      </c>
      <c r="G371" s="3001" t="s">
        <v>3055</v>
      </c>
    </row>
    <row r="372" spans="1:7" ht="14.25" thickBot="1">
      <c r="A372" s="2999">
        <v>371</v>
      </c>
      <c r="B372" s="3000" t="s">
        <v>3274</v>
      </c>
      <c r="C372" s="3000" t="s">
        <v>3257</v>
      </c>
      <c r="D372" s="3000" t="s">
        <v>70</v>
      </c>
      <c r="E372" s="3000">
        <v>107</v>
      </c>
      <c r="F372" s="3000">
        <v>65.52</v>
      </c>
      <c r="G372" s="3001" t="s">
        <v>3055</v>
      </c>
    </row>
    <row r="373" spans="1:7" ht="14.25" thickBot="1">
      <c r="A373" s="2999">
        <v>372</v>
      </c>
      <c r="B373" s="3000" t="s">
        <v>3274</v>
      </c>
      <c r="C373" s="3000" t="s">
        <v>3261</v>
      </c>
      <c r="D373" s="3000" t="s">
        <v>70</v>
      </c>
      <c r="E373" s="3000">
        <v>307</v>
      </c>
      <c r="F373" s="3000">
        <v>65.52</v>
      </c>
      <c r="G373" s="3001" t="s">
        <v>3055</v>
      </c>
    </row>
    <row r="374" spans="1:7" ht="14.25" thickBot="1">
      <c r="A374" s="2999">
        <v>373</v>
      </c>
      <c r="B374" s="3000" t="s">
        <v>3274</v>
      </c>
      <c r="C374" s="3000" t="s">
        <v>3262</v>
      </c>
      <c r="D374" s="3000" t="s">
        <v>70</v>
      </c>
      <c r="E374" s="3000" t="s">
        <v>3150</v>
      </c>
      <c r="F374" s="3000">
        <v>65.52</v>
      </c>
      <c r="G374" s="3001" t="s">
        <v>3055</v>
      </c>
    </row>
    <row r="375" spans="1:7" ht="14.25" thickBot="1">
      <c r="A375" s="2999">
        <v>374</v>
      </c>
      <c r="B375" s="3000" t="s">
        <v>3274</v>
      </c>
      <c r="C375" s="3000" t="s">
        <v>3264</v>
      </c>
      <c r="D375" s="3000" t="s">
        <v>70</v>
      </c>
      <c r="E375" s="3000">
        <v>602</v>
      </c>
      <c r="F375" s="3000">
        <v>68.95</v>
      </c>
      <c r="G375" s="3001" t="s">
        <v>3055</v>
      </c>
    </row>
    <row r="376" spans="1:7" ht="14.25" thickBot="1">
      <c r="A376" s="2999">
        <v>375</v>
      </c>
      <c r="B376" s="3000" t="s">
        <v>3274</v>
      </c>
      <c r="C376" s="3000" t="s">
        <v>3264</v>
      </c>
      <c r="D376" s="3000" t="s">
        <v>70</v>
      </c>
      <c r="E376" s="3000">
        <v>603</v>
      </c>
      <c r="F376" s="3000">
        <v>69.05</v>
      </c>
      <c r="G376" s="3001" t="s">
        <v>3055</v>
      </c>
    </row>
    <row r="377" spans="1:7" ht="14.25" thickBot="1">
      <c r="A377" s="2999">
        <v>376</v>
      </c>
      <c r="B377" s="3000" t="s">
        <v>3274</v>
      </c>
      <c r="C377" s="3000" t="s">
        <v>3264</v>
      </c>
      <c r="D377" s="3000" t="s">
        <v>70</v>
      </c>
      <c r="E377" s="3000">
        <v>605</v>
      </c>
      <c r="F377" s="3000">
        <v>69.05</v>
      </c>
      <c r="G377" s="3001" t="s">
        <v>3055</v>
      </c>
    </row>
    <row r="378" spans="1:7" ht="14.25" thickBot="1">
      <c r="A378" s="2999">
        <v>377</v>
      </c>
      <c r="B378" s="3000" t="s">
        <v>3274</v>
      </c>
      <c r="C378" s="3000" t="s">
        <v>3264</v>
      </c>
      <c r="D378" s="3000" t="s">
        <v>70</v>
      </c>
      <c r="E378" s="3000">
        <v>606</v>
      </c>
      <c r="F378" s="3000">
        <v>68.95</v>
      </c>
      <c r="G378" s="3001" t="s">
        <v>3055</v>
      </c>
    </row>
    <row r="379" spans="1:7" ht="14.25" thickBot="1">
      <c r="A379" s="2999">
        <v>378</v>
      </c>
      <c r="B379" s="3000" t="s">
        <v>3275</v>
      </c>
      <c r="C379" s="3000" t="s">
        <v>3257</v>
      </c>
      <c r="D379" s="3000" t="s">
        <v>70</v>
      </c>
      <c r="E379" s="3000">
        <v>101</v>
      </c>
      <c r="F379" s="3000">
        <v>94.63</v>
      </c>
      <c r="G379" s="3001" t="s">
        <v>3055</v>
      </c>
    </row>
    <row r="380" spans="1:7" ht="14.25" thickBot="1">
      <c r="A380" s="2999">
        <v>379</v>
      </c>
      <c r="B380" s="3000" t="s">
        <v>3275</v>
      </c>
      <c r="C380" s="3000" t="s">
        <v>3257</v>
      </c>
      <c r="D380" s="3000" t="s">
        <v>70</v>
      </c>
      <c r="E380" s="3000">
        <v>102</v>
      </c>
      <c r="F380" s="3000">
        <v>69.47</v>
      </c>
      <c r="G380" s="3001" t="s">
        <v>3055</v>
      </c>
    </row>
    <row r="381" spans="1:7" ht="14.25" thickBot="1">
      <c r="A381" s="2999">
        <v>380</v>
      </c>
      <c r="B381" s="3000" t="s">
        <v>3275</v>
      </c>
      <c r="C381" s="3000" t="s">
        <v>3257</v>
      </c>
      <c r="D381" s="3000" t="s">
        <v>70</v>
      </c>
      <c r="E381" s="3000">
        <v>103</v>
      </c>
      <c r="F381" s="3000">
        <v>69.569999999999993</v>
      </c>
      <c r="G381" s="3001" t="s">
        <v>3055</v>
      </c>
    </row>
    <row r="382" spans="1:7" ht="14.25" thickBot="1">
      <c r="A382" s="2999">
        <v>381</v>
      </c>
      <c r="B382" s="3000" t="s">
        <v>3275</v>
      </c>
      <c r="C382" s="3000" t="s">
        <v>3257</v>
      </c>
      <c r="D382" s="3000" t="s">
        <v>70</v>
      </c>
      <c r="E382" s="3000">
        <v>105</v>
      </c>
      <c r="F382" s="3000">
        <v>69.47</v>
      </c>
      <c r="G382" s="3001" t="s">
        <v>3055</v>
      </c>
    </row>
    <row r="383" spans="1:7" ht="14.25" thickBot="1">
      <c r="A383" s="2999">
        <v>382</v>
      </c>
      <c r="B383" s="3000" t="s">
        <v>3275</v>
      </c>
      <c r="C383" s="3000" t="s">
        <v>3257</v>
      </c>
      <c r="D383" s="3000" t="s">
        <v>70</v>
      </c>
      <c r="E383" s="3000">
        <v>106</v>
      </c>
      <c r="F383" s="3000">
        <v>66.010000000000005</v>
      </c>
      <c r="G383" s="3001" t="s">
        <v>3055</v>
      </c>
    </row>
    <row r="384" spans="1:7" ht="14.25" thickBot="1">
      <c r="A384" s="2999">
        <v>383</v>
      </c>
      <c r="B384" s="3000" t="s">
        <v>3275</v>
      </c>
      <c r="C384" s="3000" t="s">
        <v>3260</v>
      </c>
      <c r="D384" s="3000" t="s">
        <v>70</v>
      </c>
      <c r="E384" s="3000">
        <v>201</v>
      </c>
      <c r="F384" s="3000">
        <v>94.63</v>
      </c>
      <c r="G384" s="3001" t="s">
        <v>3055</v>
      </c>
    </row>
    <row r="385" spans="1:7" ht="14.25" thickBot="1">
      <c r="A385" s="2999">
        <v>384</v>
      </c>
      <c r="B385" s="3000" t="s">
        <v>3275</v>
      </c>
      <c r="C385" s="3000" t="s">
        <v>3260</v>
      </c>
      <c r="D385" s="3000" t="s">
        <v>70</v>
      </c>
      <c r="E385" s="3000">
        <v>202</v>
      </c>
      <c r="F385" s="3000">
        <v>69.47</v>
      </c>
      <c r="G385" s="3001" t="s">
        <v>3055</v>
      </c>
    </row>
    <row r="386" spans="1:7" ht="16.5" customHeight="1" thickBot="1">
      <c r="A386" s="2999">
        <v>385</v>
      </c>
      <c r="B386" s="3000" t="s">
        <v>3275</v>
      </c>
      <c r="C386" s="3000" t="s">
        <v>3260</v>
      </c>
      <c r="D386" s="3000" t="s">
        <v>70</v>
      </c>
      <c r="E386" s="3000">
        <v>203</v>
      </c>
      <c r="F386" s="3000">
        <v>69.569999999999993</v>
      </c>
      <c r="G386" s="3001" t="s">
        <v>3055</v>
      </c>
    </row>
    <row r="387" spans="1:7" ht="14.25" thickBot="1">
      <c r="A387" s="2999">
        <v>386</v>
      </c>
      <c r="B387" s="3000" t="s">
        <v>3275</v>
      </c>
      <c r="C387" s="3000" t="s">
        <v>3260</v>
      </c>
      <c r="D387" s="3000" t="s">
        <v>70</v>
      </c>
      <c r="E387" s="3000">
        <v>205</v>
      </c>
      <c r="F387" s="3000">
        <v>69.569999999999993</v>
      </c>
      <c r="G387" s="3001" t="s">
        <v>3055</v>
      </c>
    </row>
    <row r="388" spans="1:7" ht="14.25" thickBot="1">
      <c r="A388" s="2999">
        <v>387</v>
      </c>
      <c r="B388" s="3000" t="s">
        <v>3275</v>
      </c>
      <c r="C388" s="3000" t="s">
        <v>3260</v>
      </c>
      <c r="D388" s="3000" t="s">
        <v>70</v>
      </c>
      <c r="E388" s="3000">
        <v>206</v>
      </c>
      <c r="F388" s="3000">
        <v>69.47</v>
      </c>
      <c r="G388" s="3001" t="s">
        <v>3055</v>
      </c>
    </row>
    <row r="389" spans="1:7" ht="14.25" thickBot="1">
      <c r="A389" s="2999">
        <v>388</v>
      </c>
      <c r="B389" s="3000" t="s">
        <v>3275</v>
      </c>
      <c r="C389" s="3000" t="s">
        <v>3260</v>
      </c>
      <c r="D389" s="3000" t="s">
        <v>70</v>
      </c>
      <c r="E389" s="3000">
        <v>207</v>
      </c>
      <c r="F389" s="3000">
        <v>66.010000000000005</v>
      </c>
      <c r="G389" s="3001" t="s">
        <v>3055</v>
      </c>
    </row>
    <row r="390" spans="1:7" ht="14.25" thickBot="1">
      <c r="A390" s="2999">
        <v>389</v>
      </c>
      <c r="B390" s="3000" t="s">
        <v>3275</v>
      </c>
      <c r="C390" s="3000" t="s">
        <v>3261</v>
      </c>
      <c r="D390" s="3000" t="s">
        <v>70</v>
      </c>
      <c r="E390" s="3000">
        <v>301</v>
      </c>
      <c r="F390" s="3000">
        <v>94.63</v>
      </c>
      <c r="G390" s="3001" t="s">
        <v>3055</v>
      </c>
    </row>
    <row r="391" spans="1:7" ht="14.25" thickBot="1">
      <c r="A391" s="2999">
        <v>390</v>
      </c>
      <c r="B391" s="3000" t="s">
        <v>3275</v>
      </c>
      <c r="C391" s="3000" t="s">
        <v>3261</v>
      </c>
      <c r="D391" s="3000" t="s">
        <v>70</v>
      </c>
      <c r="E391" s="3000">
        <v>303</v>
      </c>
      <c r="F391" s="3000">
        <v>69.569999999999993</v>
      </c>
      <c r="G391" s="3001" t="s">
        <v>3055</v>
      </c>
    </row>
    <row r="392" spans="1:7" ht="14.25" thickBot="1">
      <c r="A392" s="2999">
        <v>391</v>
      </c>
      <c r="B392" s="3000" t="s">
        <v>3275</v>
      </c>
      <c r="C392" s="3000" t="s">
        <v>3261</v>
      </c>
      <c r="D392" s="3000" t="s">
        <v>70</v>
      </c>
      <c r="E392" s="3000">
        <v>305</v>
      </c>
      <c r="F392" s="3000">
        <v>69.569999999999993</v>
      </c>
      <c r="G392" s="3001" t="s">
        <v>3055</v>
      </c>
    </row>
    <row r="393" spans="1:7" ht="14.25" thickBot="1">
      <c r="A393" s="2999">
        <v>392</v>
      </c>
      <c r="B393" s="3000" t="s">
        <v>3275</v>
      </c>
      <c r="C393" s="3000" t="s">
        <v>3261</v>
      </c>
      <c r="D393" s="3000" t="s">
        <v>70</v>
      </c>
      <c r="E393" s="3000" t="s">
        <v>3276</v>
      </c>
      <c r="F393" s="3000">
        <v>69.47</v>
      </c>
      <c r="G393" s="3001" t="s">
        <v>3055</v>
      </c>
    </row>
    <row r="394" spans="1:7" ht="14.25" thickBot="1">
      <c r="A394" s="2999">
        <v>393</v>
      </c>
      <c r="B394" s="3000" t="s">
        <v>3275</v>
      </c>
      <c r="C394" s="3000" t="s">
        <v>3261</v>
      </c>
      <c r="D394" s="3000" t="s">
        <v>70</v>
      </c>
      <c r="E394" s="3000">
        <v>307</v>
      </c>
      <c r="F394" s="3000">
        <v>66.010000000000005</v>
      </c>
      <c r="G394" s="3001" t="s">
        <v>3055</v>
      </c>
    </row>
    <row r="395" spans="1:7" ht="14.25" thickBot="1">
      <c r="A395" s="2999">
        <v>394</v>
      </c>
      <c r="B395" s="3000" t="s">
        <v>3275</v>
      </c>
      <c r="C395" s="3000" t="s">
        <v>3262</v>
      </c>
      <c r="D395" s="3000" t="s">
        <v>70</v>
      </c>
      <c r="E395" s="3000" t="s">
        <v>3146</v>
      </c>
      <c r="F395" s="3000">
        <v>69.47</v>
      </c>
      <c r="G395" s="3001" t="s">
        <v>3055</v>
      </c>
    </row>
    <row r="396" spans="1:7" ht="14.25" thickBot="1">
      <c r="A396" s="2999">
        <v>395</v>
      </c>
      <c r="B396" s="3000" t="s">
        <v>3275</v>
      </c>
      <c r="C396" s="3000" t="s">
        <v>3262</v>
      </c>
      <c r="D396" s="3000" t="s">
        <v>70</v>
      </c>
      <c r="E396" s="3000" t="s">
        <v>3147</v>
      </c>
      <c r="F396" s="3000">
        <v>69.569999999999993</v>
      </c>
      <c r="G396" s="3001" t="s">
        <v>3055</v>
      </c>
    </row>
    <row r="397" spans="1:7" ht="14.25" thickBot="1">
      <c r="A397" s="2999">
        <v>396</v>
      </c>
      <c r="B397" s="3000" t="s">
        <v>3275</v>
      </c>
      <c r="C397" s="3000" t="s">
        <v>3262</v>
      </c>
      <c r="D397" s="3000" t="s">
        <v>70</v>
      </c>
      <c r="E397" s="3000" t="s">
        <v>3148</v>
      </c>
      <c r="F397" s="3000">
        <v>69.569999999999993</v>
      </c>
      <c r="G397" s="3001" t="s">
        <v>3055</v>
      </c>
    </row>
    <row r="398" spans="1:7" ht="14.25" thickBot="1">
      <c r="A398" s="2999">
        <v>397</v>
      </c>
      <c r="B398" s="3000" t="s">
        <v>3275</v>
      </c>
      <c r="C398" s="3000" t="s">
        <v>3262</v>
      </c>
      <c r="D398" s="3000" t="s">
        <v>70</v>
      </c>
      <c r="E398" s="3000" t="s">
        <v>3150</v>
      </c>
      <c r="F398" s="3000">
        <v>66.010000000000005</v>
      </c>
      <c r="G398" s="3001" t="s">
        <v>3055</v>
      </c>
    </row>
    <row r="399" spans="1:7" ht="14.25" thickBot="1">
      <c r="A399" s="2999">
        <v>398</v>
      </c>
      <c r="B399" s="3000" t="s">
        <v>3275</v>
      </c>
      <c r="C399" s="3000" t="s">
        <v>3263</v>
      </c>
      <c r="D399" s="3000" t="s">
        <v>70</v>
      </c>
      <c r="E399" s="3000">
        <v>502</v>
      </c>
      <c r="F399" s="3000">
        <v>69.47</v>
      </c>
      <c r="G399" s="3001" t="s">
        <v>3055</v>
      </c>
    </row>
    <row r="400" spans="1:7" ht="14.25" thickBot="1">
      <c r="A400" s="2999">
        <v>399</v>
      </c>
      <c r="B400" s="3000" t="s">
        <v>3275</v>
      </c>
      <c r="C400" s="3000" t="s">
        <v>3263</v>
      </c>
      <c r="D400" s="3000" t="s">
        <v>70</v>
      </c>
      <c r="E400" s="3000">
        <v>503</v>
      </c>
      <c r="F400" s="3000">
        <v>69.569999999999993</v>
      </c>
      <c r="G400" s="3001" t="s">
        <v>3055</v>
      </c>
    </row>
    <row r="401" spans="1:7" ht="14.25" thickBot="1">
      <c r="A401" s="2999">
        <v>400</v>
      </c>
      <c r="B401" s="3000" t="s">
        <v>3275</v>
      </c>
      <c r="C401" s="3000" t="s">
        <v>3263</v>
      </c>
      <c r="D401" s="3000" t="s">
        <v>70</v>
      </c>
      <c r="E401" s="3000">
        <v>505</v>
      </c>
      <c r="F401" s="3000">
        <v>69.569999999999993</v>
      </c>
      <c r="G401" s="3001" t="s">
        <v>3055</v>
      </c>
    </row>
    <row r="402" spans="1:7" ht="14.25" thickBot="1">
      <c r="A402" s="2999">
        <v>401</v>
      </c>
      <c r="B402" s="3000" t="s">
        <v>3275</v>
      </c>
      <c r="C402" s="3000" t="s">
        <v>3263</v>
      </c>
      <c r="D402" s="3000" t="s">
        <v>70</v>
      </c>
      <c r="E402" s="3000">
        <v>506</v>
      </c>
      <c r="F402" s="3000">
        <v>69.47</v>
      </c>
      <c r="G402" s="3001" t="s">
        <v>3055</v>
      </c>
    </row>
    <row r="403" spans="1:7" ht="14.25" thickBot="1">
      <c r="A403" s="2999">
        <v>402</v>
      </c>
      <c r="B403" s="3000" t="s">
        <v>3275</v>
      </c>
      <c r="C403" s="3000" t="s">
        <v>3263</v>
      </c>
      <c r="D403" s="3000" t="s">
        <v>70</v>
      </c>
      <c r="E403" s="3000">
        <v>507</v>
      </c>
      <c r="F403" s="3000">
        <v>66.010000000000005</v>
      </c>
      <c r="G403" s="3001" t="s">
        <v>3055</v>
      </c>
    </row>
    <row r="404" spans="1:7" ht="14.25" thickBot="1">
      <c r="A404" s="2999">
        <v>403</v>
      </c>
      <c r="B404" s="3000" t="s">
        <v>3275</v>
      </c>
      <c r="C404" s="3000" t="s">
        <v>3264</v>
      </c>
      <c r="D404" s="3000" t="s">
        <v>70</v>
      </c>
      <c r="E404" s="3000">
        <v>601</v>
      </c>
      <c r="F404" s="3000">
        <v>94.63</v>
      </c>
      <c r="G404" s="3001" t="s">
        <v>3055</v>
      </c>
    </row>
    <row r="405" spans="1:7" ht="14.25" thickBot="1">
      <c r="A405" s="2999">
        <v>404</v>
      </c>
      <c r="B405" s="3000" t="s">
        <v>3275</v>
      </c>
      <c r="C405" s="3000" t="s">
        <v>3264</v>
      </c>
      <c r="D405" s="3000" t="s">
        <v>70</v>
      </c>
      <c r="E405" s="3000">
        <v>602</v>
      </c>
      <c r="F405" s="3000">
        <v>69.47</v>
      </c>
      <c r="G405" s="3001" t="s">
        <v>3055</v>
      </c>
    </row>
    <row r="406" spans="1:7" ht="14.25" thickBot="1">
      <c r="A406" s="2999">
        <v>405</v>
      </c>
      <c r="B406" s="3000" t="s">
        <v>3275</v>
      </c>
      <c r="C406" s="3000" t="s">
        <v>3264</v>
      </c>
      <c r="D406" s="3000" t="s">
        <v>70</v>
      </c>
      <c r="E406" s="3000">
        <v>603</v>
      </c>
      <c r="F406" s="3000">
        <v>69.569999999999993</v>
      </c>
      <c r="G406" s="3001" t="s">
        <v>3055</v>
      </c>
    </row>
    <row r="407" spans="1:7" ht="14.25" thickBot="1">
      <c r="A407" s="2999">
        <v>406</v>
      </c>
      <c r="B407" s="3000" t="s">
        <v>3275</v>
      </c>
      <c r="C407" s="3000" t="s">
        <v>3264</v>
      </c>
      <c r="D407" s="3000" t="s">
        <v>70</v>
      </c>
      <c r="E407" s="3000">
        <v>605</v>
      </c>
      <c r="F407" s="3000">
        <v>69.569999999999993</v>
      </c>
      <c r="G407" s="3001" t="s">
        <v>3055</v>
      </c>
    </row>
    <row r="408" spans="1:7" ht="14.25" thickBot="1">
      <c r="A408" s="2999">
        <v>407</v>
      </c>
      <c r="B408" s="3000" t="s">
        <v>3275</v>
      </c>
      <c r="C408" s="3000" t="s">
        <v>3264</v>
      </c>
      <c r="D408" s="3000" t="s">
        <v>70</v>
      </c>
      <c r="E408" s="3000">
        <v>606</v>
      </c>
      <c r="F408" s="3000">
        <v>69.47</v>
      </c>
      <c r="G408" s="3001" t="s">
        <v>3055</v>
      </c>
    </row>
    <row r="409" spans="1:7" ht="14.25" thickBot="1">
      <c r="A409" s="2999">
        <v>408</v>
      </c>
      <c r="B409" s="3000" t="s">
        <v>3275</v>
      </c>
      <c r="C409" s="3000" t="s">
        <v>3264</v>
      </c>
      <c r="D409" s="3000" t="s">
        <v>70</v>
      </c>
      <c r="E409" s="3000">
        <v>607</v>
      </c>
      <c r="F409" s="3000">
        <v>66.010000000000005</v>
      </c>
      <c r="G409" s="3001" t="s">
        <v>3055</v>
      </c>
    </row>
    <row r="410" spans="1:7" ht="14.25" thickBot="1">
      <c r="A410" s="2999">
        <v>409</v>
      </c>
      <c r="B410" s="3000" t="s">
        <v>3277</v>
      </c>
      <c r="C410" s="3000" t="s">
        <v>3257</v>
      </c>
      <c r="D410" s="3000" t="s">
        <v>3258</v>
      </c>
      <c r="E410" s="3000">
        <v>101</v>
      </c>
      <c r="F410" s="3000">
        <v>66.069999999999993</v>
      </c>
      <c r="G410" s="3001" t="s">
        <v>3055</v>
      </c>
    </row>
    <row r="411" spans="1:7" ht="14.25" thickBot="1">
      <c r="A411" s="2999">
        <v>410</v>
      </c>
      <c r="B411" s="3000" t="s">
        <v>3277</v>
      </c>
      <c r="C411" s="3000" t="s">
        <v>3257</v>
      </c>
      <c r="D411" s="3000" t="s">
        <v>3258</v>
      </c>
      <c r="E411" s="3000">
        <v>102</v>
      </c>
      <c r="F411" s="3000">
        <v>69.56</v>
      </c>
      <c r="G411" s="3001" t="s">
        <v>3055</v>
      </c>
    </row>
    <row r="412" spans="1:7" ht="14.25" thickBot="1">
      <c r="A412" s="2999">
        <v>411</v>
      </c>
      <c r="B412" s="3000" t="s">
        <v>3277</v>
      </c>
      <c r="C412" s="3000" t="s">
        <v>3257</v>
      </c>
      <c r="D412" s="3000" t="s">
        <v>3258</v>
      </c>
      <c r="E412" s="3000">
        <v>103</v>
      </c>
      <c r="F412" s="3000">
        <v>69.72</v>
      </c>
      <c r="G412" s="3001" t="s">
        <v>3055</v>
      </c>
    </row>
    <row r="413" spans="1:7" ht="14.25" thickBot="1">
      <c r="A413" s="2999">
        <v>412</v>
      </c>
      <c r="B413" s="3000" t="s">
        <v>3277</v>
      </c>
      <c r="C413" s="3000" t="s">
        <v>3257</v>
      </c>
      <c r="D413" s="3000" t="s">
        <v>3258</v>
      </c>
      <c r="E413" s="3000">
        <v>105</v>
      </c>
      <c r="F413" s="3000">
        <v>69.56</v>
      </c>
      <c r="G413" s="3001" t="s">
        <v>3055</v>
      </c>
    </row>
    <row r="414" spans="1:7" ht="14.25" thickBot="1">
      <c r="A414" s="2999">
        <v>413</v>
      </c>
      <c r="B414" s="3000" t="s">
        <v>3277</v>
      </c>
      <c r="C414" s="3000" t="s">
        <v>3257</v>
      </c>
      <c r="D414" s="3000" t="s">
        <v>3258</v>
      </c>
      <c r="E414" s="3000">
        <v>106</v>
      </c>
      <c r="F414" s="3000">
        <v>94.74</v>
      </c>
      <c r="G414" s="3001" t="s">
        <v>3055</v>
      </c>
    </row>
    <row r="415" spans="1:7" ht="14.25" thickBot="1">
      <c r="A415" s="2999">
        <v>414</v>
      </c>
      <c r="B415" s="3000" t="s">
        <v>3277</v>
      </c>
      <c r="C415" s="3000" t="s">
        <v>3257</v>
      </c>
      <c r="D415" s="3000" t="s">
        <v>3259</v>
      </c>
      <c r="E415" s="3000">
        <v>101</v>
      </c>
      <c r="F415" s="3000">
        <v>94.74</v>
      </c>
      <c r="G415" s="3001" t="s">
        <v>3055</v>
      </c>
    </row>
    <row r="416" spans="1:7" ht="14.25" thickBot="1">
      <c r="A416" s="2999">
        <v>415</v>
      </c>
      <c r="B416" s="3000" t="s">
        <v>3277</v>
      </c>
      <c r="C416" s="3000" t="s">
        <v>3257</v>
      </c>
      <c r="D416" s="3000" t="s">
        <v>3259</v>
      </c>
      <c r="E416" s="3000">
        <v>102</v>
      </c>
      <c r="F416" s="3000">
        <v>69.56</v>
      </c>
      <c r="G416" s="3001" t="s">
        <v>3055</v>
      </c>
    </row>
    <row r="417" spans="1:7" ht="14.25" thickBot="1">
      <c r="A417" s="2999">
        <v>416</v>
      </c>
      <c r="B417" s="3000" t="s">
        <v>3277</v>
      </c>
      <c r="C417" s="3000" t="s">
        <v>3257</v>
      </c>
      <c r="D417" s="3000" t="s">
        <v>3259</v>
      </c>
      <c r="E417" s="3000">
        <v>103</v>
      </c>
      <c r="F417" s="3000">
        <v>69.72</v>
      </c>
      <c r="G417" s="3001" t="s">
        <v>3055</v>
      </c>
    </row>
    <row r="418" spans="1:7" ht="14.25" thickBot="1">
      <c r="A418" s="2999">
        <v>417</v>
      </c>
      <c r="B418" s="3000" t="s">
        <v>3277</v>
      </c>
      <c r="C418" s="3000" t="s">
        <v>3257</v>
      </c>
      <c r="D418" s="3000" t="s">
        <v>3259</v>
      </c>
      <c r="E418" s="3000">
        <v>105</v>
      </c>
      <c r="F418" s="3000">
        <v>69.56</v>
      </c>
      <c r="G418" s="3001" t="s">
        <v>3055</v>
      </c>
    </row>
    <row r="419" spans="1:7" ht="14.25" thickBot="1">
      <c r="A419" s="2999">
        <v>418</v>
      </c>
      <c r="B419" s="3000" t="s">
        <v>3277</v>
      </c>
      <c r="C419" s="3000" t="s">
        <v>3257</v>
      </c>
      <c r="D419" s="3000" t="s">
        <v>3259</v>
      </c>
      <c r="E419" s="3000">
        <v>106</v>
      </c>
      <c r="F419" s="3000">
        <v>66.069999999999993</v>
      </c>
      <c r="G419" s="3001" t="s">
        <v>3055</v>
      </c>
    </row>
    <row r="420" spans="1:7" ht="14.25" thickBot="1">
      <c r="A420" s="2999">
        <v>419</v>
      </c>
      <c r="B420" s="3000" t="s">
        <v>3277</v>
      </c>
      <c r="C420" s="3000" t="s">
        <v>3260</v>
      </c>
      <c r="D420" s="3000" t="s">
        <v>3258</v>
      </c>
      <c r="E420" s="3000">
        <v>201</v>
      </c>
      <c r="F420" s="3000">
        <v>66.069999999999993</v>
      </c>
      <c r="G420" s="3001" t="s">
        <v>3055</v>
      </c>
    </row>
    <row r="421" spans="1:7" ht="14.25" thickBot="1">
      <c r="A421" s="2999">
        <v>420</v>
      </c>
      <c r="B421" s="3000" t="s">
        <v>3277</v>
      </c>
      <c r="C421" s="3000" t="s">
        <v>3260</v>
      </c>
      <c r="D421" s="3000" t="s">
        <v>3258</v>
      </c>
      <c r="E421" s="3000">
        <v>207</v>
      </c>
      <c r="F421" s="3000">
        <v>94.74</v>
      </c>
      <c r="G421" s="3001" t="s">
        <v>3055</v>
      </c>
    </row>
    <row r="422" spans="1:7" ht="14.25" thickBot="1">
      <c r="A422" s="2999">
        <v>421</v>
      </c>
      <c r="B422" s="3000" t="s">
        <v>3277</v>
      </c>
      <c r="C422" s="3000" t="s">
        <v>3260</v>
      </c>
      <c r="D422" s="3000" t="s">
        <v>3259</v>
      </c>
      <c r="E422" s="3000">
        <v>206</v>
      </c>
      <c r="F422" s="3000">
        <v>69.56</v>
      </c>
      <c r="G422" s="3001" t="s">
        <v>3055</v>
      </c>
    </row>
    <row r="423" spans="1:7" ht="14.25" thickBot="1">
      <c r="A423" s="2999">
        <v>422</v>
      </c>
      <c r="B423" s="3000" t="s">
        <v>3277</v>
      </c>
      <c r="C423" s="3000" t="s">
        <v>3260</v>
      </c>
      <c r="D423" s="3000" t="s">
        <v>3259</v>
      </c>
      <c r="E423" s="3000">
        <v>207</v>
      </c>
      <c r="F423" s="3000">
        <v>66.069999999999993</v>
      </c>
      <c r="G423" s="3001" t="s">
        <v>3055</v>
      </c>
    </row>
    <row r="424" spans="1:7" ht="14.25" thickBot="1">
      <c r="A424" s="2999">
        <v>423</v>
      </c>
      <c r="B424" s="3000" t="s">
        <v>3277</v>
      </c>
      <c r="C424" s="3000" t="s">
        <v>3261</v>
      </c>
      <c r="D424" s="3000" t="s">
        <v>3258</v>
      </c>
      <c r="E424" s="3000">
        <v>301</v>
      </c>
      <c r="F424" s="3000">
        <v>66.069999999999993</v>
      </c>
      <c r="G424" s="3001" t="s">
        <v>3055</v>
      </c>
    </row>
    <row r="425" spans="1:7" ht="14.25" thickBot="1">
      <c r="A425" s="2999">
        <v>424</v>
      </c>
      <c r="B425" s="3000" t="s">
        <v>3277</v>
      </c>
      <c r="C425" s="3000" t="s">
        <v>3261</v>
      </c>
      <c r="D425" s="3000" t="s">
        <v>3258</v>
      </c>
      <c r="E425" s="3000">
        <v>306</v>
      </c>
      <c r="F425" s="3000">
        <v>69.56</v>
      </c>
      <c r="G425" s="3001" t="s">
        <v>3055</v>
      </c>
    </row>
    <row r="426" spans="1:7" ht="14.25" thickBot="1">
      <c r="A426" s="2999">
        <v>425</v>
      </c>
      <c r="B426" s="3000" t="s">
        <v>3277</v>
      </c>
      <c r="C426" s="3000" t="s">
        <v>3261</v>
      </c>
      <c r="D426" s="3000" t="s">
        <v>3258</v>
      </c>
      <c r="E426" s="3000">
        <v>307</v>
      </c>
      <c r="F426" s="3000">
        <v>94.74</v>
      </c>
      <c r="G426" s="3001" t="s">
        <v>3055</v>
      </c>
    </row>
    <row r="427" spans="1:7" ht="14.25" thickBot="1">
      <c r="A427" s="2999">
        <v>426</v>
      </c>
      <c r="B427" s="3000" t="s">
        <v>3277</v>
      </c>
      <c r="C427" s="3000" t="s">
        <v>3261</v>
      </c>
      <c r="D427" s="3000" t="s">
        <v>3259</v>
      </c>
      <c r="E427" s="3000">
        <v>301</v>
      </c>
      <c r="F427" s="3000">
        <v>94.74</v>
      </c>
      <c r="G427" s="3001" t="s">
        <v>3055</v>
      </c>
    </row>
    <row r="428" spans="1:7" ht="14.25" thickBot="1">
      <c r="A428" s="2999">
        <v>427</v>
      </c>
      <c r="B428" s="3000" t="s">
        <v>3277</v>
      </c>
      <c r="C428" s="3000" t="s">
        <v>3261</v>
      </c>
      <c r="D428" s="3000" t="s">
        <v>3259</v>
      </c>
      <c r="E428" s="3000">
        <v>302</v>
      </c>
      <c r="F428" s="3000">
        <v>69.56</v>
      </c>
      <c r="G428" s="3001" t="s">
        <v>3055</v>
      </c>
    </row>
    <row r="429" spans="1:7" ht="14.25" thickBot="1">
      <c r="A429" s="2999">
        <v>428</v>
      </c>
      <c r="B429" s="3000" t="s">
        <v>3277</v>
      </c>
      <c r="C429" s="3000" t="s">
        <v>3261</v>
      </c>
      <c r="D429" s="3000" t="s">
        <v>3259</v>
      </c>
      <c r="E429" s="3000">
        <v>306</v>
      </c>
      <c r="F429" s="3000">
        <v>69.56</v>
      </c>
      <c r="G429" s="3001" t="s">
        <v>3055</v>
      </c>
    </row>
    <row r="430" spans="1:7" ht="14.25" thickBot="1">
      <c r="A430" s="2999">
        <v>429</v>
      </c>
      <c r="B430" s="3000" t="s">
        <v>3277</v>
      </c>
      <c r="C430" s="3000" t="s">
        <v>3262</v>
      </c>
      <c r="D430" s="3000" t="s">
        <v>3258</v>
      </c>
      <c r="E430" s="3000" t="s">
        <v>3145</v>
      </c>
      <c r="F430" s="3000">
        <v>66.069999999999993</v>
      </c>
      <c r="G430" s="3001" t="s">
        <v>3055</v>
      </c>
    </row>
    <row r="431" spans="1:7" ht="14.25" thickBot="1">
      <c r="A431" s="2999">
        <v>430</v>
      </c>
      <c r="B431" s="3000" t="s">
        <v>3277</v>
      </c>
      <c r="C431" s="3000" t="s">
        <v>3262</v>
      </c>
      <c r="D431" s="3000" t="s">
        <v>3258</v>
      </c>
      <c r="E431" s="3000" t="s">
        <v>3150</v>
      </c>
      <c r="F431" s="3000">
        <v>94.74</v>
      </c>
      <c r="G431" s="3001" t="s">
        <v>3055</v>
      </c>
    </row>
    <row r="432" spans="1:7" ht="14.25" thickBot="1">
      <c r="A432" s="2999">
        <v>431</v>
      </c>
      <c r="B432" s="3000" t="s">
        <v>3277</v>
      </c>
      <c r="C432" s="3000" t="s">
        <v>3262</v>
      </c>
      <c r="D432" s="3000" t="s">
        <v>3259</v>
      </c>
      <c r="E432" s="3000" t="s">
        <v>3145</v>
      </c>
      <c r="F432" s="3000">
        <v>94.74</v>
      </c>
      <c r="G432" s="3001" t="s">
        <v>3055</v>
      </c>
    </row>
    <row r="433" spans="1:7" ht="14.25" thickBot="1">
      <c r="A433" s="2999">
        <v>432</v>
      </c>
      <c r="B433" s="3000" t="s">
        <v>3277</v>
      </c>
      <c r="C433" s="3000" t="s">
        <v>3262</v>
      </c>
      <c r="D433" s="3000" t="s">
        <v>3259</v>
      </c>
      <c r="E433" s="3000" t="s">
        <v>3146</v>
      </c>
      <c r="F433" s="3000">
        <v>69.56</v>
      </c>
      <c r="G433" s="3001" t="s">
        <v>3055</v>
      </c>
    </row>
    <row r="434" spans="1:7" ht="14.25" thickBot="1">
      <c r="A434" s="2999">
        <v>433</v>
      </c>
      <c r="B434" s="3000" t="s">
        <v>3277</v>
      </c>
      <c r="C434" s="3000" t="s">
        <v>3262</v>
      </c>
      <c r="D434" s="3000" t="s">
        <v>3259</v>
      </c>
      <c r="E434" s="3000" t="s">
        <v>3149</v>
      </c>
      <c r="F434" s="3000">
        <v>69.56</v>
      </c>
      <c r="G434" s="3001" t="s">
        <v>3055</v>
      </c>
    </row>
    <row r="435" spans="1:7" ht="14.25" thickBot="1">
      <c r="A435" s="2999">
        <v>434</v>
      </c>
      <c r="B435" s="3000" t="s">
        <v>3277</v>
      </c>
      <c r="C435" s="3000" t="s">
        <v>3262</v>
      </c>
      <c r="D435" s="3000" t="s">
        <v>3259</v>
      </c>
      <c r="E435" s="3000" t="s">
        <v>3150</v>
      </c>
      <c r="F435" s="3000">
        <v>66.069999999999993</v>
      </c>
      <c r="G435" s="3001" t="s">
        <v>3055</v>
      </c>
    </row>
    <row r="436" spans="1:7" ht="14.25" thickBot="1">
      <c r="A436" s="2999">
        <v>435</v>
      </c>
      <c r="B436" s="3000" t="s">
        <v>3277</v>
      </c>
      <c r="C436" s="3000" t="s">
        <v>3263</v>
      </c>
      <c r="D436" s="3000" t="s">
        <v>3258</v>
      </c>
      <c r="E436" s="3000">
        <v>501</v>
      </c>
      <c r="F436" s="3000">
        <v>66.069999999999993</v>
      </c>
      <c r="G436" s="3001" t="s">
        <v>3055</v>
      </c>
    </row>
    <row r="437" spans="1:7" ht="14.25" thickBot="1">
      <c r="A437" s="2999">
        <v>436</v>
      </c>
      <c r="B437" s="3000" t="s">
        <v>3277</v>
      </c>
      <c r="C437" s="3000" t="s">
        <v>3263</v>
      </c>
      <c r="D437" s="3000" t="s">
        <v>3258</v>
      </c>
      <c r="E437" s="3000">
        <v>507</v>
      </c>
      <c r="F437" s="3000">
        <v>94.74</v>
      </c>
      <c r="G437" s="3001" t="s">
        <v>3055</v>
      </c>
    </row>
    <row r="438" spans="1:7" ht="14.25" thickBot="1">
      <c r="A438" s="2999">
        <v>437</v>
      </c>
      <c r="B438" s="3000" t="s">
        <v>3277</v>
      </c>
      <c r="C438" s="3000" t="s">
        <v>3263</v>
      </c>
      <c r="D438" s="3000" t="s">
        <v>3259</v>
      </c>
      <c r="E438" s="3000">
        <v>501</v>
      </c>
      <c r="F438" s="3000">
        <v>94.74</v>
      </c>
      <c r="G438" s="3001" t="s">
        <v>3055</v>
      </c>
    </row>
    <row r="439" spans="1:7" ht="14.25" thickBot="1">
      <c r="A439" s="2999">
        <v>438</v>
      </c>
      <c r="B439" s="3000" t="s">
        <v>3277</v>
      </c>
      <c r="C439" s="3000" t="s">
        <v>3263</v>
      </c>
      <c r="D439" s="3000" t="s">
        <v>3259</v>
      </c>
      <c r="E439" s="3000">
        <v>502</v>
      </c>
      <c r="F439" s="3000">
        <v>69.56</v>
      </c>
      <c r="G439" s="3001" t="s">
        <v>3055</v>
      </c>
    </row>
    <row r="440" spans="1:7" ht="14.25" thickBot="1">
      <c r="A440" s="2999">
        <v>439</v>
      </c>
      <c r="B440" s="3000" t="s">
        <v>3277</v>
      </c>
      <c r="C440" s="3000" t="s">
        <v>3263</v>
      </c>
      <c r="D440" s="3000" t="s">
        <v>3259</v>
      </c>
      <c r="E440" s="3000">
        <v>507</v>
      </c>
      <c r="F440" s="3000">
        <v>66.069999999999993</v>
      </c>
      <c r="G440" s="3001" t="s">
        <v>3055</v>
      </c>
    </row>
    <row r="441" spans="1:7" ht="14.25" thickBot="1">
      <c r="A441" s="2999">
        <v>440</v>
      </c>
      <c r="B441" s="3000" t="s">
        <v>3277</v>
      </c>
      <c r="C441" s="3000" t="s">
        <v>3264</v>
      </c>
      <c r="D441" s="3000" t="s">
        <v>3258</v>
      </c>
      <c r="E441" s="3000">
        <v>601</v>
      </c>
      <c r="F441" s="3000">
        <v>66.069999999999993</v>
      </c>
      <c r="G441" s="3001" t="s">
        <v>3055</v>
      </c>
    </row>
    <row r="442" spans="1:7" ht="14.25" thickBot="1">
      <c r="A442" s="2999">
        <v>441</v>
      </c>
      <c r="B442" s="3000" t="s">
        <v>3277</v>
      </c>
      <c r="C442" s="3000" t="s">
        <v>3264</v>
      </c>
      <c r="D442" s="3000" t="s">
        <v>3258</v>
      </c>
      <c r="E442" s="3000">
        <v>602</v>
      </c>
      <c r="F442" s="3000">
        <v>69.56</v>
      </c>
      <c r="G442" s="3001" t="s">
        <v>3055</v>
      </c>
    </row>
    <row r="443" spans="1:7" ht="14.25" thickBot="1">
      <c r="A443" s="2999">
        <v>442</v>
      </c>
      <c r="B443" s="3000" t="s">
        <v>3277</v>
      </c>
      <c r="C443" s="3000" t="s">
        <v>3264</v>
      </c>
      <c r="D443" s="3000" t="s">
        <v>3258</v>
      </c>
      <c r="E443" s="3000">
        <v>603</v>
      </c>
      <c r="F443" s="3000">
        <v>69.75</v>
      </c>
      <c r="G443" s="3001" t="s">
        <v>3055</v>
      </c>
    </row>
    <row r="444" spans="1:7" ht="14.25" thickBot="1">
      <c r="A444" s="2999">
        <v>443</v>
      </c>
      <c r="B444" s="3000" t="s">
        <v>3277</v>
      </c>
      <c r="C444" s="3000" t="s">
        <v>3264</v>
      </c>
      <c r="D444" s="3000" t="s">
        <v>3258</v>
      </c>
      <c r="E444" s="3000">
        <v>605</v>
      </c>
      <c r="F444" s="3000">
        <v>69.75</v>
      </c>
      <c r="G444" s="3001" t="s">
        <v>3055</v>
      </c>
    </row>
    <row r="445" spans="1:7" ht="14.25" thickBot="1">
      <c r="A445" s="2999">
        <v>444</v>
      </c>
      <c r="B445" s="3000" t="s">
        <v>3277</v>
      </c>
      <c r="C445" s="3000" t="s">
        <v>3264</v>
      </c>
      <c r="D445" s="3000" t="s">
        <v>3258</v>
      </c>
      <c r="E445" s="3000">
        <v>606</v>
      </c>
      <c r="F445" s="3000">
        <v>69.56</v>
      </c>
      <c r="G445" s="3001" t="s">
        <v>3055</v>
      </c>
    </row>
    <row r="446" spans="1:7" ht="14.25" thickBot="1">
      <c r="A446" s="2999">
        <v>445</v>
      </c>
      <c r="B446" s="3000" t="s">
        <v>3277</v>
      </c>
      <c r="C446" s="3000" t="s">
        <v>3264</v>
      </c>
      <c r="D446" s="3000" t="s">
        <v>3259</v>
      </c>
      <c r="E446" s="3000">
        <v>602</v>
      </c>
      <c r="F446" s="3000">
        <v>69.56</v>
      </c>
      <c r="G446" s="3001" t="s">
        <v>3055</v>
      </c>
    </row>
    <row r="447" spans="1:7" ht="14.25" thickBot="1">
      <c r="A447" s="2999">
        <v>446</v>
      </c>
      <c r="B447" s="3000" t="s">
        <v>3277</v>
      </c>
      <c r="C447" s="3000" t="s">
        <v>3264</v>
      </c>
      <c r="D447" s="3000" t="s">
        <v>3259</v>
      </c>
      <c r="E447" s="3000">
        <v>603</v>
      </c>
      <c r="F447" s="3000">
        <v>69.75</v>
      </c>
      <c r="G447" s="3001" t="s">
        <v>3055</v>
      </c>
    </row>
    <row r="448" spans="1:7" ht="14.25" thickBot="1">
      <c r="A448" s="2999">
        <v>447</v>
      </c>
      <c r="B448" s="3000" t="s">
        <v>3277</v>
      </c>
      <c r="C448" s="3000" t="s">
        <v>3264</v>
      </c>
      <c r="D448" s="3000" t="s">
        <v>3259</v>
      </c>
      <c r="E448" s="3000">
        <v>605</v>
      </c>
      <c r="F448" s="3000">
        <v>69.75</v>
      </c>
      <c r="G448" s="3001" t="s">
        <v>3055</v>
      </c>
    </row>
    <row r="449" spans="1:7" ht="14.25" thickBot="1">
      <c r="A449" s="2999">
        <v>448</v>
      </c>
      <c r="B449" s="3000" t="s">
        <v>3277</v>
      </c>
      <c r="C449" s="3000" t="s">
        <v>3264</v>
      </c>
      <c r="D449" s="3000" t="s">
        <v>3259</v>
      </c>
      <c r="E449" s="3000">
        <v>606</v>
      </c>
      <c r="F449" s="3000">
        <v>69.56</v>
      </c>
      <c r="G449" s="3001" t="s">
        <v>3055</v>
      </c>
    </row>
    <row r="450" spans="1:7" ht="14.25" thickBot="1">
      <c r="A450" s="2999">
        <v>449</v>
      </c>
      <c r="B450" s="3000" t="s">
        <v>3278</v>
      </c>
      <c r="C450" s="3002" t="s">
        <v>3257</v>
      </c>
      <c r="D450" s="3000" t="s">
        <v>70</v>
      </c>
      <c r="E450" s="3002">
        <v>102</v>
      </c>
      <c r="F450" s="3000">
        <v>94.78</v>
      </c>
      <c r="G450" s="3001" t="s">
        <v>3055</v>
      </c>
    </row>
    <row r="451" spans="1:7" ht="14.25" thickBot="1">
      <c r="A451" s="2999">
        <v>450</v>
      </c>
      <c r="B451" s="3000" t="s">
        <v>3278</v>
      </c>
      <c r="C451" s="3002" t="s">
        <v>3257</v>
      </c>
      <c r="D451" s="3000" t="s">
        <v>70</v>
      </c>
      <c r="E451" s="3002">
        <v>103</v>
      </c>
      <c r="F451" s="3000">
        <v>89.72</v>
      </c>
      <c r="G451" s="3001" t="s">
        <v>3055</v>
      </c>
    </row>
    <row r="452" spans="1:7" ht="14.25" thickBot="1">
      <c r="A452" s="2999">
        <v>451</v>
      </c>
      <c r="B452" s="3000" t="s">
        <v>3278</v>
      </c>
      <c r="C452" s="3002" t="s">
        <v>3257</v>
      </c>
      <c r="D452" s="3000" t="s">
        <v>70</v>
      </c>
      <c r="E452" s="3002">
        <v>106</v>
      </c>
      <c r="F452" s="3000">
        <v>95.5</v>
      </c>
      <c r="G452" s="3001" t="s">
        <v>3055</v>
      </c>
    </row>
    <row r="453" spans="1:7" ht="14.25" thickBot="1">
      <c r="A453" s="2999">
        <v>452</v>
      </c>
      <c r="B453" s="3000" t="s">
        <v>3278</v>
      </c>
      <c r="C453" s="3002" t="s">
        <v>3260</v>
      </c>
      <c r="D453" s="3000" t="s">
        <v>70</v>
      </c>
      <c r="E453" s="3002">
        <v>201</v>
      </c>
      <c r="F453" s="3000">
        <v>69.2</v>
      </c>
      <c r="G453" s="3001" t="s">
        <v>3055</v>
      </c>
    </row>
    <row r="454" spans="1:7" ht="14.25" thickBot="1">
      <c r="A454" s="2999">
        <v>453</v>
      </c>
      <c r="B454" s="3000" t="s">
        <v>3278</v>
      </c>
      <c r="C454" s="3002" t="s">
        <v>3260</v>
      </c>
      <c r="D454" s="3000" t="s">
        <v>70</v>
      </c>
      <c r="E454" s="3002">
        <v>202</v>
      </c>
      <c r="F454" s="3000">
        <v>94.76</v>
      </c>
      <c r="G454" s="3001" t="s">
        <v>3055</v>
      </c>
    </row>
    <row r="455" spans="1:7" ht="14.25" thickBot="1">
      <c r="A455" s="2999">
        <v>454</v>
      </c>
      <c r="B455" s="3000" t="s">
        <v>3278</v>
      </c>
      <c r="C455" s="3002" t="s">
        <v>3260</v>
      </c>
      <c r="D455" s="3000" t="s">
        <v>70</v>
      </c>
      <c r="E455" s="3002">
        <v>203</v>
      </c>
      <c r="F455" s="3000">
        <v>93.64</v>
      </c>
      <c r="G455" s="3001" t="s">
        <v>3055</v>
      </c>
    </row>
    <row r="456" spans="1:7" ht="14.25" thickBot="1">
      <c r="A456" s="2999">
        <v>455</v>
      </c>
      <c r="B456" s="3000" t="s">
        <v>3278</v>
      </c>
      <c r="C456" s="3002" t="s">
        <v>3260</v>
      </c>
      <c r="D456" s="3000" t="s">
        <v>70</v>
      </c>
      <c r="E456" s="3002">
        <v>205</v>
      </c>
      <c r="F456" s="3000">
        <v>93.64</v>
      </c>
      <c r="G456" s="3001" t="s">
        <v>3055</v>
      </c>
    </row>
    <row r="457" spans="1:7" ht="14.25" thickBot="1">
      <c r="A457" s="2999">
        <v>456</v>
      </c>
      <c r="B457" s="3000" t="s">
        <v>3278</v>
      </c>
      <c r="C457" s="3002" t="s">
        <v>3260</v>
      </c>
      <c r="D457" s="3000" t="s">
        <v>70</v>
      </c>
      <c r="E457" s="3002">
        <v>206</v>
      </c>
      <c r="F457" s="3000">
        <v>95.5</v>
      </c>
      <c r="G457" s="3001" t="s">
        <v>3055</v>
      </c>
    </row>
    <row r="458" spans="1:7" ht="14.25" thickBot="1">
      <c r="A458" s="2999">
        <v>457</v>
      </c>
      <c r="B458" s="3000" t="s">
        <v>3278</v>
      </c>
      <c r="C458" s="3002" t="s">
        <v>3260</v>
      </c>
      <c r="D458" s="3000" t="s">
        <v>70</v>
      </c>
      <c r="E458" s="3002">
        <v>207</v>
      </c>
      <c r="F458" s="3000">
        <v>69.2</v>
      </c>
      <c r="G458" s="3001" t="s">
        <v>3055</v>
      </c>
    </row>
    <row r="459" spans="1:7" ht="14.25" thickBot="1">
      <c r="A459" s="2999">
        <v>458</v>
      </c>
      <c r="B459" s="3000" t="s">
        <v>3278</v>
      </c>
      <c r="C459" s="3002" t="s">
        <v>3261</v>
      </c>
      <c r="D459" s="3000" t="s">
        <v>70</v>
      </c>
      <c r="E459" s="3002">
        <v>301</v>
      </c>
      <c r="F459" s="3000">
        <v>69.2</v>
      </c>
      <c r="G459" s="3001" t="s">
        <v>3055</v>
      </c>
    </row>
    <row r="460" spans="1:7" ht="14.25" thickBot="1">
      <c r="A460" s="2999">
        <v>459</v>
      </c>
      <c r="B460" s="3000" t="s">
        <v>3278</v>
      </c>
      <c r="C460" s="3002" t="s">
        <v>3261</v>
      </c>
      <c r="D460" s="3000" t="s">
        <v>70</v>
      </c>
      <c r="E460" s="3002">
        <v>302</v>
      </c>
      <c r="F460" s="3000">
        <v>94.76</v>
      </c>
      <c r="G460" s="3001" t="s">
        <v>3055</v>
      </c>
    </row>
    <row r="461" spans="1:7" ht="14.25" thickBot="1">
      <c r="A461" s="2999">
        <v>460</v>
      </c>
      <c r="B461" s="3000" t="s">
        <v>3278</v>
      </c>
      <c r="C461" s="3002" t="s">
        <v>3261</v>
      </c>
      <c r="D461" s="3000" t="s">
        <v>70</v>
      </c>
      <c r="E461" s="3002">
        <v>303</v>
      </c>
      <c r="F461" s="3000">
        <v>93.64</v>
      </c>
      <c r="G461" s="3001" t="s">
        <v>3055</v>
      </c>
    </row>
    <row r="462" spans="1:7" ht="14.25" thickBot="1">
      <c r="A462" s="2999">
        <v>461</v>
      </c>
      <c r="B462" s="3000" t="s">
        <v>3278</v>
      </c>
      <c r="C462" s="3002" t="s">
        <v>3261</v>
      </c>
      <c r="D462" s="3000" t="s">
        <v>70</v>
      </c>
      <c r="E462" s="3002">
        <v>305</v>
      </c>
      <c r="F462" s="3000">
        <v>93.64</v>
      </c>
      <c r="G462" s="3001" t="s">
        <v>3055</v>
      </c>
    </row>
    <row r="463" spans="1:7" ht="14.25" thickBot="1">
      <c r="A463" s="2999">
        <v>462</v>
      </c>
      <c r="B463" s="3000" t="s">
        <v>3278</v>
      </c>
      <c r="C463" s="3002" t="s">
        <v>3261</v>
      </c>
      <c r="D463" s="3000" t="s">
        <v>70</v>
      </c>
      <c r="E463" s="3002">
        <v>306</v>
      </c>
      <c r="F463" s="3000">
        <v>95.5</v>
      </c>
      <c r="G463" s="3001" t="s">
        <v>3055</v>
      </c>
    </row>
    <row r="464" spans="1:7" ht="14.25" thickBot="1">
      <c r="A464" s="2999">
        <v>463</v>
      </c>
      <c r="B464" s="3000" t="s">
        <v>3278</v>
      </c>
      <c r="C464" s="3002" t="s">
        <v>3261</v>
      </c>
      <c r="D464" s="3000" t="s">
        <v>70</v>
      </c>
      <c r="E464" s="3002">
        <v>307</v>
      </c>
      <c r="F464" s="3000">
        <v>69.2</v>
      </c>
      <c r="G464" s="3001" t="s">
        <v>3055</v>
      </c>
    </row>
    <row r="465" spans="1:7" ht="14.25" thickBot="1">
      <c r="A465" s="2999">
        <v>464</v>
      </c>
      <c r="B465" s="3000" t="s">
        <v>3278</v>
      </c>
      <c r="C465" s="3002" t="s">
        <v>3262</v>
      </c>
      <c r="D465" s="3000" t="s">
        <v>70</v>
      </c>
      <c r="E465" s="3002" t="s">
        <v>3145</v>
      </c>
      <c r="F465" s="3000">
        <v>69.2</v>
      </c>
      <c r="G465" s="3001" t="s">
        <v>3055</v>
      </c>
    </row>
    <row r="466" spans="1:7" ht="14.25" thickBot="1">
      <c r="A466" s="2999">
        <v>465</v>
      </c>
      <c r="B466" s="3000" t="s">
        <v>3278</v>
      </c>
      <c r="C466" s="3002" t="s">
        <v>3262</v>
      </c>
      <c r="D466" s="3000" t="s">
        <v>70</v>
      </c>
      <c r="E466" s="3002" t="s">
        <v>3146</v>
      </c>
      <c r="F466" s="3000">
        <v>94.76</v>
      </c>
      <c r="G466" s="3001" t="s">
        <v>3055</v>
      </c>
    </row>
    <row r="467" spans="1:7" ht="14.25" thickBot="1">
      <c r="A467" s="2999">
        <v>466</v>
      </c>
      <c r="B467" s="3000" t="s">
        <v>3278</v>
      </c>
      <c r="C467" s="3002" t="s">
        <v>3262</v>
      </c>
      <c r="D467" s="3000" t="s">
        <v>70</v>
      </c>
      <c r="E467" s="3002" t="s">
        <v>3147</v>
      </c>
      <c r="F467" s="3000">
        <v>93.64</v>
      </c>
      <c r="G467" s="3001" t="s">
        <v>3055</v>
      </c>
    </row>
    <row r="468" spans="1:7" ht="14.25" thickBot="1">
      <c r="A468" s="2999">
        <v>467</v>
      </c>
      <c r="B468" s="3000" t="s">
        <v>3278</v>
      </c>
      <c r="C468" s="3002" t="s">
        <v>3262</v>
      </c>
      <c r="D468" s="3000" t="s">
        <v>70</v>
      </c>
      <c r="E468" s="3002" t="s">
        <v>3148</v>
      </c>
      <c r="F468" s="3000">
        <v>93.64</v>
      </c>
      <c r="G468" s="3001" t="s">
        <v>3055</v>
      </c>
    </row>
    <row r="469" spans="1:7" ht="14.25" thickBot="1">
      <c r="A469" s="2999">
        <v>468</v>
      </c>
      <c r="B469" s="3000" t="s">
        <v>3278</v>
      </c>
      <c r="C469" s="3002" t="s">
        <v>3262</v>
      </c>
      <c r="D469" s="3000" t="s">
        <v>70</v>
      </c>
      <c r="E469" s="3002" t="s">
        <v>3149</v>
      </c>
      <c r="F469" s="3000">
        <v>95.5</v>
      </c>
      <c r="G469" s="3001" t="s">
        <v>3055</v>
      </c>
    </row>
    <row r="470" spans="1:7" ht="14.25" thickBot="1">
      <c r="A470" s="2999">
        <v>469</v>
      </c>
      <c r="B470" s="3000" t="s">
        <v>3278</v>
      </c>
      <c r="C470" s="3002" t="s">
        <v>3262</v>
      </c>
      <c r="D470" s="3000" t="s">
        <v>70</v>
      </c>
      <c r="E470" s="3002" t="s">
        <v>3150</v>
      </c>
      <c r="F470" s="3000">
        <v>69.2</v>
      </c>
      <c r="G470" s="3001" t="s">
        <v>3055</v>
      </c>
    </row>
    <row r="471" spans="1:7" ht="14.25" thickBot="1">
      <c r="A471" s="2999">
        <v>470</v>
      </c>
      <c r="B471" s="3000" t="s">
        <v>3278</v>
      </c>
      <c r="C471" s="3002" t="s">
        <v>3263</v>
      </c>
      <c r="D471" s="3000" t="s">
        <v>70</v>
      </c>
      <c r="E471" s="3002">
        <v>501</v>
      </c>
      <c r="F471" s="3000">
        <v>69.2</v>
      </c>
      <c r="G471" s="3001" t="s">
        <v>3055</v>
      </c>
    </row>
    <row r="472" spans="1:7" ht="14.25" thickBot="1">
      <c r="A472" s="2999">
        <v>471</v>
      </c>
      <c r="B472" s="3000" t="s">
        <v>3278</v>
      </c>
      <c r="C472" s="3002" t="s">
        <v>3263</v>
      </c>
      <c r="D472" s="3000" t="s">
        <v>70</v>
      </c>
      <c r="E472" s="3002">
        <v>502</v>
      </c>
      <c r="F472" s="3000">
        <v>94.76</v>
      </c>
      <c r="G472" s="3001" t="s">
        <v>3055</v>
      </c>
    </row>
    <row r="473" spans="1:7" ht="14.25" thickBot="1">
      <c r="A473" s="2999">
        <v>472</v>
      </c>
      <c r="B473" s="3000" t="s">
        <v>3278</v>
      </c>
      <c r="C473" s="3002" t="s">
        <v>3263</v>
      </c>
      <c r="D473" s="3000" t="s">
        <v>70</v>
      </c>
      <c r="E473" s="3002">
        <v>503</v>
      </c>
      <c r="F473" s="3000">
        <v>93.64</v>
      </c>
      <c r="G473" s="3001" t="s">
        <v>3055</v>
      </c>
    </row>
    <row r="474" spans="1:7" ht="14.25" thickBot="1">
      <c r="A474" s="2999">
        <v>473</v>
      </c>
      <c r="B474" s="3000" t="s">
        <v>3278</v>
      </c>
      <c r="C474" s="3002" t="s">
        <v>3263</v>
      </c>
      <c r="D474" s="3000" t="s">
        <v>70</v>
      </c>
      <c r="E474" s="3002">
        <v>505</v>
      </c>
      <c r="F474" s="3000">
        <v>93.64</v>
      </c>
      <c r="G474" s="3001" t="s">
        <v>3055</v>
      </c>
    </row>
    <row r="475" spans="1:7" ht="14.25" thickBot="1">
      <c r="A475" s="2999">
        <v>474</v>
      </c>
      <c r="B475" s="3000" t="s">
        <v>3278</v>
      </c>
      <c r="C475" s="3002" t="s">
        <v>3263</v>
      </c>
      <c r="D475" s="3000" t="s">
        <v>70</v>
      </c>
      <c r="E475" s="3002">
        <v>506</v>
      </c>
      <c r="F475" s="3000">
        <v>95.5</v>
      </c>
      <c r="G475" s="3001" t="s">
        <v>3055</v>
      </c>
    </row>
    <row r="476" spans="1:7" ht="14.25" thickBot="1">
      <c r="A476" s="2999">
        <v>475</v>
      </c>
      <c r="B476" s="3000" t="s">
        <v>3278</v>
      </c>
      <c r="C476" s="3002" t="s">
        <v>3263</v>
      </c>
      <c r="D476" s="3000" t="s">
        <v>70</v>
      </c>
      <c r="E476" s="3002">
        <v>507</v>
      </c>
      <c r="F476" s="3000">
        <v>69.2</v>
      </c>
      <c r="G476" s="3001" t="s">
        <v>3055</v>
      </c>
    </row>
    <row r="477" spans="1:7" ht="14.25" thickBot="1">
      <c r="A477" s="2999">
        <v>476</v>
      </c>
      <c r="B477" s="3000" t="s">
        <v>3278</v>
      </c>
      <c r="C477" s="3002" t="s">
        <v>3264</v>
      </c>
      <c r="D477" s="3000" t="s">
        <v>70</v>
      </c>
      <c r="E477" s="3002">
        <v>601</v>
      </c>
      <c r="F477" s="3000">
        <v>69.2</v>
      </c>
      <c r="G477" s="3001" t="s">
        <v>3055</v>
      </c>
    </row>
    <row r="478" spans="1:7" ht="14.25" thickBot="1">
      <c r="A478" s="2999">
        <v>477</v>
      </c>
      <c r="B478" s="3000" t="s">
        <v>3278</v>
      </c>
      <c r="C478" s="3002" t="s">
        <v>3264</v>
      </c>
      <c r="D478" s="3000" t="s">
        <v>70</v>
      </c>
      <c r="E478" s="3002">
        <v>602</v>
      </c>
      <c r="F478" s="3000">
        <v>94.76</v>
      </c>
      <c r="G478" s="3001" t="s">
        <v>3055</v>
      </c>
    </row>
    <row r="479" spans="1:7" ht="14.25" thickBot="1">
      <c r="A479" s="2999">
        <v>478</v>
      </c>
      <c r="B479" s="3000" t="s">
        <v>3278</v>
      </c>
      <c r="C479" s="3002" t="s">
        <v>3264</v>
      </c>
      <c r="D479" s="3000" t="s">
        <v>70</v>
      </c>
      <c r="E479" s="3002">
        <v>603</v>
      </c>
      <c r="F479" s="3000">
        <v>93.64</v>
      </c>
      <c r="G479" s="3001" t="s">
        <v>3055</v>
      </c>
    </row>
    <row r="480" spans="1:7" ht="14.25" thickBot="1">
      <c r="A480" s="2999">
        <v>479</v>
      </c>
      <c r="B480" s="3000" t="s">
        <v>3278</v>
      </c>
      <c r="C480" s="3002" t="s">
        <v>3264</v>
      </c>
      <c r="D480" s="3000" t="s">
        <v>70</v>
      </c>
      <c r="E480" s="3002">
        <v>605</v>
      </c>
      <c r="F480" s="3000">
        <v>93.64</v>
      </c>
      <c r="G480" s="3001" t="s">
        <v>3055</v>
      </c>
    </row>
    <row r="481" spans="1:7" ht="14.25" thickBot="1">
      <c r="A481" s="2999">
        <v>480</v>
      </c>
      <c r="B481" s="3000" t="s">
        <v>3278</v>
      </c>
      <c r="C481" s="3002" t="s">
        <v>3264</v>
      </c>
      <c r="D481" s="3000" t="s">
        <v>70</v>
      </c>
      <c r="E481" s="3002">
        <v>606</v>
      </c>
      <c r="F481" s="3000">
        <v>95.5</v>
      </c>
      <c r="G481" s="3001" t="s">
        <v>3055</v>
      </c>
    </row>
    <row r="482" spans="1:7" ht="14.25" thickBot="1">
      <c r="A482" s="2999">
        <v>481</v>
      </c>
      <c r="B482" s="3000" t="s">
        <v>3278</v>
      </c>
      <c r="C482" s="3002" t="s">
        <v>3264</v>
      </c>
      <c r="D482" s="3000" t="s">
        <v>70</v>
      </c>
      <c r="E482" s="3002">
        <v>607</v>
      </c>
      <c r="F482" s="3000">
        <v>69.2</v>
      </c>
      <c r="G482" s="3001" t="s">
        <v>3055</v>
      </c>
    </row>
    <row r="483" spans="1:7" ht="14.25" thickBot="1">
      <c r="A483" s="2999">
        <v>482</v>
      </c>
      <c r="B483" s="3000" t="s">
        <v>3279</v>
      </c>
      <c r="C483" s="3002" t="s">
        <v>3257</v>
      </c>
      <c r="D483" s="3000" t="s">
        <v>70</v>
      </c>
      <c r="E483" s="3002">
        <v>102</v>
      </c>
      <c r="F483" s="3000">
        <v>94.84</v>
      </c>
      <c r="G483" s="3001" t="s">
        <v>3055</v>
      </c>
    </row>
    <row r="484" spans="1:7" ht="14.25" thickBot="1">
      <c r="A484" s="2999">
        <v>483</v>
      </c>
      <c r="B484" s="3000" t="s">
        <v>3279</v>
      </c>
      <c r="C484" s="3002" t="s">
        <v>3257</v>
      </c>
      <c r="D484" s="3000" t="s">
        <v>70</v>
      </c>
      <c r="E484" s="3002">
        <v>103</v>
      </c>
      <c r="F484" s="3000">
        <v>89.78</v>
      </c>
      <c r="G484" s="3001" t="s">
        <v>3055</v>
      </c>
    </row>
    <row r="485" spans="1:7" ht="14.25" thickBot="1">
      <c r="A485" s="2999">
        <v>484</v>
      </c>
      <c r="B485" s="3000" t="s">
        <v>3279</v>
      </c>
      <c r="C485" s="3002" t="s">
        <v>3257</v>
      </c>
      <c r="D485" s="3000" t="s">
        <v>70</v>
      </c>
      <c r="E485" s="3002">
        <v>106</v>
      </c>
      <c r="F485" s="3000">
        <v>95.56</v>
      </c>
      <c r="G485" s="3001" t="s">
        <v>3055</v>
      </c>
    </row>
    <row r="486" spans="1:7" ht="14.25" thickBot="1">
      <c r="A486" s="2999">
        <v>485</v>
      </c>
      <c r="B486" s="3000" t="s">
        <v>3279</v>
      </c>
      <c r="C486" s="3002" t="s">
        <v>3260</v>
      </c>
      <c r="D486" s="3000" t="s">
        <v>70</v>
      </c>
      <c r="E486" s="3002">
        <v>201</v>
      </c>
      <c r="F486" s="3000">
        <v>69.25</v>
      </c>
      <c r="G486" s="3001" t="s">
        <v>3055</v>
      </c>
    </row>
    <row r="487" spans="1:7" ht="14.25" thickBot="1">
      <c r="A487" s="2999">
        <v>486</v>
      </c>
      <c r="B487" s="3000" t="s">
        <v>3279</v>
      </c>
      <c r="C487" s="3002" t="s">
        <v>3260</v>
      </c>
      <c r="D487" s="3000" t="s">
        <v>70</v>
      </c>
      <c r="E487" s="3002">
        <v>202</v>
      </c>
      <c r="F487" s="3000">
        <v>94.83</v>
      </c>
      <c r="G487" s="3001" t="s">
        <v>3055</v>
      </c>
    </row>
    <row r="488" spans="1:7" ht="14.25" thickBot="1">
      <c r="A488" s="2999">
        <v>487</v>
      </c>
      <c r="B488" s="3000" t="s">
        <v>3279</v>
      </c>
      <c r="C488" s="3002" t="s">
        <v>3260</v>
      </c>
      <c r="D488" s="3000" t="s">
        <v>70</v>
      </c>
      <c r="E488" s="3002">
        <v>203</v>
      </c>
      <c r="F488" s="3000">
        <v>93.7</v>
      </c>
      <c r="G488" s="3001" t="s">
        <v>3055</v>
      </c>
    </row>
    <row r="489" spans="1:7" ht="14.25" thickBot="1">
      <c r="A489" s="2999">
        <v>488</v>
      </c>
      <c r="B489" s="3000" t="s">
        <v>3279</v>
      </c>
      <c r="C489" s="3002" t="s">
        <v>3260</v>
      </c>
      <c r="D489" s="3000" t="s">
        <v>70</v>
      </c>
      <c r="E489" s="3002">
        <v>205</v>
      </c>
      <c r="F489" s="3000">
        <v>93.7</v>
      </c>
      <c r="G489" s="3001" t="s">
        <v>3055</v>
      </c>
    </row>
    <row r="490" spans="1:7" ht="14.25" thickBot="1">
      <c r="A490" s="2999">
        <v>489</v>
      </c>
      <c r="B490" s="3000" t="s">
        <v>3279</v>
      </c>
      <c r="C490" s="3002" t="s">
        <v>3260</v>
      </c>
      <c r="D490" s="3000" t="s">
        <v>70</v>
      </c>
      <c r="E490" s="3002">
        <v>206</v>
      </c>
      <c r="F490" s="3000">
        <v>95.56</v>
      </c>
      <c r="G490" s="3001" t="s">
        <v>3055</v>
      </c>
    </row>
    <row r="491" spans="1:7" ht="14.25" thickBot="1">
      <c r="A491" s="2999">
        <v>490</v>
      </c>
      <c r="B491" s="3000" t="s">
        <v>3279</v>
      </c>
      <c r="C491" s="3002" t="s">
        <v>3260</v>
      </c>
      <c r="D491" s="3000" t="s">
        <v>70</v>
      </c>
      <c r="E491" s="3002">
        <v>207</v>
      </c>
      <c r="F491" s="3000">
        <v>69.25</v>
      </c>
      <c r="G491" s="3001" t="s">
        <v>3055</v>
      </c>
    </row>
    <row r="492" spans="1:7" ht="14.25" thickBot="1">
      <c r="A492" s="2999">
        <v>491</v>
      </c>
      <c r="B492" s="3000" t="s">
        <v>3279</v>
      </c>
      <c r="C492" s="3002" t="s">
        <v>3261</v>
      </c>
      <c r="D492" s="3000" t="s">
        <v>70</v>
      </c>
      <c r="E492" s="3002">
        <v>301</v>
      </c>
      <c r="F492" s="3000">
        <v>69.25</v>
      </c>
      <c r="G492" s="3001" t="s">
        <v>3055</v>
      </c>
    </row>
    <row r="493" spans="1:7" ht="14.25" thickBot="1">
      <c r="A493" s="2999">
        <v>492</v>
      </c>
      <c r="B493" s="3000" t="s">
        <v>3279</v>
      </c>
      <c r="C493" s="3002" t="s">
        <v>3261</v>
      </c>
      <c r="D493" s="3000" t="s">
        <v>70</v>
      </c>
      <c r="E493" s="3002">
        <v>302</v>
      </c>
      <c r="F493" s="3000">
        <v>94.83</v>
      </c>
      <c r="G493" s="3001" t="s">
        <v>3055</v>
      </c>
    </row>
    <row r="494" spans="1:7" ht="14.25" thickBot="1">
      <c r="A494" s="2999">
        <v>493</v>
      </c>
      <c r="B494" s="3000" t="s">
        <v>3279</v>
      </c>
      <c r="C494" s="3002" t="s">
        <v>3261</v>
      </c>
      <c r="D494" s="3000" t="s">
        <v>70</v>
      </c>
      <c r="E494" s="3002">
        <v>303</v>
      </c>
      <c r="F494" s="3000">
        <v>93.7</v>
      </c>
      <c r="G494" s="3001" t="s">
        <v>3055</v>
      </c>
    </row>
    <row r="495" spans="1:7" ht="14.25" thickBot="1">
      <c r="A495" s="2999">
        <v>494</v>
      </c>
      <c r="B495" s="3000" t="s">
        <v>3279</v>
      </c>
      <c r="C495" s="3002" t="s">
        <v>3261</v>
      </c>
      <c r="D495" s="3000" t="s">
        <v>70</v>
      </c>
      <c r="E495" s="3002">
        <v>305</v>
      </c>
      <c r="F495" s="3000">
        <v>93.7</v>
      </c>
      <c r="G495" s="3001" t="s">
        <v>3055</v>
      </c>
    </row>
    <row r="496" spans="1:7" ht="14.25" thickBot="1">
      <c r="A496" s="2999">
        <v>495</v>
      </c>
      <c r="B496" s="3000" t="s">
        <v>3279</v>
      </c>
      <c r="C496" s="3002" t="s">
        <v>3261</v>
      </c>
      <c r="D496" s="3000" t="s">
        <v>70</v>
      </c>
      <c r="E496" s="3002">
        <v>306</v>
      </c>
      <c r="F496" s="3000">
        <v>95.56</v>
      </c>
      <c r="G496" s="3001" t="s">
        <v>3055</v>
      </c>
    </row>
    <row r="497" spans="1:7" ht="14.25" thickBot="1">
      <c r="A497" s="2999">
        <v>496</v>
      </c>
      <c r="B497" s="3000" t="s">
        <v>3279</v>
      </c>
      <c r="C497" s="3002" t="s">
        <v>3261</v>
      </c>
      <c r="D497" s="3000" t="s">
        <v>70</v>
      </c>
      <c r="E497" s="3002">
        <v>307</v>
      </c>
      <c r="F497" s="3000">
        <v>69.25</v>
      </c>
      <c r="G497" s="3001" t="s">
        <v>3055</v>
      </c>
    </row>
    <row r="498" spans="1:7" ht="14.25" thickBot="1">
      <c r="A498" s="2999">
        <v>497</v>
      </c>
      <c r="B498" s="3000" t="s">
        <v>3279</v>
      </c>
      <c r="C498" s="3002" t="s">
        <v>3262</v>
      </c>
      <c r="D498" s="3000" t="s">
        <v>70</v>
      </c>
      <c r="E498" s="3002" t="s">
        <v>3145</v>
      </c>
      <c r="F498" s="3000">
        <v>69.25</v>
      </c>
      <c r="G498" s="3001" t="s">
        <v>3055</v>
      </c>
    </row>
    <row r="499" spans="1:7" ht="14.25" thickBot="1">
      <c r="A499" s="2999">
        <v>498</v>
      </c>
      <c r="B499" s="3000" t="s">
        <v>3279</v>
      </c>
      <c r="C499" s="3002" t="s">
        <v>3262</v>
      </c>
      <c r="D499" s="3000" t="s">
        <v>70</v>
      </c>
      <c r="E499" s="3002" t="s">
        <v>3146</v>
      </c>
      <c r="F499" s="3000">
        <v>94.83</v>
      </c>
      <c r="G499" s="3001" t="s">
        <v>3055</v>
      </c>
    </row>
    <row r="500" spans="1:7" ht="14.25" thickBot="1">
      <c r="A500" s="2999">
        <v>499</v>
      </c>
      <c r="B500" s="3000" t="s">
        <v>3279</v>
      </c>
      <c r="C500" s="3002" t="s">
        <v>3262</v>
      </c>
      <c r="D500" s="3000" t="s">
        <v>70</v>
      </c>
      <c r="E500" s="3002" t="s">
        <v>3147</v>
      </c>
      <c r="F500" s="3000">
        <v>93.7</v>
      </c>
      <c r="G500" s="3001" t="s">
        <v>3055</v>
      </c>
    </row>
    <row r="501" spans="1:7" ht="14.25" thickBot="1">
      <c r="A501" s="2999">
        <v>500</v>
      </c>
      <c r="B501" s="3000" t="s">
        <v>3279</v>
      </c>
      <c r="C501" s="3002" t="s">
        <v>3262</v>
      </c>
      <c r="D501" s="3000" t="s">
        <v>70</v>
      </c>
      <c r="E501" s="3002" t="s">
        <v>3148</v>
      </c>
      <c r="F501" s="3000">
        <v>93.7</v>
      </c>
      <c r="G501" s="3001" t="s">
        <v>3055</v>
      </c>
    </row>
    <row r="502" spans="1:7" ht="14.25" thickBot="1">
      <c r="A502" s="2999">
        <v>501</v>
      </c>
      <c r="B502" s="3000" t="s">
        <v>3279</v>
      </c>
      <c r="C502" s="3002" t="s">
        <v>3262</v>
      </c>
      <c r="D502" s="3000" t="s">
        <v>70</v>
      </c>
      <c r="E502" s="3002" t="s">
        <v>3149</v>
      </c>
      <c r="F502" s="3000">
        <v>95.56</v>
      </c>
      <c r="G502" s="3001" t="s">
        <v>3055</v>
      </c>
    </row>
    <row r="503" spans="1:7" ht="14.25" thickBot="1">
      <c r="A503" s="2999">
        <v>502</v>
      </c>
      <c r="B503" s="3000" t="s">
        <v>3279</v>
      </c>
      <c r="C503" s="3002" t="s">
        <v>3262</v>
      </c>
      <c r="D503" s="3000" t="s">
        <v>70</v>
      </c>
      <c r="E503" s="3002" t="s">
        <v>3150</v>
      </c>
      <c r="F503" s="3000">
        <v>69.25</v>
      </c>
      <c r="G503" s="3001" t="s">
        <v>3055</v>
      </c>
    </row>
    <row r="504" spans="1:7" ht="14.25" thickBot="1">
      <c r="A504" s="2999">
        <v>503</v>
      </c>
      <c r="B504" s="3000" t="s">
        <v>3279</v>
      </c>
      <c r="C504" s="3002" t="s">
        <v>3263</v>
      </c>
      <c r="D504" s="3000" t="s">
        <v>70</v>
      </c>
      <c r="E504" s="3002">
        <v>501</v>
      </c>
      <c r="F504" s="3000">
        <v>69.25</v>
      </c>
      <c r="G504" s="3001" t="s">
        <v>3055</v>
      </c>
    </row>
    <row r="505" spans="1:7" ht="14.25" thickBot="1">
      <c r="A505" s="2999">
        <v>504</v>
      </c>
      <c r="B505" s="3000" t="s">
        <v>3279</v>
      </c>
      <c r="C505" s="3002" t="s">
        <v>3263</v>
      </c>
      <c r="D505" s="3000" t="s">
        <v>70</v>
      </c>
      <c r="E505" s="3002">
        <v>502</v>
      </c>
      <c r="F505" s="3000">
        <v>94.83</v>
      </c>
      <c r="G505" s="3001" t="s">
        <v>3055</v>
      </c>
    </row>
    <row r="506" spans="1:7" ht="14.25" thickBot="1">
      <c r="A506" s="2999">
        <v>505</v>
      </c>
      <c r="B506" s="3000" t="s">
        <v>3279</v>
      </c>
      <c r="C506" s="3002" t="s">
        <v>3263</v>
      </c>
      <c r="D506" s="3000" t="s">
        <v>70</v>
      </c>
      <c r="E506" s="3002">
        <v>503</v>
      </c>
      <c r="F506" s="3000">
        <v>93.7</v>
      </c>
      <c r="G506" s="3001" t="s">
        <v>3055</v>
      </c>
    </row>
    <row r="507" spans="1:7" ht="14.25" thickBot="1">
      <c r="A507" s="2999">
        <v>506</v>
      </c>
      <c r="B507" s="3000" t="s">
        <v>3279</v>
      </c>
      <c r="C507" s="3002" t="s">
        <v>3263</v>
      </c>
      <c r="D507" s="3000" t="s">
        <v>70</v>
      </c>
      <c r="E507" s="3002">
        <v>505</v>
      </c>
      <c r="F507" s="3000">
        <v>93.7</v>
      </c>
      <c r="G507" s="3001" t="s">
        <v>3055</v>
      </c>
    </row>
    <row r="508" spans="1:7" ht="14.25" thickBot="1">
      <c r="A508" s="2999">
        <v>507</v>
      </c>
      <c r="B508" s="3000" t="s">
        <v>3279</v>
      </c>
      <c r="C508" s="3002" t="s">
        <v>3263</v>
      </c>
      <c r="D508" s="3000" t="s">
        <v>70</v>
      </c>
      <c r="E508" s="3002">
        <v>506</v>
      </c>
      <c r="F508" s="3000">
        <v>95.56</v>
      </c>
      <c r="G508" s="3001" t="s">
        <v>3055</v>
      </c>
    </row>
    <row r="509" spans="1:7" ht="14.25" thickBot="1">
      <c r="A509" s="2999">
        <v>508</v>
      </c>
      <c r="B509" s="3000" t="s">
        <v>3279</v>
      </c>
      <c r="C509" s="3002" t="s">
        <v>3263</v>
      </c>
      <c r="D509" s="3000" t="s">
        <v>70</v>
      </c>
      <c r="E509" s="3002">
        <v>507</v>
      </c>
      <c r="F509" s="3000">
        <v>69.25</v>
      </c>
      <c r="G509" s="3001" t="s">
        <v>3055</v>
      </c>
    </row>
    <row r="510" spans="1:7" ht="14.25" thickBot="1">
      <c r="A510" s="2999">
        <v>509</v>
      </c>
      <c r="B510" s="3000" t="s">
        <v>3279</v>
      </c>
      <c r="C510" s="3002" t="s">
        <v>3264</v>
      </c>
      <c r="D510" s="3000" t="s">
        <v>70</v>
      </c>
      <c r="E510" s="3002">
        <v>601</v>
      </c>
      <c r="F510" s="3000">
        <v>69.25</v>
      </c>
      <c r="G510" s="3001" t="s">
        <v>3055</v>
      </c>
    </row>
    <row r="511" spans="1:7" ht="14.25" thickBot="1">
      <c r="A511" s="2999">
        <v>510</v>
      </c>
      <c r="B511" s="3000" t="s">
        <v>3279</v>
      </c>
      <c r="C511" s="3002" t="s">
        <v>3264</v>
      </c>
      <c r="D511" s="3000" t="s">
        <v>70</v>
      </c>
      <c r="E511" s="3002">
        <v>602</v>
      </c>
      <c r="F511" s="3000">
        <v>94.83</v>
      </c>
      <c r="G511" s="3001" t="s">
        <v>3055</v>
      </c>
    </row>
    <row r="512" spans="1:7" ht="14.25" thickBot="1">
      <c r="A512" s="2999">
        <v>511</v>
      </c>
      <c r="B512" s="3000" t="s">
        <v>3279</v>
      </c>
      <c r="C512" s="3002" t="s">
        <v>3264</v>
      </c>
      <c r="D512" s="3000" t="s">
        <v>70</v>
      </c>
      <c r="E512" s="3002">
        <v>603</v>
      </c>
      <c r="F512" s="3000">
        <v>93.7</v>
      </c>
      <c r="G512" s="3001" t="s">
        <v>3055</v>
      </c>
    </row>
    <row r="513" spans="1:7" ht="14.25" thickBot="1">
      <c r="A513" s="2999">
        <v>512</v>
      </c>
      <c r="B513" s="3000" t="s">
        <v>3279</v>
      </c>
      <c r="C513" s="3002" t="s">
        <v>3264</v>
      </c>
      <c r="D513" s="3000" t="s">
        <v>70</v>
      </c>
      <c r="E513" s="3002">
        <v>605</v>
      </c>
      <c r="F513" s="3000">
        <v>93.7</v>
      </c>
      <c r="G513" s="3001" t="s">
        <v>3055</v>
      </c>
    </row>
    <row r="514" spans="1:7" ht="14.25" thickBot="1">
      <c r="A514" s="2999">
        <v>513</v>
      </c>
      <c r="B514" s="3000" t="s">
        <v>3279</v>
      </c>
      <c r="C514" s="3002" t="s">
        <v>3264</v>
      </c>
      <c r="D514" s="3000" t="s">
        <v>70</v>
      </c>
      <c r="E514" s="3002">
        <v>606</v>
      </c>
      <c r="F514" s="3000">
        <v>95.56</v>
      </c>
      <c r="G514" s="3001" t="s">
        <v>3055</v>
      </c>
    </row>
    <row r="515" spans="1:7" ht="14.25" thickBot="1">
      <c r="A515" s="2999">
        <v>514</v>
      </c>
      <c r="B515" s="3000" t="s">
        <v>3279</v>
      </c>
      <c r="C515" s="3002" t="s">
        <v>3264</v>
      </c>
      <c r="D515" s="3000" t="s">
        <v>70</v>
      </c>
      <c r="E515" s="3002">
        <v>607</v>
      </c>
      <c r="F515" s="3000">
        <v>69.25</v>
      </c>
      <c r="G515" s="3001" t="s">
        <v>3055</v>
      </c>
    </row>
    <row r="516" spans="1:7" ht="14.25" thickBot="1">
      <c r="A516" s="2999">
        <v>515</v>
      </c>
      <c r="B516" s="3000" t="s">
        <v>3280</v>
      </c>
      <c r="C516" s="3000" t="s">
        <v>3257</v>
      </c>
      <c r="D516" s="3000" t="s">
        <v>70</v>
      </c>
      <c r="E516" s="3000">
        <v>101</v>
      </c>
      <c r="F516" s="3000">
        <v>68.23</v>
      </c>
      <c r="G516" s="3001" t="s">
        <v>3055</v>
      </c>
    </row>
    <row r="517" spans="1:7" ht="14.25" thickBot="1">
      <c r="A517" s="2999">
        <v>516</v>
      </c>
      <c r="B517" s="3000" t="s">
        <v>3280</v>
      </c>
      <c r="C517" s="3000" t="s">
        <v>3257</v>
      </c>
      <c r="D517" s="3000" t="s">
        <v>70</v>
      </c>
      <c r="E517" s="3000">
        <v>102</v>
      </c>
      <c r="F517" s="3000">
        <v>69.5</v>
      </c>
      <c r="G517" s="3001" t="s">
        <v>3055</v>
      </c>
    </row>
    <row r="518" spans="1:7" ht="14.25" thickBot="1">
      <c r="A518" s="2999">
        <v>517</v>
      </c>
      <c r="B518" s="3000" t="s">
        <v>3280</v>
      </c>
      <c r="C518" s="3000" t="s">
        <v>3257</v>
      </c>
      <c r="D518" s="3000" t="s">
        <v>70</v>
      </c>
      <c r="E518" s="3000">
        <v>103</v>
      </c>
      <c r="F518" s="3000">
        <v>69.55</v>
      </c>
      <c r="G518" s="3001" t="s">
        <v>3055</v>
      </c>
    </row>
    <row r="519" spans="1:7" ht="14.25" thickBot="1">
      <c r="A519" s="2999">
        <v>518</v>
      </c>
      <c r="B519" s="3000" t="s">
        <v>3280</v>
      </c>
      <c r="C519" s="3000" t="s">
        <v>3257</v>
      </c>
      <c r="D519" s="3000" t="s">
        <v>70</v>
      </c>
      <c r="E519" s="3000">
        <v>105</v>
      </c>
      <c r="F519" s="3000">
        <v>69.55</v>
      </c>
      <c r="G519" s="3001" t="s">
        <v>3055</v>
      </c>
    </row>
    <row r="520" spans="1:7" ht="14.25" thickBot="1">
      <c r="A520" s="2999">
        <v>519</v>
      </c>
      <c r="B520" s="3000" t="s">
        <v>3280</v>
      </c>
      <c r="C520" s="3000" t="s">
        <v>3257</v>
      </c>
      <c r="D520" s="3000" t="s">
        <v>70</v>
      </c>
      <c r="E520" s="3000">
        <v>106</v>
      </c>
      <c r="F520" s="3000">
        <v>69.739999999999995</v>
      </c>
      <c r="G520" s="3001" t="s">
        <v>3055</v>
      </c>
    </row>
    <row r="521" spans="1:7" ht="14.25" thickBot="1">
      <c r="A521" s="2999">
        <v>520</v>
      </c>
      <c r="B521" s="3000" t="s">
        <v>3280</v>
      </c>
      <c r="C521" s="3000" t="s">
        <v>3260</v>
      </c>
      <c r="D521" s="3000" t="s">
        <v>70</v>
      </c>
      <c r="E521" s="3000">
        <v>201</v>
      </c>
      <c r="F521" s="3000">
        <v>68.23</v>
      </c>
      <c r="G521" s="3001" t="s">
        <v>3055</v>
      </c>
    </row>
    <row r="522" spans="1:7" ht="14.25" thickBot="1">
      <c r="A522" s="2999">
        <v>521</v>
      </c>
      <c r="B522" s="3000" t="s">
        <v>3280</v>
      </c>
      <c r="C522" s="3000" t="s">
        <v>3260</v>
      </c>
      <c r="D522" s="3000" t="s">
        <v>70</v>
      </c>
      <c r="E522" s="3000">
        <v>202</v>
      </c>
      <c r="F522" s="3000">
        <v>69.5</v>
      </c>
      <c r="G522" s="3001" t="s">
        <v>3055</v>
      </c>
    </row>
    <row r="523" spans="1:7" ht="14.25" thickBot="1">
      <c r="A523" s="2999">
        <v>522</v>
      </c>
      <c r="B523" s="3000" t="s">
        <v>3280</v>
      </c>
      <c r="C523" s="3000" t="s">
        <v>3260</v>
      </c>
      <c r="D523" s="3000" t="s">
        <v>70</v>
      </c>
      <c r="E523" s="3000">
        <v>203</v>
      </c>
      <c r="F523" s="3000">
        <v>69.55</v>
      </c>
      <c r="G523" s="3001" t="s">
        <v>3055</v>
      </c>
    </row>
    <row r="524" spans="1:7" ht="14.25" thickBot="1">
      <c r="A524" s="2999">
        <v>523</v>
      </c>
      <c r="B524" s="3000" t="s">
        <v>3280</v>
      </c>
      <c r="C524" s="3000" t="s">
        <v>3260</v>
      </c>
      <c r="D524" s="3000" t="s">
        <v>70</v>
      </c>
      <c r="E524" s="3000">
        <v>205</v>
      </c>
      <c r="F524" s="3000">
        <v>69.55</v>
      </c>
      <c r="G524" s="3001" t="s">
        <v>3055</v>
      </c>
    </row>
    <row r="525" spans="1:7" ht="14.25" thickBot="1">
      <c r="A525" s="2999">
        <v>524</v>
      </c>
      <c r="B525" s="3000" t="s">
        <v>3280</v>
      </c>
      <c r="C525" s="3000" t="s">
        <v>3260</v>
      </c>
      <c r="D525" s="3000" t="s">
        <v>70</v>
      </c>
      <c r="E525" s="3000">
        <v>206</v>
      </c>
      <c r="F525" s="3000">
        <v>69.739999999999995</v>
      </c>
      <c r="G525" s="3001" t="s">
        <v>3055</v>
      </c>
    </row>
    <row r="526" spans="1:7" ht="14.25" thickBot="1">
      <c r="A526" s="2999">
        <v>525</v>
      </c>
      <c r="B526" s="3000" t="s">
        <v>3280</v>
      </c>
      <c r="C526" s="3000" t="s">
        <v>3261</v>
      </c>
      <c r="D526" s="3000" t="s">
        <v>70</v>
      </c>
      <c r="E526" s="3000">
        <v>301</v>
      </c>
      <c r="F526" s="3000">
        <v>68.05</v>
      </c>
      <c r="G526" s="3001" t="s">
        <v>3055</v>
      </c>
    </row>
    <row r="527" spans="1:7" ht="14.25" thickBot="1">
      <c r="A527" s="2999">
        <v>526</v>
      </c>
      <c r="B527" s="3000" t="s">
        <v>3280</v>
      </c>
      <c r="C527" s="3000" t="s">
        <v>3261</v>
      </c>
      <c r="D527" s="3000" t="s">
        <v>70</v>
      </c>
      <c r="E527" s="3000">
        <v>302</v>
      </c>
      <c r="F527" s="3000">
        <v>69.5</v>
      </c>
      <c r="G527" s="3001" t="s">
        <v>3055</v>
      </c>
    </row>
    <row r="528" spans="1:7" ht="14.25" thickBot="1">
      <c r="A528" s="2999">
        <v>527</v>
      </c>
      <c r="B528" s="3000" t="s">
        <v>3280</v>
      </c>
      <c r="C528" s="3000" t="s">
        <v>3261</v>
      </c>
      <c r="D528" s="3000" t="s">
        <v>70</v>
      </c>
      <c r="E528" s="3000">
        <v>303</v>
      </c>
      <c r="F528" s="3000">
        <v>69.55</v>
      </c>
      <c r="G528" s="3001" t="s">
        <v>3055</v>
      </c>
    </row>
    <row r="529" spans="1:7" ht="14.25" thickBot="1">
      <c r="A529" s="2999">
        <v>528</v>
      </c>
      <c r="B529" s="3000" t="s">
        <v>3280</v>
      </c>
      <c r="C529" s="3000" t="s">
        <v>3261</v>
      </c>
      <c r="D529" s="3000" t="s">
        <v>70</v>
      </c>
      <c r="E529" s="3000">
        <v>305</v>
      </c>
      <c r="F529" s="3000">
        <v>69.55</v>
      </c>
      <c r="G529" s="3001" t="s">
        <v>3055</v>
      </c>
    </row>
    <row r="530" spans="1:7" ht="14.25" thickBot="1">
      <c r="A530" s="2999">
        <v>529</v>
      </c>
      <c r="B530" s="3000" t="s">
        <v>3280</v>
      </c>
      <c r="C530" s="3000" t="s">
        <v>3261</v>
      </c>
      <c r="D530" s="3000" t="s">
        <v>70</v>
      </c>
      <c r="E530" s="3000">
        <v>306</v>
      </c>
      <c r="F530" s="3000">
        <v>69.739999999999995</v>
      </c>
      <c r="G530" s="3001" t="s">
        <v>3055</v>
      </c>
    </row>
    <row r="531" spans="1:7" ht="14.25" thickBot="1">
      <c r="A531" s="2999">
        <v>530</v>
      </c>
      <c r="B531" s="3000" t="s">
        <v>3280</v>
      </c>
      <c r="C531" s="3000" t="s">
        <v>3261</v>
      </c>
      <c r="D531" s="3000" t="s">
        <v>70</v>
      </c>
      <c r="E531" s="3000">
        <v>307</v>
      </c>
      <c r="F531" s="3000">
        <v>68.37</v>
      </c>
      <c r="G531" s="3001" t="s">
        <v>3055</v>
      </c>
    </row>
    <row r="532" spans="1:7" ht="14.25" thickBot="1">
      <c r="A532" s="2999">
        <v>531</v>
      </c>
      <c r="B532" s="3000" t="s">
        <v>3280</v>
      </c>
      <c r="C532" s="3000" t="s">
        <v>3261</v>
      </c>
      <c r="D532" s="3000" t="s">
        <v>70</v>
      </c>
      <c r="E532" s="3000">
        <v>308</v>
      </c>
      <c r="F532" s="3000">
        <v>64.430000000000007</v>
      </c>
      <c r="G532" s="3001" t="s">
        <v>3055</v>
      </c>
    </row>
    <row r="533" spans="1:7" ht="14.25" thickBot="1">
      <c r="A533" s="2999">
        <v>532</v>
      </c>
      <c r="B533" s="3000" t="s">
        <v>3280</v>
      </c>
      <c r="C533" s="3000" t="s">
        <v>3262</v>
      </c>
      <c r="D533" s="3000" t="s">
        <v>70</v>
      </c>
      <c r="E533" s="3000" t="s">
        <v>3145</v>
      </c>
      <c r="F533" s="3000">
        <v>68.23</v>
      </c>
      <c r="G533" s="3001" t="s">
        <v>3055</v>
      </c>
    </row>
    <row r="534" spans="1:7" ht="14.25" thickBot="1">
      <c r="A534" s="2999">
        <v>533</v>
      </c>
      <c r="B534" s="3000" t="s">
        <v>3280</v>
      </c>
      <c r="C534" s="3000" t="s">
        <v>3262</v>
      </c>
      <c r="D534" s="3000" t="s">
        <v>70</v>
      </c>
      <c r="E534" s="3000" t="s">
        <v>3146</v>
      </c>
      <c r="F534" s="3000">
        <v>69.5</v>
      </c>
      <c r="G534" s="3001" t="s">
        <v>3055</v>
      </c>
    </row>
    <row r="535" spans="1:7" ht="14.25" thickBot="1">
      <c r="A535" s="2999">
        <v>534</v>
      </c>
      <c r="B535" s="3000" t="s">
        <v>3280</v>
      </c>
      <c r="C535" s="3000" t="s">
        <v>3262</v>
      </c>
      <c r="D535" s="3000" t="s">
        <v>70</v>
      </c>
      <c r="E535" s="3000" t="s">
        <v>3147</v>
      </c>
      <c r="F535" s="3000">
        <v>69.55</v>
      </c>
      <c r="G535" s="3001" t="s">
        <v>3055</v>
      </c>
    </row>
    <row r="536" spans="1:7" ht="14.25" thickBot="1">
      <c r="A536" s="2999">
        <v>535</v>
      </c>
      <c r="B536" s="3000" t="s">
        <v>3280</v>
      </c>
      <c r="C536" s="3000" t="s">
        <v>3262</v>
      </c>
      <c r="D536" s="3000" t="s">
        <v>70</v>
      </c>
      <c r="E536" s="3000" t="s">
        <v>3148</v>
      </c>
      <c r="F536" s="3000">
        <v>69.55</v>
      </c>
      <c r="G536" s="3001" t="s">
        <v>3055</v>
      </c>
    </row>
    <row r="537" spans="1:7" ht="14.25" thickBot="1">
      <c r="A537" s="2999">
        <v>536</v>
      </c>
      <c r="B537" s="3000" t="s">
        <v>3280</v>
      </c>
      <c r="C537" s="3000" t="s">
        <v>3262</v>
      </c>
      <c r="D537" s="3000" t="s">
        <v>70</v>
      </c>
      <c r="E537" s="3000" t="s">
        <v>3149</v>
      </c>
      <c r="F537" s="3000">
        <v>69.739999999999995</v>
      </c>
      <c r="G537" s="3001" t="s">
        <v>3055</v>
      </c>
    </row>
    <row r="538" spans="1:7" ht="14.25" thickBot="1">
      <c r="A538" s="2999">
        <v>537</v>
      </c>
      <c r="B538" s="3000" t="s">
        <v>3280</v>
      </c>
      <c r="C538" s="3000" t="s">
        <v>3262</v>
      </c>
      <c r="D538" s="3000" t="s">
        <v>70</v>
      </c>
      <c r="E538" s="3000" t="s">
        <v>3150</v>
      </c>
      <c r="F538" s="3000">
        <v>68.37</v>
      </c>
      <c r="G538" s="3001" t="s">
        <v>3055</v>
      </c>
    </row>
    <row r="539" spans="1:7" ht="14.25" thickBot="1">
      <c r="A539" s="2999">
        <v>538</v>
      </c>
      <c r="B539" s="3000" t="s">
        <v>3280</v>
      </c>
      <c r="C539" s="3000" t="s">
        <v>3262</v>
      </c>
      <c r="D539" s="3000" t="s">
        <v>70</v>
      </c>
      <c r="E539" s="3000" t="s">
        <v>3151</v>
      </c>
      <c r="F539" s="3000">
        <v>64.430000000000007</v>
      </c>
      <c r="G539" s="3001" t="s">
        <v>3055</v>
      </c>
    </row>
    <row r="540" spans="1:7" ht="14.25" thickBot="1">
      <c r="A540" s="2999">
        <v>539</v>
      </c>
      <c r="B540" s="3000" t="s">
        <v>3280</v>
      </c>
      <c r="C540" s="3000" t="s">
        <v>3263</v>
      </c>
      <c r="D540" s="3000" t="s">
        <v>70</v>
      </c>
      <c r="E540" s="3000">
        <v>501</v>
      </c>
      <c r="F540" s="3000">
        <v>68.23</v>
      </c>
      <c r="G540" s="3001" t="s">
        <v>3055</v>
      </c>
    </row>
    <row r="541" spans="1:7" ht="14.25" thickBot="1">
      <c r="A541" s="2999">
        <v>540</v>
      </c>
      <c r="B541" s="3000" t="s">
        <v>3280</v>
      </c>
      <c r="C541" s="3000" t="s">
        <v>3263</v>
      </c>
      <c r="D541" s="3000" t="s">
        <v>70</v>
      </c>
      <c r="E541" s="3000">
        <v>503</v>
      </c>
      <c r="F541" s="3000">
        <v>69.55</v>
      </c>
      <c r="G541" s="3001" t="s">
        <v>3055</v>
      </c>
    </row>
    <row r="542" spans="1:7" ht="14.25" thickBot="1">
      <c r="A542" s="2999">
        <v>541</v>
      </c>
      <c r="B542" s="3000" t="s">
        <v>3280</v>
      </c>
      <c r="C542" s="3000" t="s">
        <v>3263</v>
      </c>
      <c r="D542" s="3000" t="s">
        <v>70</v>
      </c>
      <c r="E542" s="3000">
        <v>505</v>
      </c>
      <c r="F542" s="3000">
        <v>69.55</v>
      </c>
      <c r="G542" s="3001" t="s">
        <v>3055</v>
      </c>
    </row>
    <row r="543" spans="1:7" ht="14.25" thickBot="1">
      <c r="A543" s="2999">
        <v>542</v>
      </c>
      <c r="B543" s="3000" t="s">
        <v>3280</v>
      </c>
      <c r="C543" s="3000" t="s">
        <v>3263</v>
      </c>
      <c r="D543" s="3000" t="s">
        <v>70</v>
      </c>
      <c r="E543" s="3000">
        <v>506</v>
      </c>
      <c r="F543" s="3000">
        <v>69.739999999999995</v>
      </c>
      <c r="G543" s="3001" t="s">
        <v>3055</v>
      </c>
    </row>
    <row r="544" spans="1:7" ht="14.25" thickBot="1">
      <c r="A544" s="2999">
        <v>543</v>
      </c>
      <c r="B544" s="3000" t="s">
        <v>3280</v>
      </c>
      <c r="C544" s="3000" t="s">
        <v>3263</v>
      </c>
      <c r="D544" s="3000" t="s">
        <v>70</v>
      </c>
      <c r="E544" s="3000">
        <v>507</v>
      </c>
      <c r="F544" s="3000">
        <v>68.37</v>
      </c>
      <c r="G544" s="3001" t="s">
        <v>3055</v>
      </c>
    </row>
    <row r="545" spans="1:7" ht="14.25" thickBot="1">
      <c r="A545" s="2999">
        <v>544</v>
      </c>
      <c r="B545" s="3000" t="s">
        <v>3280</v>
      </c>
      <c r="C545" s="3000" t="s">
        <v>3263</v>
      </c>
      <c r="D545" s="3000" t="s">
        <v>70</v>
      </c>
      <c r="E545" s="3000">
        <v>508</v>
      </c>
      <c r="F545" s="3000">
        <v>64.430000000000007</v>
      </c>
      <c r="G545" s="3001" t="s">
        <v>3055</v>
      </c>
    </row>
    <row r="546" spans="1:7" ht="14.25" thickBot="1">
      <c r="A546" s="2999">
        <v>545</v>
      </c>
      <c r="B546" s="3000" t="s">
        <v>3280</v>
      </c>
      <c r="C546" s="3000" t="s">
        <v>3264</v>
      </c>
      <c r="D546" s="3000" t="s">
        <v>70</v>
      </c>
      <c r="E546" s="3000">
        <v>601</v>
      </c>
      <c r="F546" s="3000">
        <v>68.23</v>
      </c>
      <c r="G546" s="3001" t="s">
        <v>3055</v>
      </c>
    </row>
    <row r="547" spans="1:7" ht="14.25" thickBot="1">
      <c r="A547" s="2999">
        <v>546</v>
      </c>
      <c r="B547" s="3000" t="s">
        <v>3280</v>
      </c>
      <c r="C547" s="3000" t="s">
        <v>3264</v>
      </c>
      <c r="D547" s="3000" t="s">
        <v>70</v>
      </c>
      <c r="E547" s="3000">
        <v>602</v>
      </c>
      <c r="F547" s="3000">
        <v>69.5</v>
      </c>
      <c r="G547" s="3001" t="s">
        <v>3055</v>
      </c>
    </row>
    <row r="548" spans="1:7" ht="14.25" thickBot="1">
      <c r="A548" s="2999">
        <v>547</v>
      </c>
      <c r="B548" s="3000" t="s">
        <v>3280</v>
      </c>
      <c r="C548" s="3000" t="s">
        <v>3264</v>
      </c>
      <c r="D548" s="3000" t="s">
        <v>70</v>
      </c>
      <c r="E548" s="3000">
        <v>603</v>
      </c>
      <c r="F548" s="3000">
        <v>69.55</v>
      </c>
      <c r="G548" s="3001" t="s">
        <v>3055</v>
      </c>
    </row>
    <row r="549" spans="1:7" ht="14.25" thickBot="1">
      <c r="A549" s="2999">
        <v>548</v>
      </c>
      <c r="B549" s="3000" t="s">
        <v>3280</v>
      </c>
      <c r="C549" s="3000" t="s">
        <v>3264</v>
      </c>
      <c r="D549" s="3000" t="s">
        <v>70</v>
      </c>
      <c r="E549" s="3000">
        <v>605</v>
      </c>
      <c r="F549" s="3000">
        <v>69.55</v>
      </c>
      <c r="G549" s="3001" t="s">
        <v>3055</v>
      </c>
    </row>
    <row r="550" spans="1:7" ht="14.25" thickBot="1">
      <c r="A550" s="2999">
        <v>549</v>
      </c>
      <c r="B550" s="3000" t="s">
        <v>3280</v>
      </c>
      <c r="C550" s="3000" t="s">
        <v>3264</v>
      </c>
      <c r="D550" s="3000" t="s">
        <v>70</v>
      </c>
      <c r="E550" s="3000">
        <v>606</v>
      </c>
      <c r="F550" s="3000">
        <v>69.739999999999995</v>
      </c>
      <c r="G550" s="3001" t="s">
        <v>3055</v>
      </c>
    </row>
    <row r="551" spans="1:7" ht="14.25" thickBot="1">
      <c r="A551" s="2999">
        <v>550</v>
      </c>
      <c r="B551" s="3000" t="s">
        <v>3280</v>
      </c>
      <c r="C551" s="3000" t="s">
        <v>3264</v>
      </c>
      <c r="D551" s="3000" t="s">
        <v>70</v>
      </c>
      <c r="E551" s="3000">
        <v>607</v>
      </c>
      <c r="F551" s="3000">
        <v>68.37</v>
      </c>
      <c r="G551" s="3001" t="s">
        <v>3055</v>
      </c>
    </row>
    <row r="552" spans="1:7" ht="14.25" thickBot="1">
      <c r="A552" s="2999">
        <v>551</v>
      </c>
      <c r="B552" s="3000" t="s">
        <v>3280</v>
      </c>
      <c r="C552" s="3000" t="s">
        <v>3264</v>
      </c>
      <c r="D552" s="3000" t="s">
        <v>70</v>
      </c>
      <c r="E552" s="3000">
        <v>608</v>
      </c>
      <c r="F552" s="3000">
        <v>64.430000000000007</v>
      </c>
      <c r="G552" s="3001" t="s">
        <v>3055</v>
      </c>
    </row>
    <row r="553" spans="1:7" ht="14.25" thickBot="1">
      <c r="A553" s="2999">
        <v>552</v>
      </c>
      <c r="B553" s="3000" t="s">
        <v>3281</v>
      </c>
      <c r="C553" s="3002" t="s">
        <v>3261</v>
      </c>
      <c r="D553" s="3000" t="s">
        <v>70</v>
      </c>
      <c r="E553" s="3000">
        <v>301</v>
      </c>
      <c r="F553" s="3000">
        <v>68.92</v>
      </c>
      <c r="G553" s="3001" t="s">
        <v>3055</v>
      </c>
    </row>
    <row r="554" spans="1:7" ht="14.25" thickBot="1">
      <c r="A554" s="2999">
        <v>553</v>
      </c>
      <c r="B554" s="3000" t="s">
        <v>3281</v>
      </c>
      <c r="C554" s="3002" t="s">
        <v>3261</v>
      </c>
      <c r="D554" s="3000" t="s">
        <v>70</v>
      </c>
      <c r="E554" s="3000">
        <v>302</v>
      </c>
      <c r="F554" s="3000">
        <v>72.41</v>
      </c>
      <c r="G554" s="3001" t="s">
        <v>3055</v>
      </c>
    </row>
    <row r="555" spans="1:7" ht="14.25" thickBot="1">
      <c r="A555" s="2999">
        <v>554</v>
      </c>
      <c r="B555" s="3000" t="s">
        <v>3281</v>
      </c>
      <c r="C555" s="3002" t="s">
        <v>3261</v>
      </c>
      <c r="D555" s="3000" t="s">
        <v>70</v>
      </c>
      <c r="E555" s="3000">
        <v>303</v>
      </c>
      <c r="F555" s="3000">
        <v>72.45</v>
      </c>
      <c r="G555" s="3001" t="s">
        <v>3055</v>
      </c>
    </row>
    <row r="556" spans="1:7" ht="14.25" thickBot="1">
      <c r="A556" s="2999">
        <v>555</v>
      </c>
      <c r="B556" s="3000" t="s">
        <v>3281</v>
      </c>
      <c r="C556" s="3002" t="s">
        <v>3261</v>
      </c>
      <c r="D556" s="3000" t="s">
        <v>70</v>
      </c>
      <c r="E556" s="3000">
        <v>305</v>
      </c>
      <c r="F556" s="3000">
        <v>72.45</v>
      </c>
      <c r="G556" s="3001" t="s">
        <v>3055</v>
      </c>
    </row>
    <row r="557" spans="1:7" ht="14.25" thickBot="1">
      <c r="A557" s="2999">
        <v>556</v>
      </c>
      <c r="B557" s="3000" t="s">
        <v>3281</v>
      </c>
      <c r="C557" s="3002" t="s">
        <v>3261</v>
      </c>
      <c r="D557" s="3000" t="s">
        <v>70</v>
      </c>
      <c r="E557" s="3000">
        <v>306</v>
      </c>
      <c r="F557" s="3000">
        <v>72.41</v>
      </c>
      <c r="G557" s="3001" t="s">
        <v>3055</v>
      </c>
    </row>
    <row r="558" spans="1:7" ht="14.25" thickBot="1">
      <c r="A558" s="2999">
        <v>557</v>
      </c>
      <c r="B558" s="3000" t="s">
        <v>3281</v>
      </c>
      <c r="C558" s="3002" t="s">
        <v>3261</v>
      </c>
      <c r="D558" s="3000" t="s">
        <v>70</v>
      </c>
      <c r="E558" s="3000">
        <v>307</v>
      </c>
      <c r="F558" s="3000">
        <v>68.92</v>
      </c>
      <c r="G558" s="3001" t="s">
        <v>3055</v>
      </c>
    </row>
    <row r="559" spans="1:7" ht="14.25" thickBot="1">
      <c r="A559" s="2999">
        <v>558</v>
      </c>
      <c r="B559" s="3000" t="s">
        <v>3281</v>
      </c>
      <c r="C559" s="3002" t="s">
        <v>3262</v>
      </c>
      <c r="D559" s="3000" t="s">
        <v>70</v>
      </c>
      <c r="E559" s="3000" t="s">
        <v>3145</v>
      </c>
      <c r="F559" s="3000">
        <v>68.92</v>
      </c>
      <c r="G559" s="3001" t="s">
        <v>3055</v>
      </c>
    </row>
    <row r="560" spans="1:7" ht="14.25" thickBot="1">
      <c r="A560" s="2999">
        <v>559</v>
      </c>
      <c r="B560" s="3000" t="s">
        <v>3281</v>
      </c>
      <c r="C560" s="3002" t="s">
        <v>3262</v>
      </c>
      <c r="D560" s="3000" t="s">
        <v>70</v>
      </c>
      <c r="E560" s="3000" t="s">
        <v>3146</v>
      </c>
      <c r="F560" s="3000">
        <v>72.41</v>
      </c>
      <c r="G560" s="3001" t="s">
        <v>3055</v>
      </c>
    </row>
    <row r="561" spans="1:7" ht="14.25" thickBot="1">
      <c r="A561" s="2999">
        <v>560</v>
      </c>
      <c r="B561" s="3000" t="s">
        <v>3281</v>
      </c>
      <c r="C561" s="3002" t="s">
        <v>3262</v>
      </c>
      <c r="D561" s="3000" t="s">
        <v>70</v>
      </c>
      <c r="E561" s="3000" t="s">
        <v>3147</v>
      </c>
      <c r="F561" s="3000">
        <v>72.45</v>
      </c>
      <c r="G561" s="3001" t="s">
        <v>3055</v>
      </c>
    </row>
    <row r="562" spans="1:7" ht="14.25" thickBot="1">
      <c r="A562" s="2999">
        <v>561</v>
      </c>
      <c r="B562" s="3000" t="s">
        <v>3281</v>
      </c>
      <c r="C562" s="3002" t="s">
        <v>3262</v>
      </c>
      <c r="D562" s="3000" t="s">
        <v>70</v>
      </c>
      <c r="E562" s="3000" t="s">
        <v>3148</v>
      </c>
      <c r="F562" s="3000">
        <v>72.45</v>
      </c>
      <c r="G562" s="3001" t="s">
        <v>3055</v>
      </c>
    </row>
    <row r="563" spans="1:7" ht="14.25" thickBot="1">
      <c r="A563" s="2999">
        <v>562</v>
      </c>
      <c r="B563" s="3000" t="s">
        <v>3281</v>
      </c>
      <c r="C563" s="3002" t="s">
        <v>3262</v>
      </c>
      <c r="D563" s="3000" t="s">
        <v>70</v>
      </c>
      <c r="E563" s="3000" t="s">
        <v>3149</v>
      </c>
      <c r="F563" s="3000">
        <v>72.41</v>
      </c>
      <c r="G563" s="3001" t="s">
        <v>3055</v>
      </c>
    </row>
    <row r="564" spans="1:7" ht="14.25" thickBot="1">
      <c r="A564" s="2999">
        <v>563</v>
      </c>
      <c r="B564" s="3000" t="s">
        <v>3281</v>
      </c>
      <c r="C564" s="3002" t="s">
        <v>3262</v>
      </c>
      <c r="D564" s="3000" t="s">
        <v>70</v>
      </c>
      <c r="E564" s="3000" t="s">
        <v>3150</v>
      </c>
      <c r="F564" s="3000">
        <v>68.92</v>
      </c>
      <c r="G564" s="3001" t="s">
        <v>3055</v>
      </c>
    </row>
    <row r="565" spans="1:7" ht="14.25" thickBot="1">
      <c r="A565" s="2999">
        <v>564</v>
      </c>
      <c r="B565" s="3000" t="s">
        <v>3281</v>
      </c>
      <c r="C565" s="3002" t="s">
        <v>3263</v>
      </c>
      <c r="D565" s="3000" t="s">
        <v>70</v>
      </c>
      <c r="E565" s="3000">
        <v>501</v>
      </c>
      <c r="F565" s="3000">
        <v>68.92</v>
      </c>
      <c r="G565" s="3001" t="s">
        <v>3055</v>
      </c>
    </row>
    <row r="566" spans="1:7" ht="14.25" thickBot="1">
      <c r="A566" s="2999">
        <v>565</v>
      </c>
      <c r="B566" s="3000" t="s">
        <v>3281</v>
      </c>
      <c r="C566" s="3002" t="s">
        <v>3263</v>
      </c>
      <c r="D566" s="3000" t="s">
        <v>70</v>
      </c>
      <c r="E566" s="3000">
        <v>502</v>
      </c>
      <c r="F566" s="3000">
        <v>72.41</v>
      </c>
      <c r="G566" s="3001" t="s">
        <v>3055</v>
      </c>
    </row>
    <row r="567" spans="1:7" ht="14.25" thickBot="1">
      <c r="A567" s="2999">
        <v>566</v>
      </c>
      <c r="B567" s="3000" t="s">
        <v>3281</v>
      </c>
      <c r="C567" s="3002" t="s">
        <v>3263</v>
      </c>
      <c r="D567" s="3000" t="s">
        <v>70</v>
      </c>
      <c r="E567" s="3000">
        <v>503</v>
      </c>
      <c r="F567" s="3000">
        <v>72.45</v>
      </c>
      <c r="G567" s="3001" t="s">
        <v>3055</v>
      </c>
    </row>
    <row r="568" spans="1:7" ht="14.25" thickBot="1">
      <c r="A568" s="2999">
        <v>567</v>
      </c>
      <c r="B568" s="3000" t="s">
        <v>3281</v>
      </c>
      <c r="C568" s="3002" t="s">
        <v>3263</v>
      </c>
      <c r="D568" s="3000" t="s">
        <v>70</v>
      </c>
      <c r="E568" s="3000">
        <v>505</v>
      </c>
      <c r="F568" s="3000">
        <v>72.45</v>
      </c>
      <c r="G568" s="3001" t="s">
        <v>3055</v>
      </c>
    </row>
    <row r="569" spans="1:7" ht="14.25" thickBot="1">
      <c r="A569" s="2999">
        <v>568</v>
      </c>
      <c r="B569" s="3000" t="s">
        <v>3281</v>
      </c>
      <c r="C569" s="3002" t="s">
        <v>3263</v>
      </c>
      <c r="D569" s="3000" t="s">
        <v>70</v>
      </c>
      <c r="E569" s="3000">
        <v>506</v>
      </c>
      <c r="F569" s="3000">
        <v>72.41</v>
      </c>
      <c r="G569" s="3001" t="s">
        <v>3055</v>
      </c>
    </row>
    <row r="570" spans="1:7" ht="14.25" thickBot="1">
      <c r="A570" s="2999">
        <v>569</v>
      </c>
      <c r="B570" s="3000" t="s">
        <v>3281</v>
      </c>
      <c r="C570" s="3002" t="s">
        <v>3263</v>
      </c>
      <c r="D570" s="3000" t="s">
        <v>70</v>
      </c>
      <c r="E570" s="3000">
        <v>507</v>
      </c>
      <c r="F570" s="3000">
        <v>68.92</v>
      </c>
      <c r="G570" s="3001" t="s">
        <v>3055</v>
      </c>
    </row>
    <row r="571" spans="1:7" ht="14.25" thickBot="1">
      <c r="A571" s="2999">
        <v>570</v>
      </c>
      <c r="B571" s="3000" t="s">
        <v>3281</v>
      </c>
      <c r="C571" s="3002" t="s">
        <v>3264</v>
      </c>
      <c r="D571" s="3000" t="s">
        <v>70</v>
      </c>
      <c r="E571" s="3000">
        <v>601</v>
      </c>
      <c r="F571" s="3000">
        <v>68.92</v>
      </c>
      <c r="G571" s="3001" t="s">
        <v>3055</v>
      </c>
    </row>
    <row r="572" spans="1:7" ht="14.25" thickBot="1">
      <c r="A572" s="2999">
        <v>571</v>
      </c>
      <c r="B572" s="3000" t="s">
        <v>3281</v>
      </c>
      <c r="C572" s="3002" t="s">
        <v>3264</v>
      </c>
      <c r="D572" s="3000" t="s">
        <v>70</v>
      </c>
      <c r="E572" s="3000">
        <v>602</v>
      </c>
      <c r="F572" s="3000">
        <v>72.41</v>
      </c>
      <c r="G572" s="3001" t="s">
        <v>3055</v>
      </c>
    </row>
    <row r="573" spans="1:7" ht="14.25" thickBot="1">
      <c r="A573" s="2999">
        <v>572</v>
      </c>
      <c r="B573" s="3000" t="s">
        <v>3281</v>
      </c>
      <c r="C573" s="3002" t="s">
        <v>3264</v>
      </c>
      <c r="D573" s="3000" t="s">
        <v>70</v>
      </c>
      <c r="E573" s="3000">
        <v>603</v>
      </c>
      <c r="F573" s="3000">
        <v>72.45</v>
      </c>
      <c r="G573" s="3001" t="s">
        <v>3055</v>
      </c>
    </row>
    <row r="574" spans="1:7" ht="14.25" thickBot="1">
      <c r="A574" s="2999">
        <v>573</v>
      </c>
      <c r="B574" s="3000" t="s">
        <v>3281</v>
      </c>
      <c r="C574" s="3002" t="s">
        <v>3264</v>
      </c>
      <c r="D574" s="3000" t="s">
        <v>70</v>
      </c>
      <c r="E574" s="3000">
        <v>605</v>
      </c>
      <c r="F574" s="3000">
        <v>72.45</v>
      </c>
      <c r="G574" s="3001" t="s">
        <v>3055</v>
      </c>
    </row>
    <row r="575" spans="1:7" ht="14.25" thickBot="1">
      <c r="A575" s="2999">
        <v>574</v>
      </c>
      <c r="B575" s="3000" t="s">
        <v>3281</v>
      </c>
      <c r="C575" s="3002" t="s">
        <v>3264</v>
      </c>
      <c r="D575" s="3000" t="s">
        <v>70</v>
      </c>
      <c r="E575" s="3000">
        <v>606</v>
      </c>
      <c r="F575" s="3000">
        <v>72.41</v>
      </c>
      <c r="G575" s="3001" t="s">
        <v>3055</v>
      </c>
    </row>
    <row r="576" spans="1:7" ht="14.25" thickBot="1">
      <c r="A576" s="2999">
        <v>575</v>
      </c>
      <c r="B576" s="3000" t="s">
        <v>3281</v>
      </c>
      <c r="C576" s="3002" t="s">
        <v>3264</v>
      </c>
      <c r="D576" s="3000" t="s">
        <v>70</v>
      </c>
      <c r="E576" s="3000">
        <v>607</v>
      </c>
      <c r="F576" s="3000">
        <v>68.92</v>
      </c>
      <c r="G576" s="3001" t="s">
        <v>3055</v>
      </c>
    </row>
    <row r="577" spans="1:7" ht="14.25" thickBot="1">
      <c r="A577" s="2999">
        <v>576</v>
      </c>
      <c r="B577" s="3000" t="s">
        <v>3282</v>
      </c>
      <c r="C577" s="3002" t="s">
        <v>3261</v>
      </c>
      <c r="D577" s="3000" t="s">
        <v>70</v>
      </c>
      <c r="E577" s="3002">
        <v>301</v>
      </c>
      <c r="F577" s="3000">
        <v>69.680000000000007</v>
      </c>
      <c r="G577" s="3001" t="s">
        <v>3055</v>
      </c>
    </row>
    <row r="578" spans="1:7" ht="14.25" thickBot="1">
      <c r="A578" s="2999">
        <v>577</v>
      </c>
      <c r="B578" s="3000" t="s">
        <v>3282</v>
      </c>
      <c r="C578" s="3002" t="s">
        <v>3261</v>
      </c>
      <c r="D578" s="3000" t="s">
        <v>70</v>
      </c>
      <c r="E578" s="3002">
        <v>302</v>
      </c>
      <c r="F578" s="3000">
        <v>71.23</v>
      </c>
      <c r="G578" s="3001" t="s">
        <v>3055</v>
      </c>
    </row>
    <row r="579" spans="1:7" ht="14.25" thickBot="1">
      <c r="A579" s="2999">
        <v>578</v>
      </c>
      <c r="B579" s="3000" t="s">
        <v>3282</v>
      </c>
      <c r="C579" s="3002" t="s">
        <v>3261</v>
      </c>
      <c r="D579" s="3000" t="s">
        <v>70</v>
      </c>
      <c r="E579" s="3002">
        <v>303</v>
      </c>
      <c r="F579" s="3000">
        <v>71.27</v>
      </c>
      <c r="G579" s="3001" t="s">
        <v>3055</v>
      </c>
    </row>
    <row r="580" spans="1:7" ht="14.25" thickBot="1">
      <c r="A580" s="2999">
        <v>579</v>
      </c>
      <c r="B580" s="3000" t="s">
        <v>3282</v>
      </c>
      <c r="C580" s="3002" t="s">
        <v>3261</v>
      </c>
      <c r="D580" s="3000" t="s">
        <v>70</v>
      </c>
      <c r="E580" s="3002">
        <v>305</v>
      </c>
      <c r="F580" s="3000">
        <v>71.27</v>
      </c>
      <c r="G580" s="3001" t="s">
        <v>3055</v>
      </c>
    </row>
    <row r="581" spans="1:7" ht="14.25" thickBot="1">
      <c r="A581" s="2999">
        <v>580</v>
      </c>
      <c r="B581" s="3000" t="s">
        <v>3282</v>
      </c>
      <c r="C581" s="3002" t="s">
        <v>3261</v>
      </c>
      <c r="D581" s="3000" t="s">
        <v>70</v>
      </c>
      <c r="E581" s="3002">
        <v>306</v>
      </c>
      <c r="F581" s="3000">
        <v>71.27</v>
      </c>
      <c r="G581" s="3001" t="s">
        <v>3055</v>
      </c>
    </row>
    <row r="582" spans="1:7" ht="14.25" thickBot="1">
      <c r="A582" s="2999">
        <v>581</v>
      </c>
      <c r="B582" s="3000" t="s">
        <v>3282</v>
      </c>
      <c r="C582" s="3002" t="s">
        <v>3261</v>
      </c>
      <c r="D582" s="3000" t="s">
        <v>70</v>
      </c>
      <c r="E582" s="3002">
        <v>307</v>
      </c>
      <c r="F582" s="3000">
        <v>69.87</v>
      </c>
      <c r="G582" s="3001" t="s">
        <v>3055</v>
      </c>
    </row>
    <row r="583" spans="1:7" ht="14.25" thickBot="1">
      <c r="A583" s="2999">
        <v>582</v>
      </c>
      <c r="B583" s="3000" t="s">
        <v>3282</v>
      </c>
      <c r="C583" s="3002" t="s">
        <v>3261</v>
      </c>
      <c r="D583" s="3000" t="s">
        <v>70</v>
      </c>
      <c r="E583" s="3002">
        <v>308</v>
      </c>
      <c r="F583" s="3000">
        <v>66.13</v>
      </c>
      <c r="G583" s="3001" t="s">
        <v>3055</v>
      </c>
    </row>
    <row r="584" spans="1:7" ht="14.25" thickBot="1">
      <c r="A584" s="2999">
        <v>583</v>
      </c>
      <c r="B584" s="3000" t="s">
        <v>3282</v>
      </c>
      <c r="C584" s="3002" t="s">
        <v>3262</v>
      </c>
      <c r="D584" s="3000" t="s">
        <v>70</v>
      </c>
      <c r="E584" s="3002" t="s">
        <v>3145</v>
      </c>
      <c r="F584" s="3000">
        <v>69.680000000000007</v>
      </c>
      <c r="G584" s="3001" t="s">
        <v>3055</v>
      </c>
    </row>
    <row r="585" spans="1:7" ht="14.25" thickBot="1">
      <c r="A585" s="2999">
        <v>584</v>
      </c>
      <c r="B585" s="3000" t="s">
        <v>3282</v>
      </c>
      <c r="C585" s="3002" t="s">
        <v>3262</v>
      </c>
      <c r="D585" s="3000" t="s">
        <v>70</v>
      </c>
      <c r="E585" s="3002" t="s">
        <v>3146</v>
      </c>
      <c r="F585" s="3000">
        <v>71.23</v>
      </c>
      <c r="G585" s="3001" t="s">
        <v>3055</v>
      </c>
    </row>
    <row r="586" spans="1:7" ht="14.25" thickBot="1">
      <c r="A586" s="2999">
        <v>585</v>
      </c>
      <c r="B586" s="3000" t="s">
        <v>3282</v>
      </c>
      <c r="C586" s="3002" t="s">
        <v>3262</v>
      </c>
      <c r="D586" s="3000" t="s">
        <v>70</v>
      </c>
      <c r="E586" s="3002" t="s">
        <v>3147</v>
      </c>
      <c r="F586" s="3000">
        <v>71.27</v>
      </c>
      <c r="G586" s="3001" t="s">
        <v>3055</v>
      </c>
    </row>
    <row r="587" spans="1:7" ht="14.25" thickBot="1">
      <c r="A587" s="2999">
        <v>586</v>
      </c>
      <c r="B587" s="3000" t="s">
        <v>3282</v>
      </c>
      <c r="C587" s="3002" t="s">
        <v>3262</v>
      </c>
      <c r="D587" s="3000" t="s">
        <v>70</v>
      </c>
      <c r="E587" s="3002" t="s">
        <v>3148</v>
      </c>
      <c r="F587" s="3000">
        <v>71.27</v>
      </c>
      <c r="G587" s="3001" t="s">
        <v>3055</v>
      </c>
    </row>
    <row r="588" spans="1:7" ht="14.25" thickBot="1">
      <c r="A588" s="2999">
        <v>587</v>
      </c>
      <c r="B588" s="3000" t="s">
        <v>3282</v>
      </c>
      <c r="C588" s="3002" t="s">
        <v>3262</v>
      </c>
      <c r="D588" s="3000" t="s">
        <v>70</v>
      </c>
      <c r="E588" s="3002" t="s">
        <v>3149</v>
      </c>
      <c r="F588" s="3000">
        <v>71.27</v>
      </c>
      <c r="G588" s="3001" t="s">
        <v>3055</v>
      </c>
    </row>
    <row r="589" spans="1:7" ht="14.25" thickBot="1">
      <c r="A589" s="2999">
        <v>588</v>
      </c>
      <c r="B589" s="3000" t="s">
        <v>3282</v>
      </c>
      <c r="C589" s="3002" t="s">
        <v>3262</v>
      </c>
      <c r="D589" s="3000" t="s">
        <v>70</v>
      </c>
      <c r="E589" s="3002" t="s">
        <v>3150</v>
      </c>
      <c r="F589" s="3000">
        <v>69.87</v>
      </c>
      <c r="G589" s="3001" t="s">
        <v>3055</v>
      </c>
    </row>
    <row r="590" spans="1:7" ht="14.25" thickBot="1">
      <c r="A590" s="2999">
        <v>589</v>
      </c>
      <c r="B590" s="3000" t="s">
        <v>3282</v>
      </c>
      <c r="C590" s="3002" t="s">
        <v>3262</v>
      </c>
      <c r="D590" s="3000" t="s">
        <v>70</v>
      </c>
      <c r="E590" s="3002" t="s">
        <v>3151</v>
      </c>
      <c r="F590" s="3000">
        <v>66.13</v>
      </c>
      <c r="G590" s="3001" t="s">
        <v>3055</v>
      </c>
    </row>
    <row r="591" spans="1:7" ht="14.25" thickBot="1">
      <c r="A591" s="2999">
        <v>590</v>
      </c>
      <c r="B591" s="3000" t="s">
        <v>3282</v>
      </c>
      <c r="C591" s="3002" t="s">
        <v>3263</v>
      </c>
      <c r="D591" s="3000" t="s">
        <v>70</v>
      </c>
      <c r="E591" s="3002">
        <v>501</v>
      </c>
      <c r="F591" s="3000">
        <v>69.680000000000007</v>
      </c>
      <c r="G591" s="3001" t="s">
        <v>3055</v>
      </c>
    </row>
    <row r="592" spans="1:7" ht="14.25" thickBot="1">
      <c r="A592" s="2999">
        <v>591</v>
      </c>
      <c r="B592" s="3000" t="s">
        <v>3282</v>
      </c>
      <c r="C592" s="3002" t="s">
        <v>3263</v>
      </c>
      <c r="D592" s="3000" t="s">
        <v>70</v>
      </c>
      <c r="E592" s="3002">
        <v>502</v>
      </c>
      <c r="F592" s="3000">
        <v>71.23</v>
      </c>
      <c r="G592" s="3001" t="s">
        <v>3055</v>
      </c>
    </row>
    <row r="593" spans="1:7" ht="14.25" thickBot="1">
      <c r="A593" s="2999">
        <v>592</v>
      </c>
      <c r="B593" s="3000" t="s">
        <v>3282</v>
      </c>
      <c r="C593" s="3002" t="s">
        <v>3263</v>
      </c>
      <c r="D593" s="3000" t="s">
        <v>70</v>
      </c>
      <c r="E593" s="3002">
        <v>503</v>
      </c>
      <c r="F593" s="3000">
        <v>71.27</v>
      </c>
      <c r="G593" s="3001" t="s">
        <v>3055</v>
      </c>
    </row>
    <row r="594" spans="1:7" ht="14.25" thickBot="1">
      <c r="A594" s="2999">
        <v>593</v>
      </c>
      <c r="B594" s="3000" t="s">
        <v>3282</v>
      </c>
      <c r="C594" s="3002" t="s">
        <v>3263</v>
      </c>
      <c r="D594" s="3000" t="s">
        <v>70</v>
      </c>
      <c r="E594" s="3002">
        <v>505</v>
      </c>
      <c r="F594" s="3000">
        <v>71.27</v>
      </c>
      <c r="G594" s="3001" t="s">
        <v>3055</v>
      </c>
    </row>
    <row r="595" spans="1:7" ht="14.25" thickBot="1">
      <c r="A595" s="2999">
        <v>594</v>
      </c>
      <c r="B595" s="3000" t="s">
        <v>3282</v>
      </c>
      <c r="C595" s="3002" t="s">
        <v>3263</v>
      </c>
      <c r="D595" s="3000" t="s">
        <v>70</v>
      </c>
      <c r="E595" s="3002">
        <v>506</v>
      </c>
      <c r="F595" s="3000">
        <v>71.27</v>
      </c>
      <c r="G595" s="3001" t="s">
        <v>3055</v>
      </c>
    </row>
    <row r="596" spans="1:7" ht="14.25" thickBot="1">
      <c r="A596" s="2999">
        <v>595</v>
      </c>
      <c r="B596" s="3000" t="s">
        <v>3282</v>
      </c>
      <c r="C596" s="3002" t="s">
        <v>3263</v>
      </c>
      <c r="D596" s="3000" t="s">
        <v>70</v>
      </c>
      <c r="E596" s="3002">
        <v>507</v>
      </c>
      <c r="F596" s="3000">
        <v>69.87</v>
      </c>
      <c r="G596" s="3001" t="s">
        <v>3055</v>
      </c>
    </row>
    <row r="597" spans="1:7" ht="14.25" thickBot="1">
      <c r="A597" s="2999">
        <v>596</v>
      </c>
      <c r="B597" s="3000" t="s">
        <v>3282</v>
      </c>
      <c r="C597" s="3002" t="s">
        <v>3263</v>
      </c>
      <c r="D597" s="3000" t="s">
        <v>70</v>
      </c>
      <c r="E597" s="3002">
        <v>508</v>
      </c>
      <c r="F597" s="3000">
        <v>66.13</v>
      </c>
      <c r="G597" s="3001" t="s">
        <v>3055</v>
      </c>
    </row>
    <row r="598" spans="1:7" ht="14.25" thickBot="1">
      <c r="A598" s="2999">
        <v>597</v>
      </c>
      <c r="B598" s="3000" t="s">
        <v>3283</v>
      </c>
      <c r="C598" s="3002" t="s">
        <v>3257</v>
      </c>
      <c r="D598" s="3000" t="s">
        <v>70</v>
      </c>
      <c r="E598" s="3002">
        <v>101</v>
      </c>
      <c r="F598" s="3000">
        <v>67</v>
      </c>
      <c r="G598" s="3001" t="s">
        <v>3055</v>
      </c>
    </row>
    <row r="599" spans="1:7" ht="14.25" thickBot="1">
      <c r="A599" s="2999">
        <v>598</v>
      </c>
      <c r="B599" s="3000" t="s">
        <v>3283</v>
      </c>
      <c r="C599" s="3002" t="s">
        <v>3257</v>
      </c>
      <c r="D599" s="3000" t="s">
        <v>70</v>
      </c>
      <c r="E599" s="3002">
        <v>102</v>
      </c>
      <c r="F599" s="3000">
        <v>70.400000000000006</v>
      </c>
      <c r="G599" s="3001" t="s">
        <v>3055</v>
      </c>
    </row>
    <row r="600" spans="1:7" ht="14.25" thickBot="1">
      <c r="A600" s="2999">
        <v>599</v>
      </c>
      <c r="B600" s="3000" t="s">
        <v>3283</v>
      </c>
      <c r="C600" s="3002" t="s">
        <v>3257</v>
      </c>
      <c r="D600" s="3000" t="s">
        <v>70</v>
      </c>
      <c r="E600" s="3002">
        <v>103</v>
      </c>
      <c r="F600" s="3000">
        <v>70.44</v>
      </c>
      <c r="G600" s="3001" t="s">
        <v>3055</v>
      </c>
    </row>
    <row r="601" spans="1:7" ht="14.25" thickBot="1">
      <c r="A601" s="2999">
        <v>600</v>
      </c>
      <c r="B601" s="3000" t="s">
        <v>3283</v>
      </c>
      <c r="C601" s="3002" t="s">
        <v>3257</v>
      </c>
      <c r="D601" s="3000" t="s">
        <v>70</v>
      </c>
      <c r="E601" s="3002">
        <v>105</v>
      </c>
      <c r="F601" s="3000">
        <v>70.400000000000006</v>
      </c>
      <c r="G601" s="3001" t="s">
        <v>3055</v>
      </c>
    </row>
    <row r="602" spans="1:7" ht="14.25" thickBot="1">
      <c r="A602" s="2999">
        <v>601</v>
      </c>
      <c r="B602" s="3000" t="s">
        <v>3283</v>
      </c>
      <c r="C602" s="3002" t="s">
        <v>3260</v>
      </c>
      <c r="D602" s="3000" t="s">
        <v>70</v>
      </c>
      <c r="E602" s="3002">
        <v>201</v>
      </c>
      <c r="F602" s="3000">
        <v>67</v>
      </c>
      <c r="G602" s="3001" t="s">
        <v>3055</v>
      </c>
    </row>
    <row r="603" spans="1:7" ht="14.25" thickBot="1">
      <c r="A603" s="2999">
        <v>602</v>
      </c>
      <c r="B603" s="3000" t="s">
        <v>3283</v>
      </c>
      <c r="C603" s="3002" t="s">
        <v>3260</v>
      </c>
      <c r="D603" s="3000" t="s">
        <v>70</v>
      </c>
      <c r="E603" s="3002">
        <v>202</v>
      </c>
      <c r="F603" s="3000">
        <v>70.400000000000006</v>
      </c>
      <c r="G603" s="3001" t="s">
        <v>3055</v>
      </c>
    </row>
    <row r="604" spans="1:7" ht="14.25" thickBot="1">
      <c r="A604" s="2999">
        <v>603</v>
      </c>
      <c r="B604" s="3000" t="s">
        <v>3283</v>
      </c>
      <c r="C604" s="3002" t="s">
        <v>3260</v>
      </c>
      <c r="D604" s="3000" t="s">
        <v>70</v>
      </c>
      <c r="E604" s="3002">
        <v>203</v>
      </c>
      <c r="F604" s="3000">
        <v>70.44</v>
      </c>
      <c r="G604" s="3001" t="s">
        <v>3055</v>
      </c>
    </row>
    <row r="605" spans="1:7" ht="14.25" thickBot="1">
      <c r="A605" s="2999">
        <v>604</v>
      </c>
      <c r="B605" s="3000" t="s">
        <v>3283</v>
      </c>
      <c r="C605" s="3002" t="s">
        <v>3260</v>
      </c>
      <c r="D605" s="3000" t="s">
        <v>70</v>
      </c>
      <c r="E605" s="3002">
        <v>205</v>
      </c>
      <c r="F605" s="3000">
        <v>70.44</v>
      </c>
      <c r="G605" s="3001" t="s">
        <v>3055</v>
      </c>
    </row>
    <row r="606" spans="1:7" ht="14.25" thickBot="1">
      <c r="A606" s="2999">
        <v>605</v>
      </c>
      <c r="B606" s="3000" t="s">
        <v>3283</v>
      </c>
      <c r="C606" s="3002" t="s">
        <v>3260</v>
      </c>
      <c r="D606" s="3000" t="s">
        <v>70</v>
      </c>
      <c r="E606" s="3002">
        <v>206</v>
      </c>
      <c r="F606" s="3000">
        <v>70.400000000000006</v>
      </c>
      <c r="G606" s="3001" t="s">
        <v>3055</v>
      </c>
    </row>
    <row r="607" spans="1:7" ht="14.25" thickBot="1">
      <c r="A607" s="2999">
        <v>606</v>
      </c>
      <c r="B607" s="3000" t="s">
        <v>3283</v>
      </c>
      <c r="C607" s="3002" t="s">
        <v>3261</v>
      </c>
      <c r="D607" s="3000" t="s">
        <v>70</v>
      </c>
      <c r="E607" s="3002">
        <v>301</v>
      </c>
      <c r="F607" s="3000">
        <v>67</v>
      </c>
      <c r="G607" s="3001" t="s">
        <v>3055</v>
      </c>
    </row>
    <row r="608" spans="1:7" ht="14.25" thickBot="1">
      <c r="A608" s="2999">
        <v>607</v>
      </c>
      <c r="B608" s="3000" t="s">
        <v>3283</v>
      </c>
      <c r="C608" s="3002" t="s">
        <v>3261</v>
      </c>
      <c r="D608" s="3000" t="s">
        <v>70</v>
      </c>
      <c r="E608" s="3002">
        <v>302</v>
      </c>
      <c r="F608" s="3000">
        <v>70.400000000000006</v>
      </c>
      <c r="G608" s="3001" t="s">
        <v>3055</v>
      </c>
    </row>
    <row r="609" spans="1:7" ht="14.25" thickBot="1">
      <c r="A609" s="2999">
        <v>608</v>
      </c>
      <c r="B609" s="3000" t="s">
        <v>3283</v>
      </c>
      <c r="C609" s="3002" t="s">
        <v>3261</v>
      </c>
      <c r="D609" s="3000" t="s">
        <v>70</v>
      </c>
      <c r="E609" s="3002">
        <v>303</v>
      </c>
      <c r="F609" s="3000">
        <v>70.44</v>
      </c>
      <c r="G609" s="3001" t="s">
        <v>3055</v>
      </c>
    </row>
    <row r="610" spans="1:7" ht="14.25" thickBot="1">
      <c r="A610" s="2999">
        <v>609</v>
      </c>
      <c r="B610" s="3000" t="s">
        <v>3283</v>
      </c>
      <c r="C610" s="3002" t="s">
        <v>3261</v>
      </c>
      <c r="D610" s="3000" t="s">
        <v>70</v>
      </c>
      <c r="E610" s="3002">
        <v>305</v>
      </c>
      <c r="F610" s="3000">
        <v>70.44</v>
      </c>
      <c r="G610" s="3001" t="s">
        <v>3055</v>
      </c>
    </row>
    <row r="611" spans="1:7" ht="14.25" thickBot="1">
      <c r="A611" s="2999">
        <v>610</v>
      </c>
      <c r="B611" s="3000" t="s">
        <v>3283</v>
      </c>
      <c r="C611" s="3002" t="s">
        <v>3261</v>
      </c>
      <c r="D611" s="3000" t="s">
        <v>70</v>
      </c>
      <c r="E611" s="3002">
        <v>306</v>
      </c>
      <c r="F611" s="3000">
        <v>70.400000000000006</v>
      </c>
      <c r="G611" s="3001" t="s">
        <v>3055</v>
      </c>
    </row>
    <row r="612" spans="1:7" ht="14.25" thickBot="1">
      <c r="A612" s="2999">
        <v>611</v>
      </c>
      <c r="B612" s="3000" t="s">
        <v>3283</v>
      </c>
      <c r="C612" s="3002" t="s">
        <v>3261</v>
      </c>
      <c r="D612" s="3000" t="s">
        <v>70</v>
      </c>
      <c r="E612" s="3002">
        <v>307</v>
      </c>
      <c r="F612" s="3000">
        <v>67</v>
      </c>
      <c r="G612" s="3001" t="s">
        <v>3055</v>
      </c>
    </row>
    <row r="613" spans="1:7" ht="14.25" thickBot="1">
      <c r="A613" s="2999">
        <v>612</v>
      </c>
      <c r="B613" s="3000" t="s">
        <v>3283</v>
      </c>
      <c r="C613" s="3002" t="s">
        <v>3262</v>
      </c>
      <c r="D613" s="3000" t="s">
        <v>70</v>
      </c>
      <c r="E613" s="3002" t="s">
        <v>3145</v>
      </c>
      <c r="F613" s="3000">
        <v>67</v>
      </c>
      <c r="G613" s="3001" t="s">
        <v>3055</v>
      </c>
    </row>
    <row r="614" spans="1:7" ht="14.25" thickBot="1">
      <c r="A614" s="2999">
        <v>613</v>
      </c>
      <c r="B614" s="3000" t="s">
        <v>3283</v>
      </c>
      <c r="C614" s="3002" t="s">
        <v>3262</v>
      </c>
      <c r="D614" s="3000" t="s">
        <v>70</v>
      </c>
      <c r="E614" s="3002" t="s">
        <v>3146</v>
      </c>
      <c r="F614" s="3000">
        <v>70.400000000000006</v>
      </c>
      <c r="G614" s="3001" t="s">
        <v>3055</v>
      </c>
    </row>
    <row r="615" spans="1:7" ht="14.25" thickBot="1">
      <c r="A615" s="2999">
        <v>614</v>
      </c>
      <c r="B615" s="3000" t="s">
        <v>3283</v>
      </c>
      <c r="C615" s="3002" t="s">
        <v>3262</v>
      </c>
      <c r="D615" s="3000" t="s">
        <v>70</v>
      </c>
      <c r="E615" s="3002" t="s">
        <v>3147</v>
      </c>
      <c r="F615" s="3000">
        <v>70.44</v>
      </c>
      <c r="G615" s="3001" t="s">
        <v>3055</v>
      </c>
    </row>
    <row r="616" spans="1:7" ht="14.25" thickBot="1">
      <c r="A616" s="2999">
        <v>615</v>
      </c>
      <c r="B616" s="3000" t="s">
        <v>3283</v>
      </c>
      <c r="C616" s="3002" t="s">
        <v>3262</v>
      </c>
      <c r="D616" s="3000" t="s">
        <v>70</v>
      </c>
      <c r="E616" s="3002" t="s">
        <v>3148</v>
      </c>
      <c r="F616" s="3000">
        <v>70.44</v>
      </c>
      <c r="G616" s="3001" t="s">
        <v>3055</v>
      </c>
    </row>
    <row r="617" spans="1:7" ht="14.25" thickBot="1">
      <c r="A617" s="2999">
        <v>616</v>
      </c>
      <c r="B617" s="3000" t="s">
        <v>3283</v>
      </c>
      <c r="C617" s="3002" t="s">
        <v>3262</v>
      </c>
      <c r="D617" s="3000" t="s">
        <v>70</v>
      </c>
      <c r="E617" s="3002" t="s">
        <v>3149</v>
      </c>
      <c r="F617" s="3000">
        <v>70.400000000000006</v>
      </c>
      <c r="G617" s="3001" t="s">
        <v>3055</v>
      </c>
    </row>
    <row r="618" spans="1:7" ht="14.25" thickBot="1">
      <c r="A618" s="2999">
        <v>617</v>
      </c>
      <c r="B618" s="3000" t="s">
        <v>3283</v>
      </c>
      <c r="C618" s="3002" t="s">
        <v>3262</v>
      </c>
      <c r="D618" s="3000" t="s">
        <v>70</v>
      </c>
      <c r="E618" s="3002" t="s">
        <v>3150</v>
      </c>
      <c r="F618" s="3000">
        <v>67</v>
      </c>
      <c r="G618" s="3001" t="s">
        <v>3055</v>
      </c>
    </row>
    <row r="619" spans="1:7" ht="14.25" thickBot="1">
      <c r="A619" s="2999">
        <v>618</v>
      </c>
      <c r="B619" s="3000" t="s">
        <v>3283</v>
      </c>
      <c r="C619" s="3002" t="s">
        <v>3263</v>
      </c>
      <c r="D619" s="3000" t="s">
        <v>70</v>
      </c>
      <c r="E619" s="3002">
        <v>501</v>
      </c>
      <c r="F619" s="3000">
        <v>67</v>
      </c>
      <c r="G619" s="3001" t="s">
        <v>3055</v>
      </c>
    </row>
    <row r="620" spans="1:7" ht="14.25" thickBot="1">
      <c r="A620" s="2999">
        <v>619</v>
      </c>
      <c r="B620" s="3000" t="s">
        <v>3283</v>
      </c>
      <c r="C620" s="3002" t="s">
        <v>3263</v>
      </c>
      <c r="D620" s="3000" t="s">
        <v>70</v>
      </c>
      <c r="E620" s="3002">
        <v>502</v>
      </c>
      <c r="F620" s="3000">
        <v>70.400000000000006</v>
      </c>
      <c r="G620" s="3001" t="s">
        <v>3055</v>
      </c>
    </row>
    <row r="621" spans="1:7" ht="14.25" thickBot="1">
      <c r="A621" s="2999">
        <v>620</v>
      </c>
      <c r="B621" s="3000" t="s">
        <v>3283</v>
      </c>
      <c r="C621" s="3002" t="s">
        <v>3263</v>
      </c>
      <c r="D621" s="3000" t="s">
        <v>70</v>
      </c>
      <c r="E621" s="3002">
        <v>503</v>
      </c>
      <c r="F621" s="3000">
        <v>70.44</v>
      </c>
      <c r="G621" s="3001" t="s">
        <v>3055</v>
      </c>
    </row>
    <row r="622" spans="1:7" ht="14.25" thickBot="1">
      <c r="A622" s="2999">
        <v>621</v>
      </c>
      <c r="B622" s="3000" t="s">
        <v>3283</v>
      </c>
      <c r="C622" s="3002" t="s">
        <v>3263</v>
      </c>
      <c r="D622" s="3000" t="s">
        <v>70</v>
      </c>
      <c r="E622" s="3002">
        <v>505</v>
      </c>
      <c r="F622" s="3000">
        <v>70.44</v>
      </c>
      <c r="G622" s="3001" t="s">
        <v>3055</v>
      </c>
    </row>
    <row r="623" spans="1:7" ht="14.25" thickBot="1">
      <c r="A623" s="2999">
        <v>622</v>
      </c>
      <c r="B623" s="3000" t="s">
        <v>3283</v>
      </c>
      <c r="C623" s="3002" t="s">
        <v>3263</v>
      </c>
      <c r="D623" s="3000" t="s">
        <v>70</v>
      </c>
      <c r="E623" s="3002">
        <v>506</v>
      </c>
      <c r="F623" s="3000">
        <v>70.400000000000006</v>
      </c>
      <c r="G623" s="3001" t="s">
        <v>3055</v>
      </c>
    </row>
    <row r="624" spans="1:7" ht="14.25" thickBot="1">
      <c r="A624" s="2999">
        <v>623</v>
      </c>
      <c r="B624" s="3000" t="s">
        <v>3283</v>
      </c>
      <c r="C624" s="3002" t="s">
        <v>3263</v>
      </c>
      <c r="D624" s="3000" t="s">
        <v>70</v>
      </c>
      <c r="E624" s="3002">
        <v>507</v>
      </c>
      <c r="F624" s="3000">
        <v>67</v>
      </c>
      <c r="G624" s="3001" t="s">
        <v>3055</v>
      </c>
    </row>
    <row r="625" spans="1:7" ht="14.25" thickBot="1">
      <c r="A625" s="2999">
        <v>624</v>
      </c>
      <c r="B625" s="3000" t="s">
        <v>3284</v>
      </c>
      <c r="C625" s="3000" t="s">
        <v>3260</v>
      </c>
      <c r="D625" s="3000" t="s">
        <v>70</v>
      </c>
      <c r="E625" s="3002">
        <v>201</v>
      </c>
      <c r="F625" s="3000">
        <v>69.23</v>
      </c>
      <c r="G625" s="3001" t="s">
        <v>3055</v>
      </c>
    </row>
    <row r="626" spans="1:7" ht="14.25" thickBot="1">
      <c r="A626" s="2999">
        <v>625</v>
      </c>
      <c r="B626" s="3000" t="s">
        <v>3284</v>
      </c>
      <c r="C626" s="3000" t="s">
        <v>3260</v>
      </c>
      <c r="D626" s="3000" t="s">
        <v>70</v>
      </c>
      <c r="E626" s="3002">
        <v>202</v>
      </c>
      <c r="F626" s="3000">
        <v>70.77</v>
      </c>
      <c r="G626" s="3001" t="s">
        <v>3055</v>
      </c>
    </row>
    <row r="627" spans="1:7" ht="14.25" thickBot="1">
      <c r="A627" s="2999">
        <v>626</v>
      </c>
      <c r="B627" s="3000" t="s">
        <v>3284</v>
      </c>
      <c r="C627" s="3000" t="s">
        <v>3260</v>
      </c>
      <c r="D627" s="3000" t="s">
        <v>70</v>
      </c>
      <c r="E627" s="3002">
        <v>203</v>
      </c>
      <c r="F627" s="3000">
        <v>70.81</v>
      </c>
      <c r="G627" s="3001" t="s">
        <v>3055</v>
      </c>
    </row>
    <row r="628" spans="1:7" ht="14.25" thickBot="1">
      <c r="A628" s="2999">
        <v>627</v>
      </c>
      <c r="B628" s="3000" t="s">
        <v>3284</v>
      </c>
      <c r="C628" s="3000" t="s">
        <v>3260</v>
      </c>
      <c r="D628" s="3000" t="s">
        <v>70</v>
      </c>
      <c r="E628" s="3002">
        <v>205</v>
      </c>
      <c r="F628" s="3000">
        <v>70.81</v>
      </c>
      <c r="G628" s="3001" t="s">
        <v>3055</v>
      </c>
    </row>
    <row r="629" spans="1:7" ht="14.25" thickBot="1">
      <c r="A629" s="2999">
        <v>628</v>
      </c>
      <c r="B629" s="3000" t="s">
        <v>3284</v>
      </c>
      <c r="C629" s="3000" t="s">
        <v>3260</v>
      </c>
      <c r="D629" s="3000" t="s">
        <v>70</v>
      </c>
      <c r="E629" s="3002">
        <v>206</v>
      </c>
      <c r="F629" s="3000">
        <v>70.81</v>
      </c>
      <c r="G629" s="3001" t="s">
        <v>3055</v>
      </c>
    </row>
    <row r="630" spans="1:7" ht="14.25" thickBot="1">
      <c r="A630" s="2999">
        <v>629</v>
      </c>
      <c r="B630" s="3000" t="s">
        <v>3284</v>
      </c>
      <c r="C630" s="3000" t="s">
        <v>3261</v>
      </c>
      <c r="D630" s="3000" t="s">
        <v>70</v>
      </c>
      <c r="E630" s="3002">
        <v>301</v>
      </c>
      <c r="F630" s="3000">
        <v>69.23</v>
      </c>
      <c r="G630" s="3001" t="s">
        <v>3055</v>
      </c>
    </row>
    <row r="631" spans="1:7" ht="14.25" thickBot="1">
      <c r="A631" s="2999">
        <v>630</v>
      </c>
      <c r="B631" s="3000" t="s">
        <v>3284</v>
      </c>
      <c r="C631" s="3000" t="s">
        <v>3261</v>
      </c>
      <c r="D631" s="3000" t="s">
        <v>70</v>
      </c>
      <c r="E631" s="3002">
        <v>302</v>
      </c>
      <c r="F631" s="3000">
        <v>70.77</v>
      </c>
      <c r="G631" s="3001" t="s">
        <v>3055</v>
      </c>
    </row>
    <row r="632" spans="1:7" ht="14.25" thickBot="1">
      <c r="A632" s="2999">
        <v>631</v>
      </c>
      <c r="B632" s="3000" t="s">
        <v>3284</v>
      </c>
      <c r="C632" s="3000" t="s">
        <v>3261</v>
      </c>
      <c r="D632" s="3000" t="s">
        <v>70</v>
      </c>
      <c r="E632" s="3002">
        <v>303</v>
      </c>
      <c r="F632" s="3000">
        <v>70.81</v>
      </c>
      <c r="G632" s="3001" t="s">
        <v>3055</v>
      </c>
    </row>
    <row r="633" spans="1:7" ht="14.25" thickBot="1">
      <c r="A633" s="2999">
        <v>632</v>
      </c>
      <c r="B633" s="3000" t="s">
        <v>3284</v>
      </c>
      <c r="C633" s="3000" t="s">
        <v>3261</v>
      </c>
      <c r="D633" s="3000" t="s">
        <v>70</v>
      </c>
      <c r="E633" s="3002">
        <v>305</v>
      </c>
      <c r="F633" s="3000">
        <v>70.81</v>
      </c>
      <c r="G633" s="3001" t="s">
        <v>3055</v>
      </c>
    </row>
    <row r="634" spans="1:7" ht="14.25" thickBot="1">
      <c r="A634" s="2999">
        <v>633</v>
      </c>
      <c r="B634" s="3000" t="s">
        <v>3284</v>
      </c>
      <c r="C634" s="3000" t="s">
        <v>3261</v>
      </c>
      <c r="D634" s="3000" t="s">
        <v>70</v>
      </c>
      <c r="E634" s="3002">
        <v>306</v>
      </c>
      <c r="F634" s="3000">
        <v>70.81</v>
      </c>
      <c r="G634" s="3001" t="s">
        <v>3055</v>
      </c>
    </row>
    <row r="635" spans="1:7" ht="14.25" thickBot="1">
      <c r="A635" s="2999">
        <v>634</v>
      </c>
      <c r="B635" s="3000" t="s">
        <v>3284</v>
      </c>
      <c r="C635" s="3000" t="s">
        <v>3261</v>
      </c>
      <c r="D635" s="3000" t="s">
        <v>70</v>
      </c>
      <c r="E635" s="3002">
        <v>307</v>
      </c>
      <c r="F635" s="3000">
        <v>69.41</v>
      </c>
      <c r="G635" s="3001" t="s">
        <v>3055</v>
      </c>
    </row>
    <row r="636" spans="1:7" ht="14.25" thickBot="1">
      <c r="A636" s="2999">
        <v>635</v>
      </c>
      <c r="B636" s="3000" t="s">
        <v>3284</v>
      </c>
      <c r="C636" s="3000" t="s">
        <v>3261</v>
      </c>
      <c r="D636" s="3000" t="s">
        <v>70</v>
      </c>
      <c r="E636" s="3002">
        <v>308</v>
      </c>
      <c r="F636" s="3000">
        <v>65.7</v>
      </c>
      <c r="G636" s="3001" t="s">
        <v>3055</v>
      </c>
    </row>
    <row r="637" spans="1:7" ht="14.25" thickBot="1">
      <c r="A637" s="2999">
        <v>636</v>
      </c>
      <c r="B637" s="3000" t="s">
        <v>3285</v>
      </c>
      <c r="C637" s="3000" t="s">
        <v>3257</v>
      </c>
      <c r="D637" s="3000" t="s">
        <v>3258</v>
      </c>
      <c r="E637" s="3000">
        <v>101</v>
      </c>
      <c r="F637" s="3000">
        <v>66.28</v>
      </c>
      <c r="G637" s="3001" t="s">
        <v>3055</v>
      </c>
    </row>
    <row r="638" spans="1:7" ht="14.25" thickBot="1">
      <c r="A638" s="2999">
        <v>637</v>
      </c>
      <c r="B638" s="3000" t="s">
        <v>3285</v>
      </c>
      <c r="C638" s="3000" t="s">
        <v>3257</v>
      </c>
      <c r="D638" s="3000" t="s">
        <v>3258</v>
      </c>
      <c r="E638" s="3000">
        <v>102</v>
      </c>
      <c r="F638" s="3000">
        <v>69.77</v>
      </c>
      <c r="G638" s="3001" t="s">
        <v>3055</v>
      </c>
    </row>
    <row r="639" spans="1:7" ht="14.25" thickBot="1">
      <c r="A639" s="2999">
        <v>638</v>
      </c>
      <c r="B639" s="3000" t="s">
        <v>3285</v>
      </c>
      <c r="C639" s="3000" t="s">
        <v>3257</v>
      </c>
      <c r="D639" s="3000" t="s">
        <v>3258</v>
      </c>
      <c r="E639" s="3000">
        <v>103</v>
      </c>
      <c r="F639" s="3000">
        <v>69.94</v>
      </c>
      <c r="G639" s="3001" t="s">
        <v>3055</v>
      </c>
    </row>
    <row r="640" spans="1:7" ht="14.25" thickBot="1">
      <c r="A640" s="2999">
        <v>639</v>
      </c>
      <c r="B640" s="3000" t="s">
        <v>3285</v>
      </c>
      <c r="C640" s="3000" t="s">
        <v>3257</v>
      </c>
      <c r="D640" s="3000" t="s">
        <v>3258</v>
      </c>
      <c r="E640" s="3000">
        <v>105</v>
      </c>
      <c r="F640" s="3000">
        <v>69.94</v>
      </c>
      <c r="G640" s="3001" t="s">
        <v>3055</v>
      </c>
    </row>
    <row r="641" spans="1:7" ht="14.25" thickBot="1">
      <c r="A641" s="2999">
        <v>640</v>
      </c>
      <c r="B641" s="3000" t="s">
        <v>3285</v>
      </c>
      <c r="C641" s="3000" t="s">
        <v>3257</v>
      </c>
      <c r="D641" s="3000" t="s">
        <v>3258</v>
      </c>
      <c r="E641" s="3000">
        <v>106</v>
      </c>
      <c r="F641" s="3000">
        <v>69.77</v>
      </c>
      <c r="G641" s="3001" t="s">
        <v>3055</v>
      </c>
    </row>
    <row r="642" spans="1:7" ht="14.25" thickBot="1">
      <c r="A642" s="2999">
        <v>641</v>
      </c>
      <c r="B642" s="3000" t="s">
        <v>3285</v>
      </c>
      <c r="C642" s="3000" t="s">
        <v>3257</v>
      </c>
      <c r="D642" s="3000" t="s">
        <v>3258</v>
      </c>
      <c r="E642" s="3000">
        <v>107</v>
      </c>
      <c r="F642" s="3000">
        <v>66.28</v>
      </c>
      <c r="G642" s="3001" t="s">
        <v>3055</v>
      </c>
    </row>
    <row r="643" spans="1:7" ht="14.25" thickBot="1">
      <c r="A643" s="2999">
        <v>642</v>
      </c>
      <c r="B643" s="3000" t="s">
        <v>3285</v>
      </c>
      <c r="C643" s="3000" t="s">
        <v>3257</v>
      </c>
      <c r="D643" s="3000" t="s">
        <v>3259</v>
      </c>
      <c r="E643" s="3000">
        <v>101</v>
      </c>
      <c r="F643" s="3000">
        <v>66.28</v>
      </c>
      <c r="G643" s="3001" t="s">
        <v>3055</v>
      </c>
    </row>
    <row r="644" spans="1:7" ht="14.25" thickBot="1">
      <c r="A644" s="2999">
        <v>643</v>
      </c>
      <c r="B644" s="3000" t="s">
        <v>3285</v>
      </c>
      <c r="C644" s="3000" t="s">
        <v>3257</v>
      </c>
      <c r="D644" s="3000" t="s">
        <v>3259</v>
      </c>
      <c r="E644" s="3000">
        <v>102</v>
      </c>
      <c r="F644" s="3000">
        <v>69.77</v>
      </c>
      <c r="G644" s="3001" t="s">
        <v>3055</v>
      </c>
    </row>
    <row r="645" spans="1:7" ht="14.25" thickBot="1">
      <c r="A645" s="2999">
        <v>644</v>
      </c>
      <c r="B645" s="3000" t="s">
        <v>3285</v>
      </c>
      <c r="C645" s="3000" t="s">
        <v>3257</v>
      </c>
      <c r="D645" s="3000" t="s">
        <v>3259</v>
      </c>
      <c r="E645" s="3000">
        <v>103</v>
      </c>
      <c r="F645" s="3000">
        <v>69.94</v>
      </c>
      <c r="G645" s="3001" t="s">
        <v>3055</v>
      </c>
    </row>
    <row r="646" spans="1:7" ht="14.25" thickBot="1">
      <c r="A646" s="2999">
        <v>645</v>
      </c>
      <c r="B646" s="3000" t="s">
        <v>3285</v>
      </c>
      <c r="C646" s="3000" t="s">
        <v>3257</v>
      </c>
      <c r="D646" s="3000" t="s">
        <v>3259</v>
      </c>
      <c r="E646" s="3000">
        <v>105</v>
      </c>
      <c r="F646" s="3000">
        <v>69.94</v>
      </c>
      <c r="G646" s="3001" t="s">
        <v>3055</v>
      </c>
    </row>
    <row r="647" spans="1:7" ht="14.25" thickBot="1">
      <c r="A647" s="2999">
        <v>646</v>
      </c>
      <c r="B647" s="3000" t="s">
        <v>3285</v>
      </c>
      <c r="C647" s="3000" t="s">
        <v>3257</v>
      </c>
      <c r="D647" s="3000" t="s">
        <v>3259</v>
      </c>
      <c r="E647" s="3000">
        <v>106</v>
      </c>
      <c r="F647" s="3000">
        <v>69.77</v>
      </c>
      <c r="G647" s="3001" t="s">
        <v>3055</v>
      </c>
    </row>
    <row r="648" spans="1:7" ht="14.25" thickBot="1">
      <c r="A648" s="2999">
        <v>647</v>
      </c>
      <c r="B648" s="3000" t="s">
        <v>3285</v>
      </c>
      <c r="C648" s="3000" t="s">
        <v>3257</v>
      </c>
      <c r="D648" s="3000" t="s">
        <v>3259</v>
      </c>
      <c r="E648" s="3000">
        <v>107</v>
      </c>
      <c r="F648" s="3000">
        <v>66.28</v>
      </c>
      <c r="G648" s="3001" t="s">
        <v>3055</v>
      </c>
    </row>
    <row r="649" spans="1:7" ht="14.25" thickBot="1">
      <c r="A649" s="2999">
        <v>648</v>
      </c>
      <c r="B649" s="3000" t="s">
        <v>3285</v>
      </c>
      <c r="C649" s="3000" t="s">
        <v>3260</v>
      </c>
      <c r="D649" s="3000" t="s">
        <v>3258</v>
      </c>
      <c r="E649" s="3000">
        <v>206</v>
      </c>
      <c r="F649" s="3000">
        <v>69.77</v>
      </c>
      <c r="G649" s="3001" t="s">
        <v>3055</v>
      </c>
    </row>
    <row r="650" spans="1:7" ht="14.25" thickBot="1">
      <c r="A650" s="2999">
        <v>649</v>
      </c>
      <c r="B650" s="3000" t="s">
        <v>3285</v>
      </c>
      <c r="C650" s="3000" t="s">
        <v>3260</v>
      </c>
      <c r="D650" s="3000" t="s">
        <v>3258</v>
      </c>
      <c r="E650" s="3000">
        <v>207</v>
      </c>
      <c r="F650" s="3000">
        <v>66.28</v>
      </c>
      <c r="G650" s="3001" t="s">
        <v>3055</v>
      </c>
    </row>
    <row r="651" spans="1:7" ht="14.25" thickBot="1">
      <c r="A651" s="2999">
        <v>650</v>
      </c>
      <c r="B651" s="3000" t="s">
        <v>3285</v>
      </c>
      <c r="C651" s="3000" t="s">
        <v>3262</v>
      </c>
      <c r="D651" s="3000" t="s">
        <v>3258</v>
      </c>
      <c r="E651" s="3000" t="s">
        <v>3145</v>
      </c>
      <c r="F651" s="3000">
        <v>66.28</v>
      </c>
      <c r="G651" s="3001" t="s">
        <v>3055</v>
      </c>
    </row>
    <row r="652" spans="1:7" ht="14.25" thickBot="1">
      <c r="A652" s="2999">
        <v>651</v>
      </c>
      <c r="B652" s="3000" t="s">
        <v>3285</v>
      </c>
      <c r="C652" s="3000" t="s">
        <v>3262</v>
      </c>
      <c r="D652" s="3000" t="s">
        <v>3258</v>
      </c>
      <c r="E652" s="3000" t="s">
        <v>3150</v>
      </c>
      <c r="F652" s="3000">
        <v>66.28</v>
      </c>
      <c r="G652" s="3001" t="s">
        <v>3055</v>
      </c>
    </row>
    <row r="653" spans="1:7" ht="14.25" thickBot="1">
      <c r="A653" s="2999">
        <v>652</v>
      </c>
      <c r="B653" s="3000" t="s">
        <v>3285</v>
      </c>
      <c r="C653" s="3000" t="s">
        <v>3263</v>
      </c>
      <c r="D653" s="3000" t="s">
        <v>3258</v>
      </c>
      <c r="E653" s="3000">
        <v>506</v>
      </c>
      <c r="F653" s="3000">
        <v>69.77</v>
      </c>
      <c r="G653" s="3001" t="s">
        <v>3055</v>
      </c>
    </row>
    <row r="654" spans="1:7" ht="14.25" thickBot="1">
      <c r="A654" s="2999">
        <v>653</v>
      </c>
      <c r="B654" s="3000" t="s">
        <v>3285</v>
      </c>
      <c r="C654" s="3000" t="s">
        <v>3263</v>
      </c>
      <c r="D654" s="3000" t="s">
        <v>3258</v>
      </c>
      <c r="E654" s="3000">
        <v>507</v>
      </c>
      <c r="F654" s="3000">
        <v>66.28</v>
      </c>
      <c r="G654" s="3001" t="s">
        <v>3055</v>
      </c>
    </row>
    <row r="655" spans="1:7" ht="14.25" thickBot="1">
      <c r="A655" s="2999">
        <v>654</v>
      </c>
      <c r="B655" s="3000" t="s">
        <v>3285</v>
      </c>
      <c r="C655" s="3000" t="s">
        <v>3263</v>
      </c>
      <c r="D655" s="3000" t="s">
        <v>3259</v>
      </c>
      <c r="E655" s="3000">
        <v>507</v>
      </c>
      <c r="F655" s="3000">
        <v>66.28</v>
      </c>
      <c r="G655" s="3001" t="s">
        <v>3055</v>
      </c>
    </row>
    <row r="656" spans="1:7" ht="14.25" thickBot="1">
      <c r="A656" s="2999">
        <v>655</v>
      </c>
      <c r="B656" s="3000" t="s">
        <v>3285</v>
      </c>
      <c r="C656" s="3000" t="s">
        <v>3264</v>
      </c>
      <c r="D656" s="3000" t="s">
        <v>3258</v>
      </c>
      <c r="E656" s="3000">
        <v>602</v>
      </c>
      <c r="F656" s="3000">
        <v>69.77</v>
      </c>
      <c r="G656" s="3001" t="s">
        <v>3055</v>
      </c>
    </row>
    <row r="657" spans="1:7" ht="14.25" thickBot="1">
      <c r="A657" s="2999">
        <v>656</v>
      </c>
      <c r="B657" s="3000" t="s">
        <v>3285</v>
      </c>
      <c r="C657" s="3000" t="s">
        <v>3264</v>
      </c>
      <c r="D657" s="3000" t="s">
        <v>3258</v>
      </c>
      <c r="E657" s="3000">
        <v>603</v>
      </c>
      <c r="F657" s="3000">
        <v>69.94</v>
      </c>
      <c r="G657" s="3001" t="s">
        <v>3055</v>
      </c>
    </row>
    <row r="658" spans="1:7" ht="14.25" thickBot="1">
      <c r="A658" s="2999">
        <v>657</v>
      </c>
      <c r="B658" s="3000" t="s">
        <v>3285</v>
      </c>
      <c r="C658" s="3000" t="s">
        <v>3264</v>
      </c>
      <c r="D658" s="3000" t="s">
        <v>3258</v>
      </c>
      <c r="E658" s="3000">
        <v>605</v>
      </c>
      <c r="F658" s="3000">
        <v>69.94</v>
      </c>
      <c r="G658" s="3001" t="s">
        <v>3055</v>
      </c>
    </row>
    <row r="659" spans="1:7" ht="14.25" thickBot="1">
      <c r="A659" s="2999">
        <v>658</v>
      </c>
      <c r="B659" s="3000" t="s">
        <v>3285</v>
      </c>
      <c r="C659" s="3000" t="s">
        <v>3264</v>
      </c>
      <c r="D659" s="3000" t="s">
        <v>3258</v>
      </c>
      <c r="E659" s="3000">
        <v>606</v>
      </c>
      <c r="F659" s="3000">
        <v>69.77</v>
      </c>
      <c r="G659" s="3001" t="s">
        <v>3055</v>
      </c>
    </row>
    <row r="660" spans="1:7" ht="14.25" thickBot="1">
      <c r="A660" s="2999">
        <v>659</v>
      </c>
      <c r="B660" s="3000" t="s">
        <v>3285</v>
      </c>
      <c r="C660" s="3000" t="s">
        <v>3264</v>
      </c>
      <c r="D660" s="3000" t="s">
        <v>3259</v>
      </c>
      <c r="E660" s="3000">
        <v>603</v>
      </c>
      <c r="F660" s="3000">
        <v>69.94</v>
      </c>
      <c r="G660" s="3001" t="s">
        <v>3055</v>
      </c>
    </row>
    <row r="661" spans="1:7" ht="14.25" thickBot="1">
      <c r="A661" s="2999">
        <v>660</v>
      </c>
      <c r="B661" s="3000" t="s">
        <v>3285</v>
      </c>
      <c r="C661" s="3000" t="s">
        <v>3264</v>
      </c>
      <c r="D661" s="3000" t="s">
        <v>3259</v>
      </c>
      <c r="E661" s="3000">
        <v>605</v>
      </c>
      <c r="F661" s="3000">
        <v>69.94</v>
      </c>
      <c r="G661" s="3001" t="s">
        <v>3055</v>
      </c>
    </row>
    <row r="662" spans="1:7" ht="14.25" thickBot="1">
      <c r="A662" s="2999">
        <v>661</v>
      </c>
      <c r="B662" s="3000" t="s">
        <v>3285</v>
      </c>
      <c r="C662" s="3000" t="s">
        <v>3264</v>
      </c>
      <c r="D662" s="3000" t="s">
        <v>3259</v>
      </c>
      <c r="E662" s="3000">
        <v>606</v>
      </c>
      <c r="F662" s="3000">
        <v>69.77</v>
      </c>
      <c r="G662" s="3001" t="s">
        <v>3055</v>
      </c>
    </row>
    <row r="663" spans="1:7" ht="14.25" thickBot="1">
      <c r="A663" s="2999">
        <v>662</v>
      </c>
      <c r="B663" s="3000" t="s">
        <v>3286</v>
      </c>
      <c r="C663" s="3002" t="s">
        <v>3287</v>
      </c>
      <c r="D663" s="3000" t="s">
        <v>70</v>
      </c>
      <c r="E663" s="3002">
        <v>601</v>
      </c>
      <c r="F663" s="3000">
        <v>69.679999999999993</v>
      </c>
      <c r="G663" s="3000" t="s">
        <v>3288</v>
      </c>
    </row>
    <row r="664" spans="1:7" ht="14.25" thickBot="1">
      <c r="A664" s="2999">
        <v>663</v>
      </c>
      <c r="B664" s="3000" t="s">
        <v>3286</v>
      </c>
      <c r="C664" s="3002" t="s">
        <v>3287</v>
      </c>
      <c r="D664" s="3000" t="s">
        <v>70</v>
      </c>
      <c r="E664" s="3002">
        <v>602</v>
      </c>
      <c r="F664" s="3000">
        <v>71.23</v>
      </c>
      <c r="G664" s="3000" t="s">
        <v>3288</v>
      </c>
    </row>
    <row r="665" spans="1:7" ht="14.25" thickBot="1">
      <c r="A665" s="2999">
        <v>664</v>
      </c>
      <c r="B665" s="3000" t="s">
        <v>3286</v>
      </c>
      <c r="C665" s="3002" t="s">
        <v>3287</v>
      </c>
      <c r="D665" s="3000" t="s">
        <v>70</v>
      </c>
      <c r="E665" s="3002">
        <v>603</v>
      </c>
      <c r="F665" s="3000">
        <v>71.27</v>
      </c>
      <c r="G665" s="3000" t="s">
        <v>3288</v>
      </c>
    </row>
    <row r="666" spans="1:7" ht="14.25" thickBot="1">
      <c r="A666" s="2999">
        <v>665</v>
      </c>
      <c r="B666" s="3000" t="s">
        <v>3286</v>
      </c>
      <c r="C666" s="3000" t="s">
        <v>3287</v>
      </c>
      <c r="D666" s="3000" t="s">
        <v>70</v>
      </c>
      <c r="E666" s="3002">
        <v>605</v>
      </c>
      <c r="F666" s="3000">
        <v>71.27</v>
      </c>
      <c r="G666" s="3000" t="s">
        <v>3288</v>
      </c>
    </row>
    <row r="667" spans="1:7" ht="14.25" thickBot="1">
      <c r="A667" s="2999">
        <v>666</v>
      </c>
      <c r="B667" s="3000" t="s">
        <v>3286</v>
      </c>
      <c r="C667" s="3002" t="s">
        <v>3287</v>
      </c>
      <c r="D667" s="3000" t="s">
        <v>70</v>
      </c>
      <c r="E667" s="3002">
        <v>606</v>
      </c>
      <c r="F667" s="3000">
        <v>71.27</v>
      </c>
      <c r="G667" s="3000" t="s">
        <v>3288</v>
      </c>
    </row>
    <row r="668" spans="1:7" ht="14.25" thickBot="1">
      <c r="A668" s="2999">
        <v>667</v>
      </c>
      <c r="B668" s="3000" t="s">
        <v>3286</v>
      </c>
      <c r="C668" s="3002" t="s">
        <v>3287</v>
      </c>
      <c r="D668" s="3000" t="s">
        <v>70</v>
      </c>
      <c r="E668" s="3002">
        <v>607</v>
      </c>
      <c r="F668" s="3000">
        <v>69.87</v>
      </c>
      <c r="G668" s="3000" t="s">
        <v>3288</v>
      </c>
    </row>
    <row r="669" spans="1:7" ht="14.25" thickBot="1">
      <c r="A669" s="2999">
        <v>668</v>
      </c>
      <c r="B669" s="3000" t="s">
        <v>3286</v>
      </c>
      <c r="C669" s="3002" t="s">
        <v>3287</v>
      </c>
      <c r="D669" s="3000" t="s">
        <v>70</v>
      </c>
      <c r="E669" s="3002">
        <v>608</v>
      </c>
      <c r="F669" s="3000">
        <v>66.13</v>
      </c>
      <c r="G669" s="3000" t="s">
        <v>3288</v>
      </c>
    </row>
    <row r="670" spans="1:7" ht="14.25" thickBot="1">
      <c r="A670" s="2999">
        <v>669</v>
      </c>
      <c r="B670" s="3000" t="s">
        <v>3289</v>
      </c>
      <c r="C670" s="3000" t="s">
        <v>3287</v>
      </c>
      <c r="D670" s="3000" t="s">
        <v>70</v>
      </c>
      <c r="E670" s="3002">
        <v>601</v>
      </c>
      <c r="F670" s="3000">
        <v>67</v>
      </c>
      <c r="G670" s="3000" t="s">
        <v>3288</v>
      </c>
    </row>
    <row r="671" spans="1:7" ht="14.25" thickBot="1">
      <c r="A671" s="2999">
        <v>670</v>
      </c>
      <c r="B671" s="3000" t="s">
        <v>3289</v>
      </c>
      <c r="C671" s="3002" t="s">
        <v>3287</v>
      </c>
      <c r="D671" s="3000" t="s">
        <v>70</v>
      </c>
      <c r="E671" s="3002">
        <v>602</v>
      </c>
      <c r="F671" s="3000">
        <v>70.400000000000006</v>
      </c>
      <c r="G671" s="3000" t="s">
        <v>3288</v>
      </c>
    </row>
    <row r="672" spans="1:7" ht="14.25" thickBot="1">
      <c r="A672" s="2999">
        <v>671</v>
      </c>
      <c r="B672" s="3000" t="s">
        <v>3289</v>
      </c>
      <c r="C672" s="3002" t="s">
        <v>3287</v>
      </c>
      <c r="D672" s="3000" t="s">
        <v>70</v>
      </c>
      <c r="E672" s="3002">
        <v>603</v>
      </c>
      <c r="F672" s="3000">
        <v>70.44</v>
      </c>
      <c r="G672" s="3000" t="s">
        <v>3288</v>
      </c>
    </row>
    <row r="673" spans="1:7" ht="14.25" thickBot="1">
      <c r="A673" s="2999">
        <v>672</v>
      </c>
      <c r="B673" s="3000" t="s">
        <v>3289</v>
      </c>
      <c r="C673" s="3002" t="s">
        <v>3287</v>
      </c>
      <c r="D673" s="3000" t="s">
        <v>70</v>
      </c>
      <c r="E673" s="3002">
        <v>605</v>
      </c>
      <c r="F673" s="3000">
        <v>70.44</v>
      </c>
      <c r="G673" s="3000" t="s">
        <v>3288</v>
      </c>
    </row>
    <row r="674" spans="1:7" ht="14.25" thickBot="1">
      <c r="A674" s="2999">
        <v>673</v>
      </c>
      <c r="B674" s="3000" t="s">
        <v>3289</v>
      </c>
      <c r="C674" s="3000" t="s">
        <v>3287</v>
      </c>
      <c r="D674" s="3000" t="s">
        <v>70</v>
      </c>
      <c r="E674" s="3002">
        <v>606</v>
      </c>
      <c r="F674" s="3000">
        <v>70.400000000000006</v>
      </c>
      <c r="G674" s="3000" t="s">
        <v>3288</v>
      </c>
    </row>
    <row r="675" spans="1:7" ht="14.25" thickBot="1">
      <c r="A675" s="2999">
        <v>674</v>
      </c>
      <c r="B675" s="3000" t="s">
        <v>3289</v>
      </c>
      <c r="C675" s="3002" t="s">
        <v>3287</v>
      </c>
      <c r="D675" s="3000" t="s">
        <v>70</v>
      </c>
      <c r="E675" s="3002">
        <v>607</v>
      </c>
      <c r="F675" s="3000">
        <v>67</v>
      </c>
      <c r="G675" s="3000" t="s">
        <v>3288</v>
      </c>
    </row>
    <row r="676" spans="1:7" ht="14.25" thickBot="1">
      <c r="A676" s="2999">
        <v>675</v>
      </c>
      <c r="B676" s="3000" t="s">
        <v>3290</v>
      </c>
      <c r="C676" s="3000" t="s">
        <v>3291</v>
      </c>
      <c r="D676" s="3000" t="s">
        <v>70</v>
      </c>
      <c r="E676" s="3000" t="s">
        <v>3130</v>
      </c>
      <c r="F676" s="3000">
        <v>1326.16</v>
      </c>
      <c r="G676" s="3001" t="s">
        <v>3292</v>
      </c>
    </row>
    <row r="677" spans="1:7" ht="14.25" thickBot="1">
      <c r="A677" s="2999">
        <v>676</v>
      </c>
      <c r="B677" s="3000" t="s">
        <v>3293</v>
      </c>
      <c r="C677" s="3000" t="s">
        <v>3291</v>
      </c>
      <c r="D677" s="3000" t="s">
        <v>70</v>
      </c>
      <c r="E677" s="3000" t="s">
        <v>3130</v>
      </c>
      <c r="F677" s="3000">
        <v>884.71</v>
      </c>
      <c r="G677" s="3001" t="s">
        <v>3292</v>
      </c>
    </row>
    <row r="678" spans="1:7" ht="14.25" thickBot="1">
      <c r="A678" s="2999">
        <v>677</v>
      </c>
      <c r="B678" s="3000" t="s">
        <v>3267</v>
      </c>
      <c r="C678" s="3002" t="s">
        <v>3257</v>
      </c>
      <c r="D678" s="3000" t="s">
        <v>70</v>
      </c>
      <c r="E678" s="3002" t="s">
        <v>3132</v>
      </c>
      <c r="F678" s="3000">
        <v>98.4</v>
      </c>
      <c r="G678" s="3001" t="s">
        <v>1373</v>
      </c>
    </row>
    <row r="679" spans="1:7" ht="14.25" thickBot="1">
      <c r="A679" s="2999">
        <v>678</v>
      </c>
      <c r="B679" s="3000" t="s">
        <v>3267</v>
      </c>
      <c r="C679" s="3002" t="s">
        <v>3257</v>
      </c>
      <c r="D679" s="3000" t="s">
        <v>70</v>
      </c>
      <c r="E679" s="3002" t="s">
        <v>3134</v>
      </c>
      <c r="F679" s="3000">
        <v>104.81</v>
      </c>
      <c r="G679" s="3001" t="s">
        <v>1373</v>
      </c>
    </row>
    <row r="680" spans="1:7" ht="14.25" thickBot="1">
      <c r="A680" s="2999">
        <v>679</v>
      </c>
      <c r="B680" s="3000" t="s">
        <v>3267</v>
      </c>
      <c r="C680" s="3002" t="s">
        <v>3257</v>
      </c>
      <c r="D680" s="3000" t="s">
        <v>70</v>
      </c>
      <c r="E680" s="3002" t="s">
        <v>3135</v>
      </c>
      <c r="F680" s="3000">
        <v>103.82</v>
      </c>
      <c r="G680" s="3001" t="s">
        <v>1373</v>
      </c>
    </row>
    <row r="681" spans="1:7" ht="14.25" thickBot="1">
      <c r="A681" s="2999">
        <v>680</v>
      </c>
      <c r="B681" s="3000" t="s">
        <v>3267</v>
      </c>
      <c r="C681" s="3002" t="s">
        <v>3257</v>
      </c>
      <c r="D681" s="3000" t="s">
        <v>70</v>
      </c>
      <c r="E681" s="3002" t="s">
        <v>3136</v>
      </c>
      <c r="F681" s="3000">
        <v>53.71</v>
      </c>
      <c r="G681" s="3001" t="s">
        <v>1373</v>
      </c>
    </row>
    <row r="682" spans="1:7" ht="14.25" thickBot="1">
      <c r="A682" s="2999">
        <v>681</v>
      </c>
      <c r="B682" s="3000" t="s">
        <v>3267</v>
      </c>
      <c r="C682" s="3002" t="s">
        <v>3257</v>
      </c>
      <c r="D682" s="3000" t="s">
        <v>70</v>
      </c>
      <c r="E682" s="3002" t="s">
        <v>3137</v>
      </c>
      <c r="F682" s="3000">
        <v>104.82</v>
      </c>
      <c r="G682" s="3001" t="s">
        <v>1373</v>
      </c>
    </row>
    <row r="683" spans="1:7" ht="14.25" thickBot="1">
      <c r="A683" s="2999">
        <v>682</v>
      </c>
      <c r="B683" s="3000" t="s">
        <v>3267</v>
      </c>
      <c r="C683" s="3002" t="s">
        <v>3257</v>
      </c>
      <c r="D683" s="3000" t="s">
        <v>70</v>
      </c>
      <c r="E683" s="3002" t="s">
        <v>3138</v>
      </c>
      <c r="F683" s="3000">
        <v>89.47</v>
      </c>
      <c r="G683" s="3001" t="s">
        <v>1373</v>
      </c>
    </row>
    <row r="684" spans="1:7" ht="14.25" thickBot="1">
      <c r="A684" s="2999">
        <v>683</v>
      </c>
      <c r="B684" s="3000" t="s">
        <v>3267</v>
      </c>
      <c r="C684" s="3002" t="s">
        <v>3257</v>
      </c>
      <c r="D684" s="3000" t="s">
        <v>70</v>
      </c>
      <c r="E684" s="3002" t="s">
        <v>3139</v>
      </c>
      <c r="F684" s="3000">
        <v>89.47</v>
      </c>
      <c r="G684" s="3001" t="s">
        <v>1373</v>
      </c>
    </row>
    <row r="685" spans="1:7" ht="14.25" thickBot="1">
      <c r="A685" s="2999">
        <v>684</v>
      </c>
      <c r="B685" s="3000" t="s">
        <v>3267</v>
      </c>
      <c r="C685" s="3002" t="s">
        <v>3257</v>
      </c>
      <c r="D685" s="3000" t="s">
        <v>70</v>
      </c>
      <c r="E685" s="3002" t="s">
        <v>3140</v>
      </c>
      <c r="F685" s="3000">
        <v>104.82</v>
      </c>
      <c r="G685" s="3001" t="s">
        <v>1373</v>
      </c>
    </row>
    <row r="686" spans="1:7" ht="14.25" thickBot="1">
      <c r="A686" s="2999">
        <v>685</v>
      </c>
      <c r="B686" s="3000" t="s">
        <v>3267</v>
      </c>
      <c r="C686" s="3002" t="s">
        <v>3257</v>
      </c>
      <c r="D686" s="3000" t="s">
        <v>70</v>
      </c>
      <c r="E686" s="3002" t="s">
        <v>3141</v>
      </c>
      <c r="F686" s="3000">
        <v>53.71</v>
      </c>
      <c r="G686" s="3001" t="s">
        <v>1373</v>
      </c>
    </row>
    <row r="687" spans="1:7" ht="14.25" thickBot="1">
      <c r="A687" s="2999">
        <v>686</v>
      </c>
      <c r="B687" s="3000" t="s">
        <v>3267</v>
      </c>
      <c r="C687" s="3002" t="s">
        <v>3257</v>
      </c>
      <c r="D687" s="3000" t="s">
        <v>70</v>
      </c>
      <c r="E687" s="3002" t="s">
        <v>3142</v>
      </c>
      <c r="F687" s="3000">
        <v>103.82</v>
      </c>
      <c r="G687" s="3001" t="s">
        <v>1373</v>
      </c>
    </row>
    <row r="688" spans="1:7" ht="14.25" thickBot="1">
      <c r="A688" s="2999">
        <v>687</v>
      </c>
      <c r="B688" s="3000" t="s">
        <v>3267</v>
      </c>
      <c r="C688" s="3002" t="s">
        <v>3257</v>
      </c>
      <c r="D688" s="3000" t="s">
        <v>70</v>
      </c>
      <c r="E688" s="3002" t="s">
        <v>3164</v>
      </c>
      <c r="F688" s="3000">
        <v>104.81</v>
      </c>
      <c r="G688" s="3001" t="s">
        <v>1373</v>
      </c>
    </row>
    <row r="689" spans="1:7" ht="14.25" thickBot="1">
      <c r="A689" s="2999">
        <v>688</v>
      </c>
      <c r="B689" s="3000" t="s">
        <v>3267</v>
      </c>
      <c r="C689" s="3002" t="s">
        <v>3257</v>
      </c>
      <c r="D689" s="3000" t="s">
        <v>70</v>
      </c>
      <c r="E689" s="3002" t="s">
        <v>3165</v>
      </c>
      <c r="F689" s="3000">
        <v>89.47</v>
      </c>
      <c r="G689" s="3001" t="s">
        <v>1373</v>
      </c>
    </row>
    <row r="690" spans="1:7" ht="14.25" thickBot="1">
      <c r="A690" s="2999">
        <v>689</v>
      </c>
      <c r="B690" s="3000" t="s">
        <v>3268</v>
      </c>
      <c r="C690" s="3002" t="s">
        <v>3257</v>
      </c>
      <c r="D690" s="3000" t="s">
        <v>3258</v>
      </c>
      <c r="E690" s="3002" t="s">
        <v>3132</v>
      </c>
      <c r="F690" s="3000">
        <v>117.68</v>
      </c>
      <c r="G690" s="3001" t="s">
        <v>1373</v>
      </c>
    </row>
    <row r="691" spans="1:7" ht="14.25" thickBot="1">
      <c r="A691" s="2999">
        <v>690</v>
      </c>
      <c r="B691" s="3000" t="s">
        <v>3268</v>
      </c>
      <c r="C691" s="3002" t="s">
        <v>3257</v>
      </c>
      <c r="D691" s="3000" t="s">
        <v>3258</v>
      </c>
      <c r="E691" s="3002" t="s">
        <v>3134</v>
      </c>
      <c r="F691" s="3000">
        <v>87.15</v>
      </c>
      <c r="G691" s="3001" t="s">
        <v>1373</v>
      </c>
    </row>
    <row r="692" spans="1:7" ht="14.25" thickBot="1">
      <c r="A692" s="2999">
        <v>691</v>
      </c>
      <c r="B692" s="3000" t="s">
        <v>3268</v>
      </c>
      <c r="C692" s="3002" t="s">
        <v>3257</v>
      </c>
      <c r="D692" s="3000" t="s">
        <v>3258</v>
      </c>
      <c r="E692" s="3002" t="s">
        <v>3135</v>
      </c>
      <c r="F692" s="3000">
        <v>85.07</v>
      </c>
      <c r="G692" s="3001" t="s">
        <v>1373</v>
      </c>
    </row>
    <row r="693" spans="1:7" ht="14.25" thickBot="1">
      <c r="A693" s="2999">
        <v>692</v>
      </c>
      <c r="B693" s="3000" t="s">
        <v>3268</v>
      </c>
      <c r="C693" s="3002" t="s">
        <v>3257</v>
      </c>
      <c r="D693" s="3000" t="s">
        <v>3258</v>
      </c>
      <c r="E693" s="3002" t="s">
        <v>3136</v>
      </c>
      <c r="F693" s="3000">
        <v>86.32</v>
      </c>
      <c r="G693" s="3001" t="s">
        <v>1373</v>
      </c>
    </row>
    <row r="694" spans="1:7" ht="14.25" thickBot="1">
      <c r="A694" s="2999">
        <v>693</v>
      </c>
      <c r="B694" s="3000" t="s">
        <v>3268</v>
      </c>
      <c r="C694" s="3002" t="s">
        <v>3257</v>
      </c>
      <c r="D694" s="3000" t="s">
        <v>3258</v>
      </c>
      <c r="E694" s="3002" t="s">
        <v>3137</v>
      </c>
      <c r="F694" s="3000">
        <v>113.33</v>
      </c>
      <c r="G694" s="3001" t="s">
        <v>1373</v>
      </c>
    </row>
    <row r="695" spans="1:7" ht="14.25" thickBot="1">
      <c r="A695" s="2999">
        <v>694</v>
      </c>
      <c r="B695" s="3000" t="s">
        <v>3268</v>
      </c>
      <c r="C695" s="3002" t="s">
        <v>3257</v>
      </c>
      <c r="D695" s="3000" t="s">
        <v>3258</v>
      </c>
      <c r="E695" s="3002" t="s">
        <v>3138</v>
      </c>
      <c r="F695" s="3000">
        <v>113.33</v>
      </c>
      <c r="G695" s="3001" t="s">
        <v>1373</v>
      </c>
    </row>
    <row r="696" spans="1:7" ht="14.25" thickBot="1">
      <c r="A696" s="2999">
        <v>695</v>
      </c>
      <c r="B696" s="3000" t="s">
        <v>3268</v>
      </c>
      <c r="C696" s="3002" t="s">
        <v>3257</v>
      </c>
      <c r="D696" s="3000" t="s">
        <v>3258</v>
      </c>
      <c r="E696" s="3002" t="s">
        <v>3139</v>
      </c>
      <c r="F696" s="3000">
        <v>86.32</v>
      </c>
      <c r="G696" s="3001" t="s">
        <v>1373</v>
      </c>
    </row>
    <row r="697" spans="1:7" ht="14.25" thickBot="1">
      <c r="A697" s="2999">
        <v>696</v>
      </c>
      <c r="B697" s="3000" t="s">
        <v>3268</v>
      </c>
      <c r="C697" s="3002" t="s">
        <v>3257</v>
      </c>
      <c r="D697" s="3000" t="s">
        <v>3258</v>
      </c>
      <c r="E697" s="3002" t="s">
        <v>3140</v>
      </c>
      <c r="F697" s="3000">
        <v>85.07</v>
      </c>
      <c r="G697" s="3001" t="s">
        <v>1373</v>
      </c>
    </row>
    <row r="698" spans="1:7" ht="14.25" thickBot="1">
      <c r="A698" s="2999">
        <v>697</v>
      </c>
      <c r="B698" s="3000" t="s">
        <v>3268</v>
      </c>
      <c r="C698" s="3002" t="s">
        <v>3257</v>
      </c>
      <c r="D698" s="3000" t="s">
        <v>3258</v>
      </c>
      <c r="E698" s="3002" t="s">
        <v>3141</v>
      </c>
      <c r="F698" s="3000">
        <v>87.15</v>
      </c>
      <c r="G698" s="3001" t="s">
        <v>1373</v>
      </c>
    </row>
    <row r="699" spans="1:7" ht="14.25" thickBot="1">
      <c r="A699" s="2999">
        <v>698</v>
      </c>
      <c r="B699" s="3000" t="s">
        <v>3268</v>
      </c>
      <c r="C699" s="3002" t="s">
        <v>3257</v>
      </c>
      <c r="D699" s="3000" t="s">
        <v>3258</v>
      </c>
      <c r="E699" s="3002" t="s">
        <v>3142</v>
      </c>
      <c r="F699" s="3000">
        <v>117.68</v>
      </c>
      <c r="G699" s="3001" t="s">
        <v>1373</v>
      </c>
    </row>
    <row r="700" spans="1:7" ht="14.25" thickBot="1">
      <c r="A700" s="2999">
        <v>699</v>
      </c>
      <c r="B700" s="3000" t="s">
        <v>3280</v>
      </c>
      <c r="C700" s="3000" t="s">
        <v>3257</v>
      </c>
      <c r="D700" s="3000" t="s">
        <v>70</v>
      </c>
      <c r="E700" s="3000" t="s">
        <v>3132</v>
      </c>
      <c r="F700" s="3000">
        <v>72.75</v>
      </c>
      <c r="G700" s="3001" t="s">
        <v>1373</v>
      </c>
    </row>
    <row r="701" spans="1:7" ht="14.25" thickBot="1">
      <c r="A701" s="2999">
        <v>700</v>
      </c>
      <c r="B701" s="3000" t="s">
        <v>3280</v>
      </c>
      <c r="C701" s="3000" t="s">
        <v>3257</v>
      </c>
      <c r="D701" s="3000" t="s">
        <v>70</v>
      </c>
      <c r="E701" s="3000" t="s">
        <v>3134</v>
      </c>
      <c r="F701" s="3000">
        <v>54.97</v>
      </c>
      <c r="G701" s="3001" t="s">
        <v>1373</v>
      </c>
    </row>
    <row r="702" spans="1:7" ht="14.25" thickBot="1">
      <c r="A702" s="2999">
        <v>701</v>
      </c>
      <c r="B702" s="3000" t="s">
        <v>3280</v>
      </c>
      <c r="C702" s="3000" t="s">
        <v>3257</v>
      </c>
      <c r="D702" s="3000" t="s">
        <v>70</v>
      </c>
      <c r="E702" s="3000" t="s">
        <v>3135</v>
      </c>
      <c r="F702" s="3000">
        <v>55.91</v>
      </c>
      <c r="G702" s="3001" t="s">
        <v>1373</v>
      </c>
    </row>
    <row r="703" spans="1:7" ht="14.25" thickBot="1">
      <c r="A703" s="2999">
        <v>702</v>
      </c>
      <c r="B703" s="3000" t="s">
        <v>3280</v>
      </c>
      <c r="C703" s="3000" t="s">
        <v>3257</v>
      </c>
      <c r="D703" s="3000" t="s">
        <v>70</v>
      </c>
      <c r="E703" s="3000" t="s">
        <v>3136</v>
      </c>
      <c r="F703" s="3000">
        <v>70.09</v>
      </c>
      <c r="G703" s="3001" t="s">
        <v>1373</v>
      </c>
    </row>
    <row r="704" spans="1:7" ht="14.25" thickBot="1">
      <c r="A704" s="2999">
        <v>703</v>
      </c>
      <c r="B704" s="3000" t="s">
        <v>3280</v>
      </c>
      <c r="C704" s="3000" t="s">
        <v>3257</v>
      </c>
      <c r="D704" s="3000" t="s">
        <v>70</v>
      </c>
      <c r="E704" s="3000" t="s">
        <v>3137</v>
      </c>
      <c r="F704" s="3000">
        <v>57.86</v>
      </c>
      <c r="G704" s="3001" t="s">
        <v>1373</v>
      </c>
    </row>
    <row r="705" spans="1:7" ht="14.25" thickBot="1">
      <c r="A705" s="2999">
        <v>704</v>
      </c>
      <c r="B705" s="3000" t="s">
        <v>3280</v>
      </c>
      <c r="C705" s="3000" t="s">
        <v>3257</v>
      </c>
      <c r="D705" s="3000" t="s">
        <v>70</v>
      </c>
      <c r="E705" s="3000" t="s">
        <v>3138</v>
      </c>
      <c r="F705" s="3000">
        <v>55.93</v>
      </c>
      <c r="G705" s="3001" t="s">
        <v>1373</v>
      </c>
    </row>
    <row r="706" spans="1:7" ht="14.25" thickBot="1">
      <c r="A706" s="2999">
        <v>705</v>
      </c>
      <c r="B706" s="3000" t="s">
        <v>3280</v>
      </c>
      <c r="C706" s="3000" t="s">
        <v>3257</v>
      </c>
      <c r="D706" s="3000" t="s">
        <v>70</v>
      </c>
      <c r="E706" s="3000" t="s">
        <v>3139</v>
      </c>
      <c r="F706" s="3000">
        <v>55.93</v>
      </c>
      <c r="G706" s="3001" t="s">
        <v>1373</v>
      </c>
    </row>
    <row r="707" spans="1:7" ht="14.25" thickBot="1">
      <c r="A707" s="2999">
        <v>706</v>
      </c>
      <c r="B707" s="3000" t="s">
        <v>3280</v>
      </c>
      <c r="C707" s="3000" t="s">
        <v>3257</v>
      </c>
      <c r="D707" s="3000" t="s">
        <v>70</v>
      </c>
      <c r="E707" s="3000" t="s">
        <v>3140</v>
      </c>
      <c r="F707" s="3000">
        <v>57.86</v>
      </c>
      <c r="G707" s="3001" t="s">
        <v>1373</v>
      </c>
    </row>
    <row r="708" spans="1:7" ht="14.25" thickBot="1">
      <c r="A708" s="2999">
        <v>707</v>
      </c>
      <c r="B708" s="3000" t="s">
        <v>3280</v>
      </c>
      <c r="C708" s="3000" t="s">
        <v>3257</v>
      </c>
      <c r="D708" s="3000" t="s">
        <v>70</v>
      </c>
      <c r="E708" s="3000" t="s">
        <v>3141</v>
      </c>
      <c r="F708" s="3000">
        <v>57.86</v>
      </c>
      <c r="G708" s="3001" t="s">
        <v>1373</v>
      </c>
    </row>
    <row r="709" spans="1:7" ht="14.25" thickBot="1">
      <c r="A709" s="2999">
        <v>708</v>
      </c>
      <c r="B709" s="3000" t="s">
        <v>3280</v>
      </c>
      <c r="C709" s="3000" t="s">
        <v>3257</v>
      </c>
      <c r="D709" s="3000" t="s">
        <v>70</v>
      </c>
      <c r="E709" s="3000" t="s">
        <v>3142</v>
      </c>
      <c r="F709" s="3000">
        <v>62.36</v>
      </c>
      <c r="G709" s="3001" t="s">
        <v>1373</v>
      </c>
    </row>
    <row r="710" spans="1:7" ht="14.25" thickBot="1">
      <c r="A710" s="2999">
        <v>709</v>
      </c>
      <c r="B710" s="3000" t="s">
        <v>3281</v>
      </c>
      <c r="C710" s="3002" t="s">
        <v>3257</v>
      </c>
      <c r="D710" s="3000" t="s">
        <v>70</v>
      </c>
      <c r="E710" s="3000" t="s">
        <v>3132</v>
      </c>
      <c r="F710" s="3000">
        <v>102.22</v>
      </c>
      <c r="G710" s="3001" t="s">
        <v>1373</v>
      </c>
    </row>
    <row r="711" spans="1:7" ht="14.25" thickBot="1">
      <c r="A711" s="2999">
        <v>710</v>
      </c>
      <c r="B711" s="3000" t="s">
        <v>3281</v>
      </c>
      <c r="C711" s="3002" t="s">
        <v>3257</v>
      </c>
      <c r="D711" s="3000" t="s">
        <v>70</v>
      </c>
      <c r="E711" s="3000" t="s">
        <v>3134</v>
      </c>
      <c r="F711" s="3000">
        <v>111.55</v>
      </c>
      <c r="G711" s="3001" t="s">
        <v>1373</v>
      </c>
    </row>
    <row r="712" spans="1:7" ht="14.25" thickBot="1">
      <c r="A712" s="2999">
        <v>711</v>
      </c>
      <c r="B712" s="3000" t="s">
        <v>3281</v>
      </c>
      <c r="C712" s="3002" t="s">
        <v>3257</v>
      </c>
      <c r="D712" s="3000" t="s">
        <v>70</v>
      </c>
      <c r="E712" s="3000" t="s">
        <v>3135</v>
      </c>
      <c r="F712" s="3000">
        <v>122.56</v>
      </c>
      <c r="G712" s="3001" t="s">
        <v>1373</v>
      </c>
    </row>
    <row r="713" spans="1:7" ht="14.25" thickBot="1">
      <c r="A713" s="2999">
        <v>712</v>
      </c>
      <c r="B713" s="3000" t="s">
        <v>3281</v>
      </c>
      <c r="C713" s="3002" t="s">
        <v>3257</v>
      </c>
      <c r="D713" s="3000" t="s">
        <v>70</v>
      </c>
      <c r="E713" s="3000" t="s">
        <v>3136</v>
      </c>
      <c r="F713" s="3000">
        <v>68</v>
      </c>
      <c r="G713" s="3001" t="s">
        <v>1373</v>
      </c>
    </row>
    <row r="714" spans="1:7" ht="14.25" thickBot="1">
      <c r="A714" s="2999">
        <v>713</v>
      </c>
      <c r="B714" s="3000" t="s">
        <v>3281</v>
      </c>
      <c r="C714" s="3002" t="s">
        <v>3257</v>
      </c>
      <c r="D714" s="3000" t="s">
        <v>70</v>
      </c>
      <c r="E714" s="3000" t="s">
        <v>3137</v>
      </c>
      <c r="F714" s="3000">
        <v>116.07</v>
      </c>
      <c r="G714" s="3001" t="s">
        <v>1373</v>
      </c>
    </row>
    <row r="715" spans="1:7" ht="14.25" thickBot="1">
      <c r="A715" s="2999">
        <v>714</v>
      </c>
      <c r="B715" s="3000" t="s">
        <v>3281</v>
      </c>
      <c r="C715" s="3002" t="s">
        <v>3257</v>
      </c>
      <c r="D715" s="3000" t="s">
        <v>70</v>
      </c>
      <c r="E715" s="3000" t="s">
        <v>3138</v>
      </c>
      <c r="F715" s="3000">
        <v>40.1</v>
      </c>
      <c r="G715" s="3001" t="s">
        <v>1373</v>
      </c>
    </row>
    <row r="716" spans="1:7" ht="14.25" thickBot="1">
      <c r="A716" s="2999">
        <v>715</v>
      </c>
      <c r="B716" s="3000" t="s">
        <v>3281</v>
      </c>
      <c r="C716" s="3002" t="s">
        <v>3257</v>
      </c>
      <c r="D716" s="3000" t="s">
        <v>70</v>
      </c>
      <c r="E716" s="3000" t="s">
        <v>3139</v>
      </c>
      <c r="F716" s="3000">
        <v>39.909999999999997</v>
      </c>
      <c r="G716" s="3001" t="s">
        <v>1373</v>
      </c>
    </row>
    <row r="717" spans="1:7" ht="14.25" thickBot="1">
      <c r="A717" s="2999">
        <v>716</v>
      </c>
      <c r="B717" s="3000" t="s">
        <v>3281</v>
      </c>
      <c r="C717" s="3002" t="s">
        <v>3257</v>
      </c>
      <c r="D717" s="3000" t="s">
        <v>70</v>
      </c>
      <c r="E717" s="3000" t="s">
        <v>3140</v>
      </c>
      <c r="F717" s="3000">
        <v>62.27</v>
      </c>
      <c r="G717" s="3001" t="s">
        <v>1373</v>
      </c>
    </row>
    <row r="718" spans="1:7" ht="14.25" thickBot="1">
      <c r="A718" s="2999">
        <v>717</v>
      </c>
      <c r="B718" s="3000" t="s">
        <v>3281</v>
      </c>
      <c r="C718" s="3002" t="s">
        <v>3257</v>
      </c>
      <c r="D718" s="3000" t="s">
        <v>70</v>
      </c>
      <c r="E718" s="3000" t="s">
        <v>3141</v>
      </c>
      <c r="F718" s="3000">
        <v>75.3</v>
      </c>
      <c r="G718" s="3001" t="s">
        <v>1373</v>
      </c>
    </row>
    <row r="719" spans="1:7" ht="14.25" thickBot="1">
      <c r="A719" s="2999">
        <v>718</v>
      </c>
      <c r="B719" s="3000" t="s">
        <v>3282</v>
      </c>
      <c r="C719" s="3002" t="s">
        <v>3257</v>
      </c>
      <c r="D719" s="3000" t="s">
        <v>70</v>
      </c>
      <c r="E719" s="3002" t="s">
        <v>3132</v>
      </c>
      <c r="F719" s="3000">
        <v>117.54</v>
      </c>
      <c r="G719" s="3001" t="s">
        <v>1373</v>
      </c>
    </row>
    <row r="720" spans="1:7" ht="14.25" thickBot="1">
      <c r="A720" s="2999">
        <v>719</v>
      </c>
      <c r="B720" s="3000" t="s">
        <v>3282</v>
      </c>
      <c r="C720" s="3002" t="s">
        <v>3257</v>
      </c>
      <c r="D720" s="3000" t="s">
        <v>70</v>
      </c>
      <c r="E720" s="3002" t="s">
        <v>3134</v>
      </c>
      <c r="F720" s="3000">
        <v>55.4</v>
      </c>
      <c r="G720" s="3001" t="s">
        <v>1373</v>
      </c>
    </row>
    <row r="721" spans="1:7" ht="14.25" thickBot="1">
      <c r="A721" s="2999">
        <v>720</v>
      </c>
      <c r="B721" s="3000" t="s">
        <v>3282</v>
      </c>
      <c r="C721" s="3002" t="s">
        <v>3257</v>
      </c>
      <c r="D721" s="3000" t="s">
        <v>70</v>
      </c>
      <c r="E721" s="3002" t="s">
        <v>3135</v>
      </c>
      <c r="F721" s="3000">
        <v>100.47</v>
      </c>
      <c r="G721" s="3001" t="s">
        <v>1373</v>
      </c>
    </row>
    <row r="722" spans="1:7" ht="14.25" thickBot="1">
      <c r="A722" s="2999">
        <v>721</v>
      </c>
      <c r="B722" s="3000" t="s">
        <v>3282</v>
      </c>
      <c r="C722" s="3002" t="s">
        <v>3257</v>
      </c>
      <c r="D722" s="3000" t="s">
        <v>70</v>
      </c>
      <c r="E722" s="3002" t="s">
        <v>3136</v>
      </c>
      <c r="F722" s="3000">
        <v>109.43</v>
      </c>
      <c r="G722" s="3001" t="s">
        <v>1373</v>
      </c>
    </row>
    <row r="723" spans="1:7" ht="14.25" thickBot="1">
      <c r="A723" s="2999">
        <v>722</v>
      </c>
      <c r="B723" s="3000" t="s">
        <v>3282</v>
      </c>
      <c r="C723" s="3002" t="s">
        <v>3257</v>
      </c>
      <c r="D723" s="3000" t="s">
        <v>70</v>
      </c>
      <c r="E723" s="3002" t="s">
        <v>3137</v>
      </c>
      <c r="F723" s="3000">
        <v>100.96</v>
      </c>
      <c r="G723" s="3001" t="s">
        <v>1373</v>
      </c>
    </row>
    <row r="724" spans="1:7" ht="14.25" thickBot="1">
      <c r="A724" s="2999">
        <v>723</v>
      </c>
      <c r="B724" s="3000" t="s">
        <v>3282</v>
      </c>
      <c r="C724" s="3002" t="s">
        <v>3257</v>
      </c>
      <c r="D724" s="3000" t="s">
        <v>70</v>
      </c>
      <c r="E724" s="3002" t="s">
        <v>3138</v>
      </c>
      <c r="F724" s="3000">
        <v>88.16</v>
      </c>
      <c r="G724" s="3001" t="s">
        <v>1373</v>
      </c>
    </row>
    <row r="725" spans="1:7" ht="14.25" thickBot="1">
      <c r="A725" s="2999">
        <v>724</v>
      </c>
      <c r="B725" s="3000" t="s">
        <v>3282</v>
      </c>
      <c r="C725" s="3002" t="s">
        <v>3257</v>
      </c>
      <c r="D725" s="3000" t="s">
        <v>70</v>
      </c>
      <c r="E725" s="3002" t="s">
        <v>3139</v>
      </c>
      <c r="F725" s="3000">
        <v>69.19</v>
      </c>
      <c r="G725" s="3001" t="s">
        <v>1373</v>
      </c>
    </row>
    <row r="726" spans="1:7" ht="14.25" thickBot="1">
      <c r="A726" s="2999">
        <v>725</v>
      </c>
      <c r="B726" s="3000" t="s">
        <v>3282</v>
      </c>
      <c r="C726" s="3002" t="s">
        <v>3257</v>
      </c>
      <c r="D726" s="3000" t="s">
        <v>70</v>
      </c>
      <c r="E726" s="3002" t="s">
        <v>3140</v>
      </c>
      <c r="F726" s="3000">
        <v>95.57</v>
      </c>
      <c r="G726" s="3003" t="s">
        <v>1373</v>
      </c>
    </row>
    <row r="727" spans="1:7" ht="14.25" thickBot="1">
      <c r="A727" s="2999">
        <v>726</v>
      </c>
      <c r="B727" s="3000" t="s">
        <v>3282</v>
      </c>
      <c r="C727" s="3002" t="s">
        <v>3257</v>
      </c>
      <c r="D727" s="3000" t="s">
        <v>70</v>
      </c>
      <c r="E727" s="3002" t="s">
        <v>3141</v>
      </c>
      <c r="F727" s="3000">
        <v>85.4</v>
      </c>
      <c r="G727" s="3003" t="s">
        <v>1373</v>
      </c>
    </row>
    <row r="728" spans="1:7" ht="14.25" thickBot="1">
      <c r="A728" s="2999">
        <v>727</v>
      </c>
      <c r="B728" s="3000" t="s">
        <v>3283</v>
      </c>
      <c r="C728" s="3002" t="s">
        <v>3257</v>
      </c>
      <c r="D728" s="3000" t="s">
        <v>70</v>
      </c>
      <c r="E728" s="3002" t="s">
        <v>3132</v>
      </c>
      <c r="F728" s="3000">
        <v>145.37</v>
      </c>
      <c r="G728" s="3003" t="s">
        <v>1373</v>
      </c>
    </row>
    <row r="729" spans="1:7" ht="14.25" thickBot="1">
      <c r="A729" s="2999">
        <v>728</v>
      </c>
      <c r="B729" s="3000" t="s">
        <v>3283</v>
      </c>
      <c r="C729" s="3002" t="s">
        <v>3257</v>
      </c>
      <c r="D729" s="3000" t="s">
        <v>70</v>
      </c>
      <c r="E729" s="3002" t="s">
        <v>3134</v>
      </c>
      <c r="F729" s="3000">
        <v>98.42</v>
      </c>
      <c r="G729" s="3003" t="s">
        <v>1373</v>
      </c>
    </row>
    <row r="730" spans="1:7" ht="14.25" thickBot="1">
      <c r="A730" s="2999">
        <v>729</v>
      </c>
      <c r="B730" s="3000" t="s">
        <v>3283</v>
      </c>
      <c r="C730" s="3002" t="s">
        <v>3257</v>
      </c>
      <c r="D730" s="3000" t="s">
        <v>70</v>
      </c>
      <c r="E730" s="3002" t="s">
        <v>3135</v>
      </c>
      <c r="F730" s="3000">
        <v>60.94</v>
      </c>
      <c r="G730" s="3003" t="s">
        <v>1373</v>
      </c>
    </row>
    <row r="731" spans="1:7" ht="14.25" thickBot="1">
      <c r="A731" s="2999">
        <v>730</v>
      </c>
      <c r="B731" s="3000" t="s">
        <v>3283</v>
      </c>
      <c r="C731" s="3002" t="s">
        <v>3257</v>
      </c>
      <c r="D731" s="3000" t="s">
        <v>70</v>
      </c>
      <c r="E731" s="3002" t="s">
        <v>3136</v>
      </c>
      <c r="F731" s="3000">
        <v>73.989999999999995</v>
      </c>
      <c r="G731" s="3003" t="s">
        <v>1373</v>
      </c>
    </row>
    <row r="732" spans="1:7" ht="14.25" thickBot="1">
      <c r="A732" s="2999">
        <v>731</v>
      </c>
      <c r="B732" s="3000" t="s">
        <v>3283</v>
      </c>
      <c r="C732" s="3002" t="s">
        <v>3260</v>
      </c>
      <c r="D732" s="3000" t="s">
        <v>70</v>
      </c>
      <c r="E732" s="3002" t="s">
        <v>3160</v>
      </c>
      <c r="F732" s="3000">
        <v>120.22</v>
      </c>
      <c r="G732" s="3003" t="s">
        <v>1373</v>
      </c>
    </row>
    <row r="733" spans="1:7" ht="14.25" thickBot="1">
      <c r="A733" s="2999">
        <v>732</v>
      </c>
      <c r="B733" s="3000" t="s">
        <v>3283</v>
      </c>
      <c r="C733" s="3002" t="s">
        <v>3260</v>
      </c>
      <c r="D733" s="3000" t="s">
        <v>70</v>
      </c>
      <c r="E733" s="3002" t="s">
        <v>3161</v>
      </c>
      <c r="F733" s="3000">
        <v>114.76</v>
      </c>
      <c r="G733" s="3003" t="s">
        <v>1373</v>
      </c>
    </row>
    <row r="734" spans="1:7" ht="14.25" thickBot="1">
      <c r="A734" s="2999">
        <v>733</v>
      </c>
      <c r="B734" s="3000" t="s">
        <v>3283</v>
      </c>
      <c r="C734" s="3002" t="s">
        <v>3260</v>
      </c>
      <c r="D734" s="3000" t="s">
        <v>70</v>
      </c>
      <c r="E734" s="3002" t="s">
        <v>3203</v>
      </c>
      <c r="F734" s="3000">
        <v>126.76</v>
      </c>
      <c r="G734" s="3003" t="s">
        <v>1373</v>
      </c>
    </row>
    <row r="735" spans="1:7" ht="14.25" thickBot="1">
      <c r="A735" s="2999">
        <v>734</v>
      </c>
      <c r="B735" s="3000" t="s">
        <v>3284</v>
      </c>
      <c r="C735" s="3002" t="s">
        <v>3257</v>
      </c>
      <c r="D735" s="3000" t="s">
        <v>70</v>
      </c>
      <c r="E735" s="3002" t="s">
        <v>3132</v>
      </c>
      <c r="F735" s="3000">
        <v>109.17</v>
      </c>
      <c r="G735" s="3003" t="s">
        <v>1373</v>
      </c>
    </row>
    <row r="736" spans="1:7" ht="14.25" thickBot="1">
      <c r="A736" s="2999">
        <v>735</v>
      </c>
      <c r="B736" s="3000" t="s">
        <v>3284</v>
      </c>
      <c r="C736" s="3002" t="s">
        <v>3257</v>
      </c>
      <c r="D736" s="3000" t="s">
        <v>70</v>
      </c>
      <c r="E736" s="3002" t="s">
        <v>3134</v>
      </c>
      <c r="F736" s="3000">
        <v>59.01</v>
      </c>
      <c r="G736" s="3003" t="s">
        <v>1373</v>
      </c>
    </row>
    <row r="737" spans="1:7" ht="14.25" thickBot="1">
      <c r="A737" s="2999">
        <v>736</v>
      </c>
      <c r="B737" s="3000" t="s">
        <v>3284</v>
      </c>
      <c r="C737" s="3002" t="s">
        <v>3257</v>
      </c>
      <c r="D737" s="3000" t="s">
        <v>70</v>
      </c>
      <c r="E737" s="3002" t="s">
        <v>3135</v>
      </c>
      <c r="F737" s="3000">
        <v>86.3</v>
      </c>
      <c r="G737" s="3003" t="s">
        <v>1373</v>
      </c>
    </row>
    <row r="738" spans="1:7" ht="14.25" thickBot="1">
      <c r="A738" s="2999">
        <v>737</v>
      </c>
      <c r="B738" s="3000" t="s">
        <v>3284</v>
      </c>
      <c r="C738" s="3000" t="s">
        <v>3260</v>
      </c>
      <c r="D738" s="3000" t="s">
        <v>70</v>
      </c>
      <c r="E738" s="3002" t="s">
        <v>3161</v>
      </c>
      <c r="F738" s="3000">
        <v>124.72</v>
      </c>
      <c r="G738" s="3003" t="s">
        <v>1373</v>
      </c>
    </row>
    <row r="739" spans="1:7">
      <c r="A739" s="1630" t="s">
        <v>3294</v>
      </c>
      <c r="F739" s="1630">
        <f>SUM(F2:F738)</f>
        <v>58074.12999999999</v>
      </c>
    </row>
    <row r="741" spans="1:7">
      <c r="E741" s="3004" t="s">
        <v>3295</v>
      </c>
      <c r="F741" s="1630">
        <f>SUM(F2:F675)</f>
        <v>50501.749999999956</v>
      </c>
    </row>
    <row r="742" spans="1:7">
      <c r="E742" s="3004" t="s">
        <v>3296</v>
      </c>
      <c r="F742" s="1630">
        <f>SUM(F678:F738)</f>
        <v>5361.5099999999993</v>
      </c>
    </row>
    <row r="743" spans="1:7">
      <c r="E743" s="3004" t="s">
        <v>3297</v>
      </c>
      <c r="F743" s="1630">
        <f>F676+F677</f>
        <v>2210.87</v>
      </c>
    </row>
    <row r="744" spans="1:7">
      <c r="F744" s="1630">
        <f>F741+F742+F743</f>
        <v>58074.129999999961</v>
      </c>
    </row>
  </sheetData>
  <phoneticPr fontId="143"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7"/>
  <sheetViews>
    <sheetView topLeftCell="A732" workbookViewId="0">
      <selection activeCell="E742" sqref="E742:F744"/>
    </sheetView>
  </sheetViews>
  <sheetFormatPr defaultRowHeight="13.5"/>
  <cols>
    <col min="1" max="16384" width="9" style="1630"/>
  </cols>
  <sheetData>
    <row r="1" spans="1:7" ht="14.25" thickBot="1">
      <c r="A1" s="2997" t="s">
        <v>3254</v>
      </c>
      <c r="B1" s="2998" t="s">
        <v>3198</v>
      </c>
      <c r="C1" s="2998" t="s">
        <v>3123</v>
      </c>
      <c r="D1" s="2998" t="s">
        <v>3199</v>
      </c>
      <c r="E1" s="2998" t="s">
        <v>3255</v>
      </c>
      <c r="F1" s="2998" t="s">
        <v>3319</v>
      </c>
      <c r="G1" s="2998" t="s">
        <v>3127</v>
      </c>
    </row>
    <row r="2" spans="1:7" ht="14.25" thickBot="1">
      <c r="A2" s="2999">
        <v>1</v>
      </c>
      <c r="B2" s="3000" t="s">
        <v>3256</v>
      </c>
      <c r="C2" s="3000" t="s">
        <v>3257</v>
      </c>
      <c r="D2" s="3000" t="s">
        <v>3258</v>
      </c>
      <c r="E2" s="3000">
        <v>101</v>
      </c>
      <c r="F2" s="3000">
        <v>66.069999999999993</v>
      </c>
      <c r="G2" s="3001" t="s">
        <v>3055</v>
      </c>
    </row>
    <row r="3" spans="1:7" ht="14.25" thickBot="1">
      <c r="A3" s="2999">
        <v>2</v>
      </c>
      <c r="B3" s="3000" t="s">
        <v>3256</v>
      </c>
      <c r="C3" s="3000" t="s">
        <v>3257</v>
      </c>
      <c r="D3" s="3000" t="s">
        <v>3258</v>
      </c>
      <c r="E3" s="3000">
        <v>103</v>
      </c>
      <c r="F3" s="3000">
        <v>69.72</v>
      </c>
      <c r="G3" s="3001" t="s">
        <v>3055</v>
      </c>
    </row>
    <row r="4" spans="1:7" ht="14.25" thickBot="1">
      <c r="A4" s="2999">
        <v>3</v>
      </c>
      <c r="B4" s="3000" t="s">
        <v>3256</v>
      </c>
      <c r="C4" s="3000" t="s">
        <v>3257</v>
      </c>
      <c r="D4" s="3000" t="s">
        <v>3258</v>
      </c>
      <c r="E4" s="3000">
        <v>105</v>
      </c>
      <c r="F4" s="3000">
        <v>69.56</v>
      </c>
      <c r="G4" s="3001" t="s">
        <v>3055</v>
      </c>
    </row>
    <row r="5" spans="1:7" ht="14.25" thickBot="1">
      <c r="A5" s="2999">
        <v>4</v>
      </c>
      <c r="B5" s="3000" t="s">
        <v>3256</v>
      </c>
      <c r="C5" s="3000" t="s">
        <v>3257</v>
      </c>
      <c r="D5" s="3000" t="s">
        <v>3258</v>
      </c>
      <c r="E5" s="3000">
        <v>106</v>
      </c>
      <c r="F5" s="3000">
        <v>94.74</v>
      </c>
      <c r="G5" s="3001" t="s">
        <v>3055</v>
      </c>
    </row>
    <row r="6" spans="1:7" ht="14.25" thickBot="1">
      <c r="A6" s="2999">
        <v>5</v>
      </c>
      <c r="B6" s="3000" t="s">
        <v>3256</v>
      </c>
      <c r="C6" s="3000" t="s">
        <v>3257</v>
      </c>
      <c r="D6" s="3000" t="s">
        <v>3259</v>
      </c>
      <c r="E6" s="3000">
        <v>101</v>
      </c>
      <c r="F6" s="3000">
        <v>94.74</v>
      </c>
      <c r="G6" s="3001" t="s">
        <v>3055</v>
      </c>
    </row>
    <row r="7" spans="1:7" ht="14.25" thickBot="1">
      <c r="A7" s="2999">
        <v>6</v>
      </c>
      <c r="B7" s="3000" t="s">
        <v>3256</v>
      </c>
      <c r="C7" s="3000" t="s">
        <v>3257</v>
      </c>
      <c r="D7" s="3000" t="s">
        <v>3259</v>
      </c>
      <c r="E7" s="3000">
        <v>106</v>
      </c>
      <c r="F7" s="3000">
        <v>66.069999999999993</v>
      </c>
      <c r="G7" s="3001" t="s">
        <v>3055</v>
      </c>
    </row>
    <row r="8" spans="1:7" ht="14.25" thickBot="1">
      <c r="A8" s="2999">
        <v>7</v>
      </c>
      <c r="B8" s="3000" t="s">
        <v>3256</v>
      </c>
      <c r="C8" s="3000" t="s">
        <v>3260</v>
      </c>
      <c r="D8" s="3000" t="s">
        <v>3258</v>
      </c>
      <c r="E8" s="3000">
        <v>201</v>
      </c>
      <c r="F8" s="3000">
        <v>66.069999999999993</v>
      </c>
      <c r="G8" s="3001" t="s">
        <v>3055</v>
      </c>
    </row>
    <row r="9" spans="1:7" ht="14.25" thickBot="1">
      <c r="A9" s="2999">
        <v>8</v>
      </c>
      <c r="B9" s="3000" t="s">
        <v>3256</v>
      </c>
      <c r="C9" s="3000" t="s">
        <v>3260</v>
      </c>
      <c r="D9" s="3000" t="s">
        <v>3258</v>
      </c>
      <c r="E9" s="3000">
        <v>202</v>
      </c>
      <c r="F9" s="3000">
        <v>69.56</v>
      </c>
      <c r="G9" s="3001" t="s">
        <v>3055</v>
      </c>
    </row>
    <row r="10" spans="1:7" ht="14.25" thickBot="1">
      <c r="A10" s="2999">
        <v>9</v>
      </c>
      <c r="B10" s="3000" t="s">
        <v>3256</v>
      </c>
      <c r="C10" s="3000" t="s">
        <v>3260</v>
      </c>
      <c r="D10" s="3000" t="s">
        <v>3258</v>
      </c>
      <c r="E10" s="3000">
        <v>206</v>
      </c>
      <c r="F10" s="3000">
        <v>69.56</v>
      </c>
      <c r="G10" s="3001" t="s">
        <v>3055</v>
      </c>
    </row>
    <row r="11" spans="1:7" ht="14.25" thickBot="1">
      <c r="A11" s="2999">
        <v>10</v>
      </c>
      <c r="B11" s="3000" t="s">
        <v>3256</v>
      </c>
      <c r="C11" s="3000" t="s">
        <v>3260</v>
      </c>
      <c r="D11" s="3000" t="s">
        <v>3258</v>
      </c>
      <c r="E11" s="3000">
        <v>207</v>
      </c>
      <c r="F11" s="3000">
        <v>94.74</v>
      </c>
      <c r="G11" s="3001" t="s">
        <v>3055</v>
      </c>
    </row>
    <row r="12" spans="1:7" ht="14.25" thickBot="1">
      <c r="A12" s="2999">
        <v>11</v>
      </c>
      <c r="B12" s="3000" t="s">
        <v>3256</v>
      </c>
      <c r="C12" s="3000" t="s">
        <v>3260</v>
      </c>
      <c r="D12" s="3000" t="s">
        <v>3259</v>
      </c>
      <c r="E12" s="3000">
        <v>201</v>
      </c>
      <c r="F12" s="3000">
        <v>94.74</v>
      </c>
      <c r="G12" s="3001" t="s">
        <v>3055</v>
      </c>
    </row>
    <row r="13" spans="1:7" ht="14.25" thickBot="1">
      <c r="A13" s="2999">
        <v>12</v>
      </c>
      <c r="B13" s="3000" t="s">
        <v>3256</v>
      </c>
      <c r="C13" s="3000" t="s">
        <v>3261</v>
      </c>
      <c r="D13" s="3000" t="s">
        <v>3258</v>
      </c>
      <c r="E13" s="3000">
        <v>301</v>
      </c>
      <c r="F13" s="3000">
        <v>66.069999999999993</v>
      </c>
      <c r="G13" s="3001" t="s">
        <v>3055</v>
      </c>
    </row>
    <row r="14" spans="1:7" ht="14.25" thickBot="1">
      <c r="A14" s="2999">
        <v>13</v>
      </c>
      <c r="B14" s="3000" t="s">
        <v>3256</v>
      </c>
      <c r="C14" s="3000" t="s">
        <v>3261</v>
      </c>
      <c r="D14" s="3000" t="s">
        <v>3258</v>
      </c>
      <c r="E14" s="3000">
        <v>303</v>
      </c>
      <c r="F14" s="3000">
        <v>69.75</v>
      </c>
      <c r="G14" s="3001" t="s">
        <v>3055</v>
      </c>
    </row>
    <row r="15" spans="1:7" ht="14.25" thickBot="1">
      <c r="A15" s="2999">
        <v>14</v>
      </c>
      <c r="B15" s="3000" t="s">
        <v>3256</v>
      </c>
      <c r="C15" s="3000" t="s">
        <v>3261</v>
      </c>
      <c r="D15" s="3000" t="s">
        <v>3258</v>
      </c>
      <c r="E15" s="3000">
        <v>305</v>
      </c>
      <c r="F15" s="3000">
        <v>69.75</v>
      </c>
      <c r="G15" s="3001" t="s">
        <v>3055</v>
      </c>
    </row>
    <row r="16" spans="1:7" ht="14.25" thickBot="1">
      <c r="A16" s="2999">
        <v>15</v>
      </c>
      <c r="B16" s="3000" t="s">
        <v>3256</v>
      </c>
      <c r="C16" s="3000" t="s">
        <v>3261</v>
      </c>
      <c r="D16" s="3000" t="s">
        <v>3258</v>
      </c>
      <c r="E16" s="3000">
        <v>306</v>
      </c>
      <c r="F16" s="3000">
        <v>69.56</v>
      </c>
      <c r="G16" s="3001" t="s">
        <v>3055</v>
      </c>
    </row>
    <row r="17" spans="1:7" ht="14.25" thickBot="1">
      <c r="A17" s="2999">
        <v>16</v>
      </c>
      <c r="B17" s="3000" t="s">
        <v>3256</v>
      </c>
      <c r="C17" s="3000" t="s">
        <v>3261</v>
      </c>
      <c r="D17" s="3000" t="s">
        <v>3258</v>
      </c>
      <c r="E17" s="3000">
        <v>307</v>
      </c>
      <c r="F17" s="3000">
        <v>94.74</v>
      </c>
      <c r="G17" s="3001" t="s">
        <v>3055</v>
      </c>
    </row>
    <row r="18" spans="1:7" ht="14.25" thickBot="1">
      <c r="A18" s="2999">
        <v>17</v>
      </c>
      <c r="B18" s="3000" t="s">
        <v>3256</v>
      </c>
      <c r="C18" s="3000" t="s">
        <v>3261</v>
      </c>
      <c r="D18" s="3000" t="s">
        <v>3259</v>
      </c>
      <c r="E18" s="3000">
        <v>302</v>
      </c>
      <c r="F18" s="3000">
        <v>69.56</v>
      </c>
      <c r="G18" s="3001" t="s">
        <v>3055</v>
      </c>
    </row>
    <row r="19" spans="1:7" ht="14.25" thickBot="1">
      <c r="A19" s="2999">
        <v>18</v>
      </c>
      <c r="B19" s="3000" t="s">
        <v>3256</v>
      </c>
      <c r="C19" s="3000" t="s">
        <v>3261</v>
      </c>
      <c r="D19" s="3000" t="s">
        <v>3259</v>
      </c>
      <c r="E19" s="3000">
        <v>303</v>
      </c>
      <c r="F19" s="3000">
        <v>69.75</v>
      </c>
      <c r="G19" s="3001" t="s">
        <v>3055</v>
      </c>
    </row>
    <row r="20" spans="1:7" ht="14.25" thickBot="1">
      <c r="A20" s="2999">
        <v>19</v>
      </c>
      <c r="B20" s="3000" t="s">
        <v>3256</v>
      </c>
      <c r="C20" s="3000" t="s">
        <v>3261</v>
      </c>
      <c r="D20" s="3000" t="s">
        <v>3259</v>
      </c>
      <c r="E20" s="3000">
        <v>305</v>
      </c>
      <c r="F20" s="3000">
        <v>69.75</v>
      </c>
      <c r="G20" s="3001" t="s">
        <v>3055</v>
      </c>
    </row>
    <row r="21" spans="1:7" ht="14.25" thickBot="1">
      <c r="A21" s="2999">
        <v>20</v>
      </c>
      <c r="B21" s="3000" t="s">
        <v>3256</v>
      </c>
      <c r="C21" s="3000" t="s">
        <v>3261</v>
      </c>
      <c r="D21" s="3000" t="s">
        <v>3259</v>
      </c>
      <c r="E21" s="3000">
        <v>306</v>
      </c>
      <c r="F21" s="3000">
        <v>69.56</v>
      </c>
      <c r="G21" s="3001" t="s">
        <v>3055</v>
      </c>
    </row>
    <row r="22" spans="1:7" ht="14.25" thickBot="1">
      <c r="A22" s="2999">
        <v>21</v>
      </c>
      <c r="B22" s="3000" t="s">
        <v>3256</v>
      </c>
      <c r="C22" s="3000" t="s">
        <v>3261</v>
      </c>
      <c r="D22" s="3000" t="s">
        <v>3259</v>
      </c>
      <c r="E22" s="3000">
        <v>307</v>
      </c>
      <c r="F22" s="3000">
        <v>66.069999999999993</v>
      </c>
      <c r="G22" s="3001" t="s">
        <v>3055</v>
      </c>
    </row>
    <row r="23" spans="1:7" ht="14.25" thickBot="1">
      <c r="A23" s="2999">
        <v>22</v>
      </c>
      <c r="B23" s="3000" t="s">
        <v>3256</v>
      </c>
      <c r="C23" s="3000" t="s">
        <v>3262</v>
      </c>
      <c r="D23" s="3000" t="s">
        <v>3258</v>
      </c>
      <c r="E23" s="3000" t="s">
        <v>3146</v>
      </c>
      <c r="F23" s="3000">
        <v>69.56</v>
      </c>
      <c r="G23" s="3001" t="s">
        <v>3055</v>
      </c>
    </row>
    <row r="24" spans="1:7" ht="14.25" thickBot="1">
      <c r="A24" s="2999">
        <v>23</v>
      </c>
      <c r="B24" s="3000" t="s">
        <v>3256</v>
      </c>
      <c r="C24" s="3000" t="s">
        <v>3262</v>
      </c>
      <c r="D24" s="3000" t="s">
        <v>3258</v>
      </c>
      <c r="E24" s="3000" t="s">
        <v>3148</v>
      </c>
      <c r="F24" s="3000">
        <v>69.75</v>
      </c>
      <c r="G24" s="3001" t="s">
        <v>3055</v>
      </c>
    </row>
    <row r="25" spans="1:7" ht="14.25" thickBot="1">
      <c r="A25" s="2999">
        <v>24</v>
      </c>
      <c r="B25" s="3000" t="s">
        <v>3256</v>
      </c>
      <c r="C25" s="3000" t="s">
        <v>3262</v>
      </c>
      <c r="D25" s="3000" t="s">
        <v>3258</v>
      </c>
      <c r="E25" s="3000" t="s">
        <v>3149</v>
      </c>
      <c r="F25" s="3000">
        <v>69.56</v>
      </c>
      <c r="G25" s="3001" t="s">
        <v>3055</v>
      </c>
    </row>
    <row r="26" spans="1:7" ht="14.25" thickBot="1">
      <c r="A26" s="2999">
        <v>25</v>
      </c>
      <c r="B26" s="3000" t="s">
        <v>3256</v>
      </c>
      <c r="C26" s="3000" t="s">
        <v>3262</v>
      </c>
      <c r="D26" s="3000" t="s">
        <v>3259</v>
      </c>
      <c r="E26" s="3000" t="s">
        <v>3145</v>
      </c>
      <c r="F26" s="3000">
        <v>94.74</v>
      </c>
      <c r="G26" s="3001" t="s">
        <v>3055</v>
      </c>
    </row>
    <row r="27" spans="1:7" ht="14.25" thickBot="1">
      <c r="A27" s="2999">
        <v>26</v>
      </c>
      <c r="B27" s="3000" t="s">
        <v>3256</v>
      </c>
      <c r="C27" s="3000" t="s">
        <v>3262</v>
      </c>
      <c r="D27" s="3000" t="s">
        <v>3259</v>
      </c>
      <c r="E27" s="3000" t="s">
        <v>3146</v>
      </c>
      <c r="F27" s="3000">
        <v>69.56</v>
      </c>
      <c r="G27" s="3001" t="s">
        <v>3055</v>
      </c>
    </row>
    <row r="28" spans="1:7" ht="14.25" thickBot="1">
      <c r="A28" s="2999">
        <v>27</v>
      </c>
      <c r="B28" s="3000" t="s">
        <v>3256</v>
      </c>
      <c r="C28" s="3000" t="s">
        <v>3262</v>
      </c>
      <c r="D28" s="3000" t="s">
        <v>3259</v>
      </c>
      <c r="E28" s="3000" t="s">
        <v>3147</v>
      </c>
      <c r="F28" s="3000">
        <v>69.75</v>
      </c>
      <c r="G28" s="3001" t="s">
        <v>3055</v>
      </c>
    </row>
    <row r="29" spans="1:7" ht="14.25" thickBot="1">
      <c r="A29" s="2999">
        <v>28</v>
      </c>
      <c r="B29" s="3000" t="s">
        <v>3256</v>
      </c>
      <c r="C29" s="3000" t="s">
        <v>3262</v>
      </c>
      <c r="D29" s="3000" t="s">
        <v>3259</v>
      </c>
      <c r="E29" s="3000" t="s">
        <v>3148</v>
      </c>
      <c r="F29" s="3000">
        <v>69.75</v>
      </c>
      <c r="G29" s="3001" t="s">
        <v>3055</v>
      </c>
    </row>
    <row r="30" spans="1:7" ht="14.25" thickBot="1">
      <c r="A30" s="2999">
        <v>29</v>
      </c>
      <c r="B30" s="3000" t="s">
        <v>3256</v>
      </c>
      <c r="C30" s="3000" t="s">
        <v>3262</v>
      </c>
      <c r="D30" s="3000" t="s">
        <v>3259</v>
      </c>
      <c r="E30" s="3000" t="s">
        <v>3150</v>
      </c>
      <c r="F30" s="3000">
        <v>66.069999999999993</v>
      </c>
      <c r="G30" s="3001" t="s">
        <v>3055</v>
      </c>
    </row>
    <row r="31" spans="1:7" ht="14.25" thickBot="1">
      <c r="A31" s="2999">
        <v>30</v>
      </c>
      <c r="B31" s="3000" t="s">
        <v>3256</v>
      </c>
      <c r="C31" s="3000" t="s">
        <v>3263</v>
      </c>
      <c r="D31" s="3000" t="s">
        <v>3258</v>
      </c>
      <c r="E31" s="3000">
        <v>502</v>
      </c>
      <c r="F31" s="3000">
        <v>69.56</v>
      </c>
      <c r="G31" s="3001" t="s">
        <v>3055</v>
      </c>
    </row>
    <row r="32" spans="1:7" ht="14.25" thickBot="1">
      <c r="A32" s="2999">
        <v>31</v>
      </c>
      <c r="B32" s="3000" t="s">
        <v>3256</v>
      </c>
      <c r="C32" s="3000" t="s">
        <v>3263</v>
      </c>
      <c r="D32" s="3000" t="s">
        <v>3258</v>
      </c>
      <c r="E32" s="3000">
        <v>503</v>
      </c>
      <c r="F32" s="3000">
        <v>69.75</v>
      </c>
      <c r="G32" s="3001" t="s">
        <v>3055</v>
      </c>
    </row>
    <row r="33" spans="1:7" ht="14.25" thickBot="1">
      <c r="A33" s="2999">
        <v>32</v>
      </c>
      <c r="B33" s="3000" t="s">
        <v>3256</v>
      </c>
      <c r="C33" s="3000" t="s">
        <v>3263</v>
      </c>
      <c r="D33" s="3000" t="s">
        <v>3258</v>
      </c>
      <c r="E33" s="3000">
        <v>505</v>
      </c>
      <c r="F33" s="3000">
        <v>69.75</v>
      </c>
      <c r="G33" s="3001" t="s">
        <v>3055</v>
      </c>
    </row>
    <row r="34" spans="1:7" ht="14.25" thickBot="1">
      <c r="A34" s="2999">
        <v>33</v>
      </c>
      <c r="B34" s="3000" t="s">
        <v>3256</v>
      </c>
      <c r="C34" s="3000" t="s">
        <v>3263</v>
      </c>
      <c r="D34" s="3000" t="s">
        <v>3258</v>
      </c>
      <c r="E34" s="3000">
        <v>506</v>
      </c>
      <c r="F34" s="3000">
        <v>69.56</v>
      </c>
      <c r="G34" s="3001" t="s">
        <v>3055</v>
      </c>
    </row>
    <row r="35" spans="1:7" ht="14.25" thickBot="1">
      <c r="A35" s="2999">
        <v>34</v>
      </c>
      <c r="B35" s="3000" t="s">
        <v>3256</v>
      </c>
      <c r="C35" s="3000" t="s">
        <v>3263</v>
      </c>
      <c r="D35" s="3000" t="s">
        <v>3258</v>
      </c>
      <c r="E35" s="3000">
        <v>507</v>
      </c>
      <c r="F35" s="3000">
        <v>94.74</v>
      </c>
      <c r="G35" s="3001" t="s">
        <v>3055</v>
      </c>
    </row>
    <row r="36" spans="1:7" ht="14.25" thickBot="1">
      <c r="A36" s="2999">
        <v>35</v>
      </c>
      <c r="B36" s="3000" t="s">
        <v>3256</v>
      </c>
      <c r="C36" s="3000" t="s">
        <v>3263</v>
      </c>
      <c r="D36" s="3000" t="s">
        <v>3259</v>
      </c>
      <c r="E36" s="3000">
        <v>502</v>
      </c>
      <c r="F36" s="3000">
        <v>69.56</v>
      </c>
      <c r="G36" s="3001" t="s">
        <v>3055</v>
      </c>
    </row>
    <row r="37" spans="1:7" ht="14.25" thickBot="1">
      <c r="A37" s="2999">
        <v>36</v>
      </c>
      <c r="B37" s="3000" t="s">
        <v>3256</v>
      </c>
      <c r="C37" s="3000" t="s">
        <v>3263</v>
      </c>
      <c r="D37" s="3000" t="s">
        <v>3259</v>
      </c>
      <c r="E37" s="3000">
        <v>503</v>
      </c>
      <c r="F37" s="3000">
        <v>69.75</v>
      </c>
      <c r="G37" s="3001" t="s">
        <v>3055</v>
      </c>
    </row>
    <row r="38" spans="1:7" ht="14.25" thickBot="1">
      <c r="A38" s="2999">
        <v>37</v>
      </c>
      <c r="B38" s="3000" t="s">
        <v>3256</v>
      </c>
      <c r="C38" s="3000" t="s">
        <v>3263</v>
      </c>
      <c r="D38" s="3000" t="s">
        <v>3259</v>
      </c>
      <c r="E38" s="3000">
        <v>505</v>
      </c>
      <c r="F38" s="3000">
        <v>69.75</v>
      </c>
      <c r="G38" s="3001" t="s">
        <v>3055</v>
      </c>
    </row>
    <row r="39" spans="1:7" ht="14.25" thickBot="1">
      <c r="A39" s="2999">
        <v>38</v>
      </c>
      <c r="B39" s="3000" t="s">
        <v>3256</v>
      </c>
      <c r="C39" s="3000" t="s">
        <v>3263</v>
      </c>
      <c r="D39" s="3000" t="s">
        <v>3259</v>
      </c>
      <c r="E39" s="3000">
        <v>507</v>
      </c>
      <c r="F39" s="3000">
        <v>66.069999999999993</v>
      </c>
      <c r="G39" s="3001" t="s">
        <v>3055</v>
      </c>
    </row>
    <row r="40" spans="1:7" ht="14.25" thickBot="1">
      <c r="A40" s="2999">
        <v>39</v>
      </c>
      <c r="B40" s="3000" t="s">
        <v>3256</v>
      </c>
      <c r="C40" s="3000" t="s">
        <v>3264</v>
      </c>
      <c r="D40" s="3000" t="s">
        <v>3258</v>
      </c>
      <c r="E40" s="3000">
        <v>607</v>
      </c>
      <c r="F40" s="3000">
        <v>94.74</v>
      </c>
      <c r="G40" s="3001" t="s">
        <v>3055</v>
      </c>
    </row>
    <row r="41" spans="1:7" ht="14.25" thickBot="1">
      <c r="A41" s="2999">
        <v>40</v>
      </c>
      <c r="B41" s="3000" t="s">
        <v>3256</v>
      </c>
      <c r="C41" s="3000" t="s">
        <v>3264</v>
      </c>
      <c r="D41" s="3000" t="s">
        <v>3259</v>
      </c>
      <c r="E41" s="3000">
        <v>602</v>
      </c>
      <c r="F41" s="3000">
        <v>69.56</v>
      </c>
      <c r="G41" s="3001" t="s">
        <v>3055</v>
      </c>
    </row>
    <row r="42" spans="1:7" ht="14.25" thickBot="1">
      <c r="A42" s="2999">
        <v>41</v>
      </c>
      <c r="B42" s="3000" t="s">
        <v>3256</v>
      </c>
      <c r="C42" s="3000" t="s">
        <v>3264</v>
      </c>
      <c r="D42" s="3000" t="s">
        <v>3259</v>
      </c>
      <c r="E42" s="3000">
        <v>607</v>
      </c>
      <c r="F42" s="3000">
        <v>66.069999999999993</v>
      </c>
      <c r="G42" s="3001" t="s">
        <v>3055</v>
      </c>
    </row>
    <row r="43" spans="1:7" ht="14.25" thickBot="1">
      <c r="A43" s="2999">
        <v>42</v>
      </c>
      <c r="B43" s="3000" t="s">
        <v>3265</v>
      </c>
      <c r="C43" s="3000" t="s">
        <v>3257</v>
      </c>
      <c r="D43" s="3000" t="s">
        <v>3258</v>
      </c>
      <c r="E43" s="3000">
        <v>101</v>
      </c>
      <c r="F43" s="3000">
        <v>67.23</v>
      </c>
      <c r="G43" s="3001" t="s">
        <v>3055</v>
      </c>
    </row>
    <row r="44" spans="1:7" ht="14.25" thickBot="1">
      <c r="A44" s="2999">
        <v>43</v>
      </c>
      <c r="B44" s="3000" t="s">
        <v>3265</v>
      </c>
      <c r="C44" s="3000" t="s">
        <v>3257</v>
      </c>
      <c r="D44" s="3000" t="s">
        <v>3258</v>
      </c>
      <c r="E44" s="3000">
        <v>102</v>
      </c>
      <c r="F44" s="3000">
        <v>86.67</v>
      </c>
      <c r="G44" s="3001" t="s">
        <v>3055</v>
      </c>
    </row>
    <row r="45" spans="1:7" ht="14.25" thickBot="1">
      <c r="A45" s="2999">
        <v>44</v>
      </c>
      <c r="B45" s="3000" t="s">
        <v>3265</v>
      </c>
      <c r="C45" s="3000" t="s">
        <v>3257</v>
      </c>
      <c r="D45" s="3000" t="s">
        <v>3258</v>
      </c>
      <c r="E45" s="3000">
        <v>103</v>
      </c>
      <c r="F45" s="3000">
        <v>86.67</v>
      </c>
      <c r="G45" s="3001" t="s">
        <v>3055</v>
      </c>
    </row>
    <row r="46" spans="1:7" ht="14.25" thickBot="1">
      <c r="A46" s="2999">
        <v>45</v>
      </c>
      <c r="B46" s="3000" t="s">
        <v>3265</v>
      </c>
      <c r="C46" s="3000" t="s">
        <v>3257</v>
      </c>
      <c r="D46" s="3000" t="s">
        <v>3258</v>
      </c>
      <c r="E46" s="3000">
        <v>105</v>
      </c>
      <c r="F46" s="3000">
        <v>72.48</v>
      </c>
      <c r="G46" s="3001" t="s">
        <v>3055</v>
      </c>
    </row>
    <row r="47" spans="1:7" ht="14.25" thickBot="1">
      <c r="A47" s="2999">
        <v>46</v>
      </c>
      <c r="B47" s="3000" t="s">
        <v>3265</v>
      </c>
      <c r="C47" s="3000" t="s">
        <v>3257</v>
      </c>
      <c r="D47" s="3000" t="s">
        <v>3259</v>
      </c>
      <c r="E47" s="3000">
        <v>101</v>
      </c>
      <c r="F47" s="3000">
        <v>97.31</v>
      </c>
      <c r="G47" s="3001" t="s">
        <v>3055</v>
      </c>
    </row>
    <row r="48" spans="1:7" ht="14.25" thickBot="1">
      <c r="A48" s="2999">
        <v>47</v>
      </c>
      <c r="B48" s="3000" t="s">
        <v>3265</v>
      </c>
      <c r="C48" s="3000" t="s">
        <v>3257</v>
      </c>
      <c r="D48" s="3000" t="s">
        <v>3259</v>
      </c>
      <c r="E48" s="3000">
        <v>102</v>
      </c>
      <c r="F48" s="3000">
        <v>85.45</v>
      </c>
      <c r="G48" s="3001" t="s">
        <v>3055</v>
      </c>
    </row>
    <row r="49" spans="1:7" ht="14.25" thickBot="1">
      <c r="A49" s="2999">
        <v>48</v>
      </c>
      <c r="B49" s="3000" t="s">
        <v>3265</v>
      </c>
      <c r="C49" s="3000" t="s">
        <v>3257</v>
      </c>
      <c r="D49" s="3000" t="s">
        <v>3259</v>
      </c>
      <c r="E49" s="3000">
        <v>103</v>
      </c>
      <c r="F49" s="3000">
        <v>85.45</v>
      </c>
      <c r="G49" s="3001" t="s">
        <v>3055</v>
      </c>
    </row>
    <row r="50" spans="1:7" ht="14.25" thickBot="1">
      <c r="A50" s="2999">
        <v>49</v>
      </c>
      <c r="B50" s="3000" t="s">
        <v>3265</v>
      </c>
      <c r="C50" s="3000" t="s">
        <v>3257</v>
      </c>
      <c r="D50" s="3000" t="s">
        <v>3259</v>
      </c>
      <c r="E50" s="3000">
        <v>105</v>
      </c>
      <c r="F50" s="3000">
        <v>66.28</v>
      </c>
      <c r="G50" s="3001" t="s">
        <v>3055</v>
      </c>
    </row>
    <row r="51" spans="1:7" ht="14.25" thickBot="1">
      <c r="A51" s="2999">
        <v>50</v>
      </c>
      <c r="B51" s="3000" t="s">
        <v>3265</v>
      </c>
      <c r="C51" s="3000" t="s">
        <v>3260</v>
      </c>
      <c r="D51" s="3000" t="s">
        <v>3258</v>
      </c>
      <c r="E51" s="3000">
        <v>202</v>
      </c>
      <c r="F51" s="3000">
        <v>86.67</v>
      </c>
      <c r="G51" s="3001" t="s">
        <v>3055</v>
      </c>
    </row>
    <row r="52" spans="1:7" ht="14.25" thickBot="1">
      <c r="A52" s="2999">
        <v>51</v>
      </c>
      <c r="B52" s="3000" t="s">
        <v>3265</v>
      </c>
      <c r="C52" s="3000" t="s">
        <v>3260</v>
      </c>
      <c r="D52" s="3000" t="s">
        <v>3258</v>
      </c>
      <c r="E52" s="3000">
        <v>203</v>
      </c>
      <c r="F52" s="3000">
        <v>86.67</v>
      </c>
      <c r="G52" s="3001" t="s">
        <v>3055</v>
      </c>
    </row>
    <row r="53" spans="1:7" ht="14.25" thickBot="1">
      <c r="A53" s="2999">
        <v>52</v>
      </c>
      <c r="B53" s="3000" t="s">
        <v>3265</v>
      </c>
      <c r="C53" s="3000" t="s">
        <v>3260</v>
      </c>
      <c r="D53" s="3000" t="s">
        <v>3259</v>
      </c>
      <c r="E53" s="3000">
        <v>201</v>
      </c>
      <c r="F53" s="3000">
        <v>97.31</v>
      </c>
      <c r="G53" s="3001" t="s">
        <v>3055</v>
      </c>
    </row>
    <row r="54" spans="1:7" ht="14.25" thickBot="1">
      <c r="A54" s="2999">
        <v>53</v>
      </c>
      <c r="B54" s="3000" t="s">
        <v>3265</v>
      </c>
      <c r="C54" s="3000" t="s">
        <v>3261</v>
      </c>
      <c r="D54" s="3000" t="s">
        <v>3258</v>
      </c>
      <c r="E54" s="3000">
        <v>302</v>
      </c>
      <c r="F54" s="3000">
        <v>86.67</v>
      </c>
      <c r="G54" s="3001" t="s">
        <v>3055</v>
      </c>
    </row>
    <row r="55" spans="1:7" ht="14.25" thickBot="1">
      <c r="A55" s="2999">
        <v>54</v>
      </c>
      <c r="B55" s="3000" t="s">
        <v>3265</v>
      </c>
      <c r="C55" s="3000" t="s">
        <v>3261</v>
      </c>
      <c r="D55" s="3000" t="s">
        <v>3258</v>
      </c>
      <c r="E55" s="3000">
        <v>305</v>
      </c>
      <c r="F55" s="3000">
        <v>72.48</v>
      </c>
      <c r="G55" s="3001" t="s">
        <v>3055</v>
      </c>
    </row>
    <row r="56" spans="1:7" ht="14.25" thickBot="1">
      <c r="A56" s="2999">
        <v>55</v>
      </c>
      <c r="B56" s="3000" t="s">
        <v>3265</v>
      </c>
      <c r="C56" s="3000" t="s">
        <v>3262</v>
      </c>
      <c r="D56" s="3000" t="s">
        <v>3259</v>
      </c>
      <c r="E56" s="3000" t="s">
        <v>3145</v>
      </c>
      <c r="F56" s="3000">
        <v>97.31</v>
      </c>
      <c r="G56" s="3001" t="s">
        <v>3055</v>
      </c>
    </row>
    <row r="57" spans="1:7" ht="14.25" thickBot="1">
      <c r="A57" s="2999">
        <v>56</v>
      </c>
      <c r="B57" s="3000" t="s">
        <v>3265</v>
      </c>
      <c r="C57" s="3000" t="s">
        <v>3262</v>
      </c>
      <c r="D57" s="3000" t="s">
        <v>3259</v>
      </c>
      <c r="E57" s="3000" t="s">
        <v>3148</v>
      </c>
      <c r="F57" s="3000">
        <v>66.28</v>
      </c>
      <c r="G57" s="3001" t="s">
        <v>3055</v>
      </c>
    </row>
    <row r="58" spans="1:7" ht="14.25" thickBot="1">
      <c r="A58" s="2999">
        <v>57</v>
      </c>
      <c r="B58" s="3000" t="s">
        <v>3265</v>
      </c>
      <c r="C58" s="3000" t="s">
        <v>3263</v>
      </c>
      <c r="D58" s="3000" t="s">
        <v>3258</v>
      </c>
      <c r="E58" s="3000">
        <v>503</v>
      </c>
      <c r="F58" s="3000">
        <v>86.67</v>
      </c>
      <c r="G58" s="3001" t="s">
        <v>3055</v>
      </c>
    </row>
    <row r="59" spans="1:7" ht="14.25" thickBot="1">
      <c r="A59" s="2999">
        <v>58</v>
      </c>
      <c r="B59" s="3000" t="s">
        <v>3265</v>
      </c>
      <c r="C59" s="3000" t="s">
        <v>3263</v>
      </c>
      <c r="D59" s="3000" t="s">
        <v>3258</v>
      </c>
      <c r="E59" s="3000">
        <v>505</v>
      </c>
      <c r="F59" s="3000">
        <v>72.48</v>
      </c>
      <c r="G59" s="3001" t="s">
        <v>3055</v>
      </c>
    </row>
    <row r="60" spans="1:7" ht="14.25" thickBot="1">
      <c r="A60" s="2999">
        <v>59</v>
      </c>
      <c r="B60" s="3000" t="s">
        <v>3265</v>
      </c>
      <c r="C60" s="3000" t="s">
        <v>3264</v>
      </c>
      <c r="D60" s="3000" t="s">
        <v>3258</v>
      </c>
      <c r="E60" s="3000">
        <v>602</v>
      </c>
      <c r="F60" s="3000">
        <v>86.67</v>
      </c>
      <c r="G60" s="3001" t="s">
        <v>3055</v>
      </c>
    </row>
    <row r="61" spans="1:7" ht="14.25" thickBot="1">
      <c r="A61" s="2999">
        <v>60</v>
      </c>
      <c r="B61" s="3000" t="s">
        <v>3265</v>
      </c>
      <c r="C61" s="3000" t="s">
        <v>3264</v>
      </c>
      <c r="D61" s="3000" t="s">
        <v>3259</v>
      </c>
      <c r="E61" s="3000">
        <v>601</v>
      </c>
      <c r="F61" s="3000">
        <v>97.31</v>
      </c>
      <c r="G61" s="3001" t="s">
        <v>3055</v>
      </c>
    </row>
    <row r="62" spans="1:7" ht="14.25" thickBot="1">
      <c r="A62" s="2999">
        <v>61</v>
      </c>
      <c r="B62" s="3000" t="s">
        <v>3266</v>
      </c>
      <c r="C62" s="3002" t="s">
        <v>3257</v>
      </c>
      <c r="D62" s="3000" t="s">
        <v>3259</v>
      </c>
      <c r="E62" s="3002">
        <v>101</v>
      </c>
      <c r="F62" s="3000">
        <v>97.04</v>
      </c>
      <c r="G62" s="3001" t="s">
        <v>3055</v>
      </c>
    </row>
    <row r="63" spans="1:7" ht="14.25" thickBot="1">
      <c r="A63" s="2999">
        <v>62</v>
      </c>
      <c r="B63" s="3000" t="s">
        <v>3266</v>
      </c>
      <c r="C63" s="3002" t="s">
        <v>3257</v>
      </c>
      <c r="D63" s="3000" t="s">
        <v>3259</v>
      </c>
      <c r="E63" s="3002">
        <v>102</v>
      </c>
      <c r="F63" s="3000">
        <v>86.49</v>
      </c>
      <c r="G63" s="3001" t="s">
        <v>3055</v>
      </c>
    </row>
    <row r="64" spans="1:7" ht="14.25" thickBot="1">
      <c r="A64" s="2999">
        <v>63</v>
      </c>
      <c r="B64" s="3000" t="s">
        <v>3266</v>
      </c>
      <c r="C64" s="3002" t="s">
        <v>3257</v>
      </c>
      <c r="D64" s="3000" t="s">
        <v>3259</v>
      </c>
      <c r="E64" s="3002">
        <v>103</v>
      </c>
      <c r="F64" s="3000">
        <v>86.49</v>
      </c>
      <c r="G64" s="3001" t="s">
        <v>3055</v>
      </c>
    </row>
    <row r="65" spans="1:7" ht="14.25" thickBot="1">
      <c r="A65" s="2999">
        <v>64</v>
      </c>
      <c r="B65" s="3000" t="s">
        <v>3266</v>
      </c>
      <c r="C65" s="3002" t="s">
        <v>3257</v>
      </c>
      <c r="D65" s="3000" t="s">
        <v>3259</v>
      </c>
      <c r="E65" s="3002">
        <v>105</v>
      </c>
      <c r="F65" s="3000">
        <v>66.540000000000006</v>
      </c>
      <c r="G65" s="3001" t="s">
        <v>3055</v>
      </c>
    </row>
    <row r="66" spans="1:7" ht="14.25" thickBot="1">
      <c r="A66" s="2999">
        <v>65</v>
      </c>
      <c r="B66" s="3000" t="s">
        <v>3266</v>
      </c>
      <c r="C66" s="3002" t="s">
        <v>3257</v>
      </c>
      <c r="D66" s="3000" t="s">
        <v>3258</v>
      </c>
      <c r="E66" s="3002">
        <v>106</v>
      </c>
      <c r="F66" s="3000">
        <v>67.47</v>
      </c>
      <c r="G66" s="3001" t="s">
        <v>3055</v>
      </c>
    </row>
    <row r="67" spans="1:7" ht="14.25" thickBot="1">
      <c r="A67" s="2999">
        <v>66</v>
      </c>
      <c r="B67" s="3000" t="s">
        <v>3266</v>
      </c>
      <c r="C67" s="3002" t="s">
        <v>3257</v>
      </c>
      <c r="D67" s="3000" t="s">
        <v>3258</v>
      </c>
      <c r="E67" s="3002">
        <v>107</v>
      </c>
      <c r="F67" s="3000">
        <v>87.71</v>
      </c>
      <c r="G67" s="3001" t="s">
        <v>3055</v>
      </c>
    </row>
    <row r="68" spans="1:7" ht="14.25" thickBot="1">
      <c r="A68" s="2999">
        <v>67</v>
      </c>
      <c r="B68" s="3000" t="s">
        <v>3266</v>
      </c>
      <c r="C68" s="3002" t="s">
        <v>3257</v>
      </c>
      <c r="D68" s="3000" t="s">
        <v>3258</v>
      </c>
      <c r="E68" s="3002">
        <v>108</v>
      </c>
      <c r="F68" s="3000">
        <v>87.71</v>
      </c>
      <c r="G68" s="3001" t="s">
        <v>3055</v>
      </c>
    </row>
    <row r="69" spans="1:7" ht="14.25" thickBot="1">
      <c r="A69" s="2999">
        <v>68</v>
      </c>
      <c r="B69" s="3000" t="s">
        <v>3266</v>
      </c>
      <c r="C69" s="3002" t="s">
        <v>3257</v>
      </c>
      <c r="D69" s="3000" t="s">
        <v>3258</v>
      </c>
      <c r="E69" s="3002">
        <v>109</v>
      </c>
      <c r="F69" s="3000">
        <v>72.27</v>
      </c>
      <c r="G69" s="3001" t="s">
        <v>3055</v>
      </c>
    </row>
    <row r="70" spans="1:7" ht="14.25" thickBot="1">
      <c r="A70" s="2999">
        <v>69</v>
      </c>
      <c r="B70" s="3000" t="s">
        <v>3266</v>
      </c>
      <c r="C70" s="3002" t="s">
        <v>3260</v>
      </c>
      <c r="D70" s="3000" t="s">
        <v>3259</v>
      </c>
      <c r="E70" s="3002">
        <v>201</v>
      </c>
      <c r="F70" s="3000">
        <v>97.04</v>
      </c>
      <c r="G70" s="3001" t="s">
        <v>3055</v>
      </c>
    </row>
    <row r="71" spans="1:7" ht="14.25" thickBot="1">
      <c r="A71" s="2999">
        <v>70</v>
      </c>
      <c r="B71" s="3000" t="s">
        <v>3266</v>
      </c>
      <c r="C71" s="3002" t="s">
        <v>3260</v>
      </c>
      <c r="D71" s="3000" t="s">
        <v>3259</v>
      </c>
      <c r="E71" s="3002">
        <v>202</v>
      </c>
      <c r="F71" s="3000">
        <v>86.49</v>
      </c>
      <c r="G71" s="3001" t="s">
        <v>3055</v>
      </c>
    </row>
    <row r="72" spans="1:7" ht="14.25" thickBot="1">
      <c r="A72" s="2999">
        <v>71</v>
      </c>
      <c r="B72" s="3000" t="s">
        <v>3266</v>
      </c>
      <c r="C72" s="3002" t="s">
        <v>3260</v>
      </c>
      <c r="D72" s="3000" t="s">
        <v>3259</v>
      </c>
      <c r="E72" s="3002">
        <v>203</v>
      </c>
      <c r="F72" s="3000">
        <v>86.49</v>
      </c>
      <c r="G72" s="3001" t="s">
        <v>3055</v>
      </c>
    </row>
    <row r="73" spans="1:7" ht="14.25" thickBot="1">
      <c r="A73" s="2999">
        <v>72</v>
      </c>
      <c r="B73" s="3000" t="s">
        <v>3266</v>
      </c>
      <c r="C73" s="3002" t="s">
        <v>3260</v>
      </c>
      <c r="D73" s="3000" t="s">
        <v>3259</v>
      </c>
      <c r="E73" s="3002">
        <v>205</v>
      </c>
      <c r="F73" s="3000">
        <v>66.540000000000006</v>
      </c>
      <c r="G73" s="3001" t="s">
        <v>3055</v>
      </c>
    </row>
    <row r="74" spans="1:7" ht="14.25" thickBot="1">
      <c r="A74" s="2999">
        <v>73</v>
      </c>
      <c r="B74" s="3000" t="s">
        <v>3266</v>
      </c>
      <c r="C74" s="3002" t="s">
        <v>3260</v>
      </c>
      <c r="D74" s="3000" t="s">
        <v>3258</v>
      </c>
      <c r="E74" s="3002">
        <v>206</v>
      </c>
      <c r="F74" s="3000">
        <v>67.47</v>
      </c>
      <c r="G74" s="3001" t="s">
        <v>3055</v>
      </c>
    </row>
    <row r="75" spans="1:7" ht="14.25" thickBot="1">
      <c r="A75" s="2999">
        <v>74</v>
      </c>
      <c r="B75" s="3000" t="s">
        <v>3266</v>
      </c>
      <c r="C75" s="3002" t="s">
        <v>3260</v>
      </c>
      <c r="D75" s="3000" t="s">
        <v>3258</v>
      </c>
      <c r="E75" s="3002">
        <v>207</v>
      </c>
      <c r="F75" s="3000">
        <v>87.71</v>
      </c>
      <c r="G75" s="3001" t="s">
        <v>3055</v>
      </c>
    </row>
    <row r="76" spans="1:7" ht="14.25" thickBot="1">
      <c r="A76" s="2999">
        <v>75</v>
      </c>
      <c r="B76" s="3000" t="s">
        <v>3266</v>
      </c>
      <c r="C76" s="3002" t="s">
        <v>3260</v>
      </c>
      <c r="D76" s="3000" t="s">
        <v>3258</v>
      </c>
      <c r="E76" s="3002">
        <v>208</v>
      </c>
      <c r="F76" s="3000">
        <v>87.71</v>
      </c>
      <c r="G76" s="3001" t="s">
        <v>3055</v>
      </c>
    </row>
    <row r="77" spans="1:7" ht="14.25" thickBot="1">
      <c r="A77" s="2999">
        <v>76</v>
      </c>
      <c r="B77" s="3000" t="s">
        <v>3266</v>
      </c>
      <c r="C77" s="3002" t="s">
        <v>3260</v>
      </c>
      <c r="D77" s="3000" t="s">
        <v>3258</v>
      </c>
      <c r="E77" s="3002">
        <v>209</v>
      </c>
      <c r="F77" s="3000">
        <v>72.27</v>
      </c>
      <c r="G77" s="3001" t="s">
        <v>3055</v>
      </c>
    </row>
    <row r="78" spans="1:7" ht="14.25" thickBot="1">
      <c r="A78" s="2999">
        <v>77</v>
      </c>
      <c r="B78" s="3000" t="s">
        <v>3266</v>
      </c>
      <c r="C78" s="3002" t="s">
        <v>3261</v>
      </c>
      <c r="D78" s="3000" t="s">
        <v>3259</v>
      </c>
      <c r="E78" s="3002">
        <v>301</v>
      </c>
      <c r="F78" s="3000">
        <v>97.04</v>
      </c>
      <c r="G78" s="3001" t="s">
        <v>3055</v>
      </c>
    </row>
    <row r="79" spans="1:7" ht="14.25" thickBot="1">
      <c r="A79" s="2999">
        <v>78</v>
      </c>
      <c r="B79" s="3000" t="s">
        <v>3266</v>
      </c>
      <c r="C79" s="3002" t="s">
        <v>3261</v>
      </c>
      <c r="D79" s="3000" t="s">
        <v>3259</v>
      </c>
      <c r="E79" s="3002">
        <v>302</v>
      </c>
      <c r="F79" s="3000">
        <v>86.49</v>
      </c>
      <c r="G79" s="3001" t="s">
        <v>3055</v>
      </c>
    </row>
    <row r="80" spans="1:7" ht="14.25" thickBot="1">
      <c r="A80" s="2999">
        <v>79</v>
      </c>
      <c r="B80" s="3000" t="s">
        <v>3266</v>
      </c>
      <c r="C80" s="3002" t="s">
        <v>3261</v>
      </c>
      <c r="D80" s="3000" t="s">
        <v>3259</v>
      </c>
      <c r="E80" s="3002">
        <v>303</v>
      </c>
      <c r="F80" s="3000">
        <v>86.49</v>
      </c>
      <c r="G80" s="3001" t="s">
        <v>3055</v>
      </c>
    </row>
    <row r="81" spans="1:7" ht="14.25" thickBot="1">
      <c r="A81" s="2999">
        <v>80</v>
      </c>
      <c r="B81" s="3000" t="s">
        <v>3266</v>
      </c>
      <c r="C81" s="3002" t="s">
        <v>3261</v>
      </c>
      <c r="D81" s="3000" t="s">
        <v>3259</v>
      </c>
      <c r="E81" s="3002">
        <v>305</v>
      </c>
      <c r="F81" s="3000">
        <v>66.540000000000006</v>
      </c>
      <c r="G81" s="3001" t="s">
        <v>3055</v>
      </c>
    </row>
    <row r="82" spans="1:7" ht="14.25" thickBot="1">
      <c r="A82" s="2999">
        <v>81</v>
      </c>
      <c r="B82" s="3000" t="s">
        <v>3266</v>
      </c>
      <c r="C82" s="3002" t="s">
        <v>3261</v>
      </c>
      <c r="D82" s="3000" t="s">
        <v>3258</v>
      </c>
      <c r="E82" s="3002">
        <v>306</v>
      </c>
      <c r="F82" s="3000">
        <v>67.47</v>
      </c>
      <c r="G82" s="3001" t="s">
        <v>3055</v>
      </c>
    </row>
    <row r="83" spans="1:7" ht="14.25" thickBot="1">
      <c r="A83" s="2999">
        <v>82</v>
      </c>
      <c r="B83" s="3000" t="s">
        <v>3266</v>
      </c>
      <c r="C83" s="3002" t="s">
        <v>3261</v>
      </c>
      <c r="D83" s="3000" t="s">
        <v>3258</v>
      </c>
      <c r="E83" s="3002">
        <v>307</v>
      </c>
      <c r="F83" s="3000">
        <v>87.71</v>
      </c>
      <c r="G83" s="3001" t="s">
        <v>3055</v>
      </c>
    </row>
    <row r="84" spans="1:7" ht="14.25" thickBot="1">
      <c r="A84" s="2999">
        <v>83</v>
      </c>
      <c r="B84" s="3000" t="s">
        <v>3266</v>
      </c>
      <c r="C84" s="3002" t="s">
        <v>3261</v>
      </c>
      <c r="D84" s="3000" t="s">
        <v>3258</v>
      </c>
      <c r="E84" s="3002">
        <v>308</v>
      </c>
      <c r="F84" s="3000">
        <v>87.71</v>
      </c>
      <c r="G84" s="3001" t="s">
        <v>3055</v>
      </c>
    </row>
    <row r="85" spans="1:7" ht="14.25" thickBot="1">
      <c r="A85" s="2999">
        <v>84</v>
      </c>
      <c r="B85" s="3000" t="s">
        <v>3266</v>
      </c>
      <c r="C85" s="3002" t="s">
        <v>3261</v>
      </c>
      <c r="D85" s="3000" t="s">
        <v>3258</v>
      </c>
      <c r="E85" s="3002">
        <v>309</v>
      </c>
      <c r="F85" s="3000">
        <v>72.27</v>
      </c>
      <c r="G85" s="3001" t="s">
        <v>3055</v>
      </c>
    </row>
    <row r="86" spans="1:7" ht="14.25" thickBot="1">
      <c r="A86" s="2999">
        <v>85</v>
      </c>
      <c r="B86" s="3000" t="s">
        <v>3266</v>
      </c>
      <c r="C86" s="3002" t="s">
        <v>3262</v>
      </c>
      <c r="D86" s="3000" t="s">
        <v>3259</v>
      </c>
      <c r="E86" s="3002" t="s">
        <v>3145</v>
      </c>
      <c r="F86" s="3000">
        <v>97.04</v>
      </c>
      <c r="G86" s="3001" t="s">
        <v>3055</v>
      </c>
    </row>
    <row r="87" spans="1:7" ht="14.25" thickBot="1">
      <c r="A87" s="2999">
        <v>86</v>
      </c>
      <c r="B87" s="3000" t="s">
        <v>3266</v>
      </c>
      <c r="C87" s="3002" t="s">
        <v>3262</v>
      </c>
      <c r="D87" s="3000" t="s">
        <v>3259</v>
      </c>
      <c r="E87" s="3002" t="s">
        <v>3146</v>
      </c>
      <c r="F87" s="3000">
        <v>86.49</v>
      </c>
      <c r="G87" s="3001" t="s">
        <v>3055</v>
      </c>
    </row>
    <row r="88" spans="1:7" ht="14.25" thickBot="1">
      <c r="A88" s="2999">
        <v>87</v>
      </c>
      <c r="B88" s="3000" t="s">
        <v>3266</v>
      </c>
      <c r="C88" s="3002" t="s">
        <v>3262</v>
      </c>
      <c r="D88" s="3000" t="s">
        <v>3259</v>
      </c>
      <c r="E88" s="3002" t="s">
        <v>3147</v>
      </c>
      <c r="F88" s="3000">
        <v>86.49</v>
      </c>
      <c r="G88" s="3001" t="s">
        <v>3055</v>
      </c>
    </row>
    <row r="89" spans="1:7" ht="14.25" thickBot="1">
      <c r="A89" s="2999">
        <v>88</v>
      </c>
      <c r="B89" s="3000" t="s">
        <v>3266</v>
      </c>
      <c r="C89" s="3002" t="s">
        <v>3262</v>
      </c>
      <c r="D89" s="3000" t="s">
        <v>3259</v>
      </c>
      <c r="E89" s="3002" t="s">
        <v>3148</v>
      </c>
      <c r="F89" s="3000">
        <v>66.540000000000006</v>
      </c>
      <c r="G89" s="3001" t="s">
        <v>3055</v>
      </c>
    </row>
    <row r="90" spans="1:7" ht="14.25" thickBot="1">
      <c r="A90" s="2999">
        <v>89</v>
      </c>
      <c r="B90" s="3000" t="s">
        <v>3266</v>
      </c>
      <c r="C90" s="3002" t="s">
        <v>3262</v>
      </c>
      <c r="D90" s="3000" t="s">
        <v>3258</v>
      </c>
      <c r="E90" s="3002" t="s">
        <v>3149</v>
      </c>
      <c r="F90" s="3000">
        <v>67.47</v>
      </c>
      <c r="G90" s="3001" t="s">
        <v>3055</v>
      </c>
    </row>
    <row r="91" spans="1:7" ht="14.25" thickBot="1">
      <c r="A91" s="2999">
        <v>90</v>
      </c>
      <c r="B91" s="3000" t="s">
        <v>3266</v>
      </c>
      <c r="C91" s="3002" t="s">
        <v>3262</v>
      </c>
      <c r="D91" s="3000" t="s">
        <v>3258</v>
      </c>
      <c r="E91" s="3002" t="s">
        <v>3150</v>
      </c>
      <c r="F91" s="3000">
        <v>87.71</v>
      </c>
      <c r="G91" s="3001" t="s">
        <v>3055</v>
      </c>
    </row>
    <row r="92" spans="1:7" ht="14.25" thickBot="1">
      <c r="A92" s="2999">
        <v>91</v>
      </c>
      <c r="B92" s="3000" t="s">
        <v>3266</v>
      </c>
      <c r="C92" s="3002" t="s">
        <v>3262</v>
      </c>
      <c r="D92" s="3000" t="s">
        <v>3258</v>
      </c>
      <c r="E92" s="3002" t="s">
        <v>3151</v>
      </c>
      <c r="F92" s="3000">
        <v>87.71</v>
      </c>
      <c r="G92" s="3001" t="s">
        <v>3055</v>
      </c>
    </row>
    <row r="93" spans="1:7" ht="14.25" thickBot="1">
      <c r="A93" s="2999">
        <v>92</v>
      </c>
      <c r="B93" s="3000" t="s">
        <v>3266</v>
      </c>
      <c r="C93" s="3002" t="s">
        <v>3262</v>
      </c>
      <c r="D93" s="3000" t="s">
        <v>3258</v>
      </c>
      <c r="E93" s="3002" t="s">
        <v>3163</v>
      </c>
      <c r="F93" s="3000">
        <v>72.27</v>
      </c>
      <c r="G93" s="3001" t="s">
        <v>3055</v>
      </c>
    </row>
    <row r="94" spans="1:7" ht="14.25" thickBot="1">
      <c r="A94" s="2999">
        <v>93</v>
      </c>
      <c r="B94" s="3000" t="s">
        <v>3266</v>
      </c>
      <c r="C94" s="3002" t="s">
        <v>3263</v>
      </c>
      <c r="D94" s="3000" t="s">
        <v>3259</v>
      </c>
      <c r="E94" s="3002">
        <v>501</v>
      </c>
      <c r="F94" s="3000">
        <v>97.04</v>
      </c>
      <c r="G94" s="3001" t="s">
        <v>3055</v>
      </c>
    </row>
    <row r="95" spans="1:7" ht="14.25" thickBot="1">
      <c r="A95" s="2999">
        <v>94</v>
      </c>
      <c r="B95" s="3000" t="s">
        <v>3266</v>
      </c>
      <c r="C95" s="3002" t="s">
        <v>3263</v>
      </c>
      <c r="D95" s="3000" t="s">
        <v>3259</v>
      </c>
      <c r="E95" s="3002">
        <v>502</v>
      </c>
      <c r="F95" s="3000">
        <v>86.49</v>
      </c>
      <c r="G95" s="3001" t="s">
        <v>3055</v>
      </c>
    </row>
    <row r="96" spans="1:7" ht="14.25" thickBot="1">
      <c r="A96" s="2999">
        <v>95</v>
      </c>
      <c r="B96" s="3000" t="s">
        <v>3266</v>
      </c>
      <c r="C96" s="3002" t="s">
        <v>3263</v>
      </c>
      <c r="D96" s="3000" t="s">
        <v>3259</v>
      </c>
      <c r="E96" s="3002">
        <v>503</v>
      </c>
      <c r="F96" s="3000">
        <v>86.49</v>
      </c>
      <c r="G96" s="3001" t="s">
        <v>3055</v>
      </c>
    </row>
    <row r="97" spans="1:7" ht="14.25" thickBot="1">
      <c r="A97" s="2999">
        <v>96</v>
      </c>
      <c r="B97" s="3000" t="s">
        <v>3266</v>
      </c>
      <c r="C97" s="3002" t="s">
        <v>3263</v>
      </c>
      <c r="D97" s="3000" t="s">
        <v>3259</v>
      </c>
      <c r="E97" s="3002">
        <v>505</v>
      </c>
      <c r="F97" s="3000">
        <v>66.540000000000006</v>
      </c>
      <c r="G97" s="3001" t="s">
        <v>3055</v>
      </c>
    </row>
    <row r="98" spans="1:7" ht="14.25" thickBot="1">
      <c r="A98" s="2999">
        <v>97</v>
      </c>
      <c r="B98" s="3000" t="s">
        <v>3266</v>
      </c>
      <c r="C98" s="3002" t="s">
        <v>3263</v>
      </c>
      <c r="D98" s="3000" t="s">
        <v>3258</v>
      </c>
      <c r="E98" s="3002">
        <v>506</v>
      </c>
      <c r="F98" s="3000">
        <v>67.47</v>
      </c>
      <c r="G98" s="3001" t="s">
        <v>3055</v>
      </c>
    </row>
    <row r="99" spans="1:7" ht="14.25" thickBot="1">
      <c r="A99" s="2999">
        <v>98</v>
      </c>
      <c r="B99" s="3000" t="s">
        <v>3266</v>
      </c>
      <c r="C99" s="3002" t="s">
        <v>3263</v>
      </c>
      <c r="D99" s="3000" t="s">
        <v>3258</v>
      </c>
      <c r="E99" s="3002">
        <v>507</v>
      </c>
      <c r="F99" s="3000">
        <v>87.71</v>
      </c>
      <c r="G99" s="3001" t="s">
        <v>3055</v>
      </c>
    </row>
    <row r="100" spans="1:7" ht="14.25" thickBot="1">
      <c r="A100" s="2999">
        <v>99</v>
      </c>
      <c r="B100" s="3000" t="s">
        <v>3266</v>
      </c>
      <c r="C100" s="3002" t="s">
        <v>3263</v>
      </c>
      <c r="D100" s="3000" t="s">
        <v>3258</v>
      </c>
      <c r="E100" s="3002">
        <v>508</v>
      </c>
      <c r="F100" s="3000">
        <v>87.71</v>
      </c>
      <c r="G100" s="3001" t="s">
        <v>3055</v>
      </c>
    </row>
    <row r="101" spans="1:7" ht="14.25" thickBot="1">
      <c r="A101" s="2999">
        <v>100</v>
      </c>
      <c r="B101" s="3000" t="s">
        <v>3266</v>
      </c>
      <c r="C101" s="3002" t="s">
        <v>3263</v>
      </c>
      <c r="D101" s="3000" t="s">
        <v>3258</v>
      </c>
      <c r="E101" s="3002">
        <v>509</v>
      </c>
      <c r="F101" s="3000">
        <v>72.27</v>
      </c>
      <c r="G101" s="3001" t="s">
        <v>3055</v>
      </c>
    </row>
    <row r="102" spans="1:7" ht="14.25" thickBot="1">
      <c r="A102" s="2999">
        <v>101</v>
      </c>
      <c r="B102" s="3000" t="s">
        <v>3266</v>
      </c>
      <c r="C102" s="3002" t="s">
        <v>3264</v>
      </c>
      <c r="D102" s="3000" t="s">
        <v>3259</v>
      </c>
      <c r="E102" s="3002">
        <v>601</v>
      </c>
      <c r="F102" s="3000">
        <v>97.04</v>
      </c>
      <c r="G102" s="3001" t="s">
        <v>3055</v>
      </c>
    </row>
    <row r="103" spans="1:7" ht="14.25" thickBot="1">
      <c r="A103" s="2999">
        <v>102</v>
      </c>
      <c r="B103" s="3000" t="s">
        <v>3266</v>
      </c>
      <c r="C103" s="3002" t="s">
        <v>3264</v>
      </c>
      <c r="D103" s="3000" t="s">
        <v>3259</v>
      </c>
      <c r="E103" s="3002">
        <v>602</v>
      </c>
      <c r="F103" s="3000">
        <v>86.49</v>
      </c>
      <c r="G103" s="3001" t="s">
        <v>3055</v>
      </c>
    </row>
    <row r="104" spans="1:7" ht="14.25" thickBot="1">
      <c r="A104" s="2999">
        <v>103</v>
      </c>
      <c r="B104" s="3000" t="s">
        <v>3266</v>
      </c>
      <c r="C104" s="3002" t="s">
        <v>3264</v>
      </c>
      <c r="D104" s="3000" t="s">
        <v>3259</v>
      </c>
      <c r="E104" s="3002">
        <v>603</v>
      </c>
      <c r="F104" s="3000">
        <v>86.49</v>
      </c>
      <c r="G104" s="3001" t="s">
        <v>3055</v>
      </c>
    </row>
    <row r="105" spans="1:7" ht="14.25" thickBot="1">
      <c r="A105" s="2999">
        <v>104</v>
      </c>
      <c r="B105" s="3000" t="s">
        <v>3266</v>
      </c>
      <c r="C105" s="3002" t="s">
        <v>3264</v>
      </c>
      <c r="D105" s="3000" t="s">
        <v>3259</v>
      </c>
      <c r="E105" s="3002">
        <v>605</v>
      </c>
      <c r="F105" s="3000">
        <v>66.540000000000006</v>
      </c>
      <c r="G105" s="3001" t="s">
        <v>3055</v>
      </c>
    </row>
    <row r="106" spans="1:7" ht="14.25" thickBot="1">
      <c r="A106" s="2999">
        <v>105</v>
      </c>
      <c r="B106" s="3000" t="s">
        <v>3266</v>
      </c>
      <c r="C106" s="3002" t="s">
        <v>3264</v>
      </c>
      <c r="D106" s="3000" t="s">
        <v>3258</v>
      </c>
      <c r="E106" s="3002">
        <v>606</v>
      </c>
      <c r="F106" s="3000">
        <v>67.47</v>
      </c>
      <c r="G106" s="3001" t="s">
        <v>3055</v>
      </c>
    </row>
    <row r="107" spans="1:7" ht="14.25" thickBot="1">
      <c r="A107" s="2999">
        <v>106</v>
      </c>
      <c r="B107" s="3000" t="s">
        <v>3266</v>
      </c>
      <c r="C107" s="3002" t="s">
        <v>3264</v>
      </c>
      <c r="D107" s="3000" t="s">
        <v>3258</v>
      </c>
      <c r="E107" s="3002">
        <v>607</v>
      </c>
      <c r="F107" s="3000">
        <v>87.71</v>
      </c>
      <c r="G107" s="3001" t="s">
        <v>3055</v>
      </c>
    </row>
    <row r="108" spans="1:7" ht="14.25" thickBot="1">
      <c r="A108" s="2999">
        <v>107</v>
      </c>
      <c r="B108" s="3000" t="s">
        <v>3266</v>
      </c>
      <c r="C108" s="3002" t="s">
        <v>3264</v>
      </c>
      <c r="D108" s="3000" t="s">
        <v>3258</v>
      </c>
      <c r="E108" s="3002">
        <v>608</v>
      </c>
      <c r="F108" s="3000">
        <v>87.71</v>
      </c>
      <c r="G108" s="3001" t="s">
        <v>3055</v>
      </c>
    </row>
    <row r="109" spans="1:7" ht="14.25" thickBot="1">
      <c r="A109" s="2999">
        <v>108</v>
      </c>
      <c r="B109" s="3000" t="s">
        <v>3266</v>
      </c>
      <c r="C109" s="3002" t="s">
        <v>3264</v>
      </c>
      <c r="D109" s="3000" t="s">
        <v>3258</v>
      </c>
      <c r="E109" s="3002">
        <v>609</v>
      </c>
      <c r="F109" s="3000">
        <v>72.27</v>
      </c>
      <c r="G109" s="3001" t="s">
        <v>3055</v>
      </c>
    </row>
    <row r="110" spans="1:7" ht="14.25" thickBot="1">
      <c r="A110" s="2999">
        <v>109</v>
      </c>
      <c r="B110" s="3000" t="s">
        <v>3267</v>
      </c>
      <c r="C110" s="3002" t="s">
        <v>3261</v>
      </c>
      <c r="D110" s="3000" t="s">
        <v>3259</v>
      </c>
      <c r="E110" s="3002">
        <v>301</v>
      </c>
      <c r="F110" s="3000">
        <v>97.52</v>
      </c>
      <c r="G110" s="3001" t="s">
        <v>3055</v>
      </c>
    </row>
    <row r="111" spans="1:7" ht="14.25" thickBot="1">
      <c r="A111" s="2999">
        <v>110</v>
      </c>
      <c r="B111" s="3000" t="s">
        <v>3267</v>
      </c>
      <c r="C111" s="3002" t="s">
        <v>3261</v>
      </c>
      <c r="D111" s="3000" t="s">
        <v>3259</v>
      </c>
      <c r="E111" s="3002">
        <v>302</v>
      </c>
      <c r="F111" s="3000">
        <v>71.62</v>
      </c>
      <c r="G111" s="3001" t="s">
        <v>3055</v>
      </c>
    </row>
    <row r="112" spans="1:7" ht="14.25" thickBot="1">
      <c r="A112" s="2999">
        <v>111</v>
      </c>
      <c r="B112" s="3000" t="s">
        <v>3267</v>
      </c>
      <c r="C112" s="3002" t="s">
        <v>3261</v>
      </c>
      <c r="D112" s="3000" t="s">
        <v>3259</v>
      </c>
      <c r="E112" s="3002">
        <v>303</v>
      </c>
      <c r="F112" s="3000">
        <v>71.66</v>
      </c>
      <c r="G112" s="3001" t="s">
        <v>3055</v>
      </c>
    </row>
    <row r="113" spans="1:7" ht="14.25" thickBot="1">
      <c r="A113" s="2999">
        <v>112</v>
      </c>
      <c r="B113" s="3000" t="s">
        <v>3267</v>
      </c>
      <c r="C113" s="3002" t="s">
        <v>3261</v>
      </c>
      <c r="D113" s="3000" t="s">
        <v>3259</v>
      </c>
      <c r="E113" s="3002">
        <v>305</v>
      </c>
      <c r="F113" s="3000">
        <v>71.66</v>
      </c>
      <c r="G113" s="3001" t="s">
        <v>3055</v>
      </c>
    </row>
    <row r="114" spans="1:7" ht="14.25" thickBot="1">
      <c r="A114" s="2999">
        <v>113</v>
      </c>
      <c r="B114" s="3000" t="s">
        <v>3267</v>
      </c>
      <c r="C114" s="3002" t="s">
        <v>3261</v>
      </c>
      <c r="D114" s="3000" t="s">
        <v>3259</v>
      </c>
      <c r="E114" s="3002">
        <v>306</v>
      </c>
      <c r="F114" s="3000">
        <v>71.62</v>
      </c>
      <c r="G114" s="3001" t="s">
        <v>3055</v>
      </c>
    </row>
    <row r="115" spans="1:7" ht="14.25" thickBot="1">
      <c r="A115" s="2999">
        <v>114</v>
      </c>
      <c r="B115" s="3000" t="s">
        <v>3267</v>
      </c>
      <c r="C115" s="3002" t="s">
        <v>3261</v>
      </c>
      <c r="D115" s="3000" t="s">
        <v>3259</v>
      </c>
      <c r="E115" s="3002">
        <v>307</v>
      </c>
      <c r="F115" s="3000">
        <v>67.95</v>
      </c>
      <c r="G115" s="3001" t="s">
        <v>3055</v>
      </c>
    </row>
    <row r="116" spans="1:7" ht="14.25" thickBot="1">
      <c r="A116" s="2999">
        <v>115</v>
      </c>
      <c r="B116" s="3000" t="s">
        <v>3267</v>
      </c>
      <c r="C116" s="3002" t="s">
        <v>3261</v>
      </c>
      <c r="D116" s="3000" t="s">
        <v>3258</v>
      </c>
      <c r="E116" s="3002">
        <v>308</v>
      </c>
      <c r="F116" s="3000">
        <v>68.790000000000006</v>
      </c>
      <c r="G116" s="3001" t="s">
        <v>3055</v>
      </c>
    </row>
    <row r="117" spans="1:7" ht="14.25" thickBot="1">
      <c r="A117" s="2999">
        <v>116</v>
      </c>
      <c r="B117" s="3000" t="s">
        <v>3267</v>
      </c>
      <c r="C117" s="3002" t="s">
        <v>3261</v>
      </c>
      <c r="D117" s="3000" t="s">
        <v>3258</v>
      </c>
      <c r="E117" s="3002">
        <v>309</v>
      </c>
      <c r="F117" s="3000">
        <v>72.510000000000005</v>
      </c>
      <c r="G117" s="3001" t="s">
        <v>3055</v>
      </c>
    </row>
    <row r="118" spans="1:7" ht="14.25" thickBot="1">
      <c r="A118" s="2999">
        <v>117</v>
      </c>
      <c r="B118" s="3000" t="s">
        <v>3267</v>
      </c>
      <c r="C118" s="3002" t="s">
        <v>3261</v>
      </c>
      <c r="D118" s="3000" t="s">
        <v>3258</v>
      </c>
      <c r="E118" s="3002">
        <v>310</v>
      </c>
      <c r="F118" s="3000">
        <v>72.55</v>
      </c>
      <c r="G118" s="3001" t="s">
        <v>3055</v>
      </c>
    </row>
    <row r="119" spans="1:7" ht="14.25" thickBot="1">
      <c r="A119" s="2999">
        <v>118</v>
      </c>
      <c r="B119" s="3000" t="s">
        <v>3267</v>
      </c>
      <c r="C119" s="3002" t="s">
        <v>3261</v>
      </c>
      <c r="D119" s="3000" t="s">
        <v>3258</v>
      </c>
      <c r="E119" s="3002">
        <v>311</v>
      </c>
      <c r="F119" s="3000">
        <v>72.55</v>
      </c>
      <c r="G119" s="3001" t="s">
        <v>3055</v>
      </c>
    </row>
    <row r="120" spans="1:7" ht="14.25" thickBot="1">
      <c r="A120" s="2999">
        <v>119</v>
      </c>
      <c r="B120" s="3000" t="s">
        <v>3267</v>
      </c>
      <c r="C120" s="3002" t="s">
        <v>3261</v>
      </c>
      <c r="D120" s="3000" t="s">
        <v>3258</v>
      </c>
      <c r="E120" s="3002">
        <v>312</v>
      </c>
      <c r="F120" s="3000">
        <v>72.510000000000005</v>
      </c>
      <c r="G120" s="3001" t="s">
        <v>3055</v>
      </c>
    </row>
    <row r="121" spans="1:7" ht="14.25" thickBot="1">
      <c r="A121" s="2999">
        <v>120</v>
      </c>
      <c r="B121" s="3000" t="s">
        <v>3267</v>
      </c>
      <c r="C121" s="3002" t="s">
        <v>3261</v>
      </c>
      <c r="D121" s="3000" t="s">
        <v>3258</v>
      </c>
      <c r="E121" s="3002">
        <v>313</v>
      </c>
      <c r="F121" s="3000">
        <v>69.010000000000005</v>
      </c>
      <c r="G121" s="3001" t="s">
        <v>3055</v>
      </c>
    </row>
    <row r="122" spans="1:7" ht="14.25" thickBot="1">
      <c r="A122" s="2999">
        <v>121</v>
      </c>
      <c r="B122" s="3000" t="s">
        <v>3267</v>
      </c>
      <c r="C122" s="3002" t="s">
        <v>3262</v>
      </c>
      <c r="D122" s="3000" t="s">
        <v>3259</v>
      </c>
      <c r="E122" s="3002" t="s">
        <v>3145</v>
      </c>
      <c r="F122" s="3000">
        <v>97.52</v>
      </c>
      <c r="G122" s="3001" t="s">
        <v>3055</v>
      </c>
    </row>
    <row r="123" spans="1:7" ht="14.25" thickBot="1">
      <c r="A123" s="2999">
        <v>122</v>
      </c>
      <c r="B123" s="3000" t="s">
        <v>3267</v>
      </c>
      <c r="C123" s="3002" t="s">
        <v>3262</v>
      </c>
      <c r="D123" s="3000" t="s">
        <v>3259</v>
      </c>
      <c r="E123" s="3002" t="s">
        <v>3146</v>
      </c>
      <c r="F123" s="3000">
        <v>71.62</v>
      </c>
      <c r="G123" s="3001" t="s">
        <v>3055</v>
      </c>
    </row>
    <row r="124" spans="1:7" ht="14.25" thickBot="1">
      <c r="A124" s="2999">
        <v>123</v>
      </c>
      <c r="B124" s="3000" t="s">
        <v>3267</v>
      </c>
      <c r="C124" s="3002" t="s">
        <v>3262</v>
      </c>
      <c r="D124" s="3000" t="s">
        <v>3259</v>
      </c>
      <c r="E124" s="3002" t="s">
        <v>3147</v>
      </c>
      <c r="F124" s="3000">
        <v>71.66</v>
      </c>
      <c r="G124" s="3001" t="s">
        <v>3055</v>
      </c>
    </row>
    <row r="125" spans="1:7" ht="14.25" thickBot="1">
      <c r="A125" s="2999">
        <v>124</v>
      </c>
      <c r="B125" s="3000" t="s">
        <v>3267</v>
      </c>
      <c r="C125" s="3002" t="s">
        <v>3262</v>
      </c>
      <c r="D125" s="3000" t="s">
        <v>3259</v>
      </c>
      <c r="E125" s="3002" t="s">
        <v>3148</v>
      </c>
      <c r="F125" s="3000">
        <v>71.66</v>
      </c>
      <c r="G125" s="3001" t="s">
        <v>3055</v>
      </c>
    </row>
    <row r="126" spans="1:7" ht="14.25" thickBot="1">
      <c r="A126" s="2999">
        <v>125</v>
      </c>
      <c r="B126" s="3000" t="s">
        <v>3267</v>
      </c>
      <c r="C126" s="3002" t="s">
        <v>3262</v>
      </c>
      <c r="D126" s="3000" t="s">
        <v>3259</v>
      </c>
      <c r="E126" s="3002" t="s">
        <v>3149</v>
      </c>
      <c r="F126" s="3000">
        <v>71.62</v>
      </c>
      <c r="G126" s="3001" t="s">
        <v>3055</v>
      </c>
    </row>
    <row r="127" spans="1:7" ht="14.25" thickBot="1">
      <c r="A127" s="2999">
        <v>126</v>
      </c>
      <c r="B127" s="3000" t="s">
        <v>3267</v>
      </c>
      <c r="C127" s="3002" t="s">
        <v>3262</v>
      </c>
      <c r="D127" s="3000" t="s">
        <v>3259</v>
      </c>
      <c r="E127" s="3002" t="s">
        <v>3150</v>
      </c>
      <c r="F127" s="3000">
        <v>67.95</v>
      </c>
      <c r="G127" s="3001" t="s">
        <v>3055</v>
      </c>
    </row>
    <row r="128" spans="1:7" ht="14.25" thickBot="1">
      <c r="A128" s="2999">
        <v>127</v>
      </c>
      <c r="B128" s="3000" t="s">
        <v>3267</v>
      </c>
      <c r="C128" s="3002" t="s">
        <v>3262</v>
      </c>
      <c r="D128" s="3000" t="s">
        <v>3258</v>
      </c>
      <c r="E128" s="3002" t="s">
        <v>3151</v>
      </c>
      <c r="F128" s="3000">
        <v>68.790000000000006</v>
      </c>
      <c r="G128" s="3001" t="s">
        <v>3055</v>
      </c>
    </row>
    <row r="129" spans="1:7" ht="14.25" thickBot="1">
      <c r="A129" s="2999">
        <v>128</v>
      </c>
      <c r="B129" s="3000" t="s">
        <v>3267</v>
      </c>
      <c r="C129" s="3002" t="s">
        <v>3262</v>
      </c>
      <c r="D129" s="3000" t="s">
        <v>3258</v>
      </c>
      <c r="E129" s="3002" t="s">
        <v>3163</v>
      </c>
      <c r="F129" s="3000">
        <v>72.510000000000005</v>
      </c>
      <c r="G129" s="3001" t="s">
        <v>3055</v>
      </c>
    </row>
    <row r="130" spans="1:7" ht="14.25" thickBot="1">
      <c r="A130" s="2999">
        <v>129</v>
      </c>
      <c r="B130" s="3000" t="s">
        <v>3267</v>
      </c>
      <c r="C130" s="3002" t="s">
        <v>3262</v>
      </c>
      <c r="D130" s="3000" t="s">
        <v>3258</v>
      </c>
      <c r="E130" s="3002" t="s">
        <v>3166</v>
      </c>
      <c r="F130" s="3000">
        <v>72.55</v>
      </c>
      <c r="G130" s="3001" t="s">
        <v>3055</v>
      </c>
    </row>
    <row r="131" spans="1:7" ht="14.25" thickBot="1">
      <c r="A131" s="2999">
        <v>130</v>
      </c>
      <c r="B131" s="3000" t="s">
        <v>3267</v>
      </c>
      <c r="C131" s="3002" t="s">
        <v>3262</v>
      </c>
      <c r="D131" s="3000" t="s">
        <v>3258</v>
      </c>
      <c r="E131" s="3002" t="s">
        <v>3167</v>
      </c>
      <c r="F131" s="3000">
        <v>72.55</v>
      </c>
      <c r="G131" s="3001" t="s">
        <v>3055</v>
      </c>
    </row>
    <row r="132" spans="1:7" ht="14.25" thickBot="1">
      <c r="A132" s="2999">
        <v>131</v>
      </c>
      <c r="B132" s="3000" t="s">
        <v>3267</v>
      </c>
      <c r="C132" s="3002" t="s">
        <v>3262</v>
      </c>
      <c r="D132" s="3000" t="s">
        <v>3258</v>
      </c>
      <c r="E132" s="3002" t="s">
        <v>3168</v>
      </c>
      <c r="F132" s="3000">
        <v>72.510000000000005</v>
      </c>
      <c r="G132" s="3001" t="s">
        <v>3055</v>
      </c>
    </row>
    <row r="133" spans="1:7" ht="14.25" thickBot="1">
      <c r="A133" s="2999">
        <v>132</v>
      </c>
      <c r="B133" s="3000" t="s">
        <v>3267</v>
      </c>
      <c r="C133" s="3002" t="s">
        <v>3262</v>
      </c>
      <c r="D133" s="3000" t="s">
        <v>3258</v>
      </c>
      <c r="E133" s="3002" t="s">
        <v>3169</v>
      </c>
      <c r="F133" s="3000">
        <v>69.010000000000005</v>
      </c>
      <c r="G133" s="3001" t="s">
        <v>3055</v>
      </c>
    </row>
    <row r="134" spans="1:7" ht="14.25" thickBot="1">
      <c r="A134" s="2999">
        <v>133</v>
      </c>
      <c r="B134" s="3000" t="s">
        <v>3267</v>
      </c>
      <c r="C134" s="3002" t="s">
        <v>3263</v>
      </c>
      <c r="D134" s="3000" t="s">
        <v>3259</v>
      </c>
      <c r="E134" s="3002">
        <v>501</v>
      </c>
      <c r="F134" s="3000">
        <v>97.52</v>
      </c>
      <c r="G134" s="3001" t="s">
        <v>3055</v>
      </c>
    </row>
    <row r="135" spans="1:7" ht="14.25" thickBot="1">
      <c r="A135" s="2999">
        <v>134</v>
      </c>
      <c r="B135" s="3000" t="s">
        <v>3267</v>
      </c>
      <c r="C135" s="3002" t="s">
        <v>3263</v>
      </c>
      <c r="D135" s="3000" t="s">
        <v>3259</v>
      </c>
      <c r="E135" s="3002">
        <v>502</v>
      </c>
      <c r="F135" s="3000">
        <v>71.62</v>
      </c>
      <c r="G135" s="3001" t="s">
        <v>3055</v>
      </c>
    </row>
    <row r="136" spans="1:7" ht="14.25" thickBot="1">
      <c r="A136" s="2999">
        <v>135</v>
      </c>
      <c r="B136" s="3000" t="s">
        <v>3267</v>
      </c>
      <c r="C136" s="3002" t="s">
        <v>3263</v>
      </c>
      <c r="D136" s="3000" t="s">
        <v>3259</v>
      </c>
      <c r="E136" s="3002">
        <v>503</v>
      </c>
      <c r="F136" s="3000">
        <v>71.66</v>
      </c>
      <c r="G136" s="3001" t="s">
        <v>3055</v>
      </c>
    </row>
    <row r="137" spans="1:7" ht="14.25" thickBot="1">
      <c r="A137" s="2999">
        <v>136</v>
      </c>
      <c r="B137" s="3000" t="s">
        <v>3267</v>
      </c>
      <c r="C137" s="3002" t="s">
        <v>3263</v>
      </c>
      <c r="D137" s="3000" t="s">
        <v>3259</v>
      </c>
      <c r="E137" s="3002">
        <v>505</v>
      </c>
      <c r="F137" s="3000">
        <v>71.66</v>
      </c>
      <c r="G137" s="3001" t="s">
        <v>3055</v>
      </c>
    </row>
    <row r="138" spans="1:7" ht="14.25" thickBot="1">
      <c r="A138" s="2999">
        <v>137</v>
      </c>
      <c r="B138" s="3000" t="s">
        <v>3267</v>
      </c>
      <c r="C138" s="3002" t="s">
        <v>3263</v>
      </c>
      <c r="D138" s="3000" t="s">
        <v>3259</v>
      </c>
      <c r="E138" s="3002">
        <v>506</v>
      </c>
      <c r="F138" s="3000">
        <v>71.62</v>
      </c>
      <c r="G138" s="3001" t="s">
        <v>3055</v>
      </c>
    </row>
    <row r="139" spans="1:7" ht="14.25" thickBot="1">
      <c r="A139" s="2999">
        <v>138</v>
      </c>
      <c r="B139" s="3000" t="s">
        <v>3267</v>
      </c>
      <c r="C139" s="3002" t="s">
        <v>3263</v>
      </c>
      <c r="D139" s="3000" t="s">
        <v>3259</v>
      </c>
      <c r="E139" s="3002">
        <v>507</v>
      </c>
      <c r="F139" s="3000">
        <v>67.95</v>
      </c>
      <c r="G139" s="3001" t="s">
        <v>3055</v>
      </c>
    </row>
    <row r="140" spans="1:7" ht="14.25" thickBot="1">
      <c r="A140" s="2999">
        <v>139</v>
      </c>
      <c r="B140" s="3000" t="s">
        <v>3267</v>
      </c>
      <c r="C140" s="3002" t="s">
        <v>3263</v>
      </c>
      <c r="D140" s="3000" t="s">
        <v>3258</v>
      </c>
      <c r="E140" s="3002">
        <v>508</v>
      </c>
      <c r="F140" s="3000">
        <v>68.790000000000006</v>
      </c>
      <c r="G140" s="3001" t="s">
        <v>3055</v>
      </c>
    </row>
    <row r="141" spans="1:7" ht="14.25" thickBot="1">
      <c r="A141" s="2999">
        <v>140</v>
      </c>
      <c r="B141" s="3000" t="s">
        <v>3267</v>
      </c>
      <c r="C141" s="3002" t="s">
        <v>3263</v>
      </c>
      <c r="D141" s="3000" t="s">
        <v>3258</v>
      </c>
      <c r="E141" s="3002">
        <v>509</v>
      </c>
      <c r="F141" s="3000">
        <v>72.510000000000005</v>
      </c>
      <c r="G141" s="3001" t="s">
        <v>3055</v>
      </c>
    </row>
    <row r="142" spans="1:7" ht="14.25" thickBot="1">
      <c r="A142" s="2999">
        <v>141</v>
      </c>
      <c r="B142" s="3000" t="s">
        <v>3267</v>
      </c>
      <c r="C142" s="3002" t="s">
        <v>3263</v>
      </c>
      <c r="D142" s="3000" t="s">
        <v>3258</v>
      </c>
      <c r="E142" s="3002">
        <v>510</v>
      </c>
      <c r="F142" s="3000">
        <v>72.55</v>
      </c>
      <c r="G142" s="3001" t="s">
        <v>3055</v>
      </c>
    </row>
    <row r="143" spans="1:7" ht="14.25" thickBot="1">
      <c r="A143" s="2999">
        <v>142</v>
      </c>
      <c r="B143" s="3000" t="s">
        <v>3267</v>
      </c>
      <c r="C143" s="3002" t="s">
        <v>3263</v>
      </c>
      <c r="D143" s="3000" t="s">
        <v>3258</v>
      </c>
      <c r="E143" s="3002">
        <v>511</v>
      </c>
      <c r="F143" s="3000">
        <v>72.55</v>
      </c>
      <c r="G143" s="3001" t="s">
        <v>3055</v>
      </c>
    </row>
    <row r="144" spans="1:7" ht="14.25" thickBot="1">
      <c r="A144" s="2999">
        <v>143</v>
      </c>
      <c r="B144" s="3000" t="s">
        <v>3267</v>
      </c>
      <c r="C144" s="3002" t="s">
        <v>3263</v>
      </c>
      <c r="D144" s="3000" t="s">
        <v>3258</v>
      </c>
      <c r="E144" s="3002">
        <v>512</v>
      </c>
      <c r="F144" s="3000">
        <v>72.510000000000005</v>
      </c>
      <c r="G144" s="3001" t="s">
        <v>3055</v>
      </c>
    </row>
    <row r="145" spans="1:7" ht="14.25" thickBot="1">
      <c r="A145" s="2999">
        <v>144</v>
      </c>
      <c r="B145" s="3000" t="s">
        <v>3267</v>
      </c>
      <c r="C145" s="3002" t="s">
        <v>3263</v>
      </c>
      <c r="D145" s="3000" t="s">
        <v>3258</v>
      </c>
      <c r="E145" s="3002">
        <v>513</v>
      </c>
      <c r="F145" s="3000">
        <v>69.010000000000005</v>
      </c>
      <c r="G145" s="3001" t="s">
        <v>3055</v>
      </c>
    </row>
    <row r="146" spans="1:7" ht="14.25" thickBot="1">
      <c r="A146" s="2999">
        <v>145</v>
      </c>
      <c r="B146" s="3000" t="s">
        <v>3267</v>
      </c>
      <c r="C146" s="3002" t="s">
        <v>3264</v>
      </c>
      <c r="D146" s="3000" t="s">
        <v>3259</v>
      </c>
      <c r="E146" s="3002">
        <v>601</v>
      </c>
      <c r="F146" s="3000">
        <v>97.52</v>
      </c>
      <c r="G146" s="3001" t="s">
        <v>3055</v>
      </c>
    </row>
    <row r="147" spans="1:7" ht="14.25" thickBot="1">
      <c r="A147" s="2999">
        <v>146</v>
      </c>
      <c r="B147" s="3000" t="s">
        <v>3267</v>
      </c>
      <c r="C147" s="3002" t="s">
        <v>3264</v>
      </c>
      <c r="D147" s="3000" t="s">
        <v>3259</v>
      </c>
      <c r="E147" s="3002">
        <v>602</v>
      </c>
      <c r="F147" s="3000">
        <v>71.62</v>
      </c>
      <c r="G147" s="3001" t="s">
        <v>3055</v>
      </c>
    </row>
    <row r="148" spans="1:7" ht="14.25" thickBot="1">
      <c r="A148" s="2999">
        <v>147</v>
      </c>
      <c r="B148" s="3000" t="s">
        <v>3267</v>
      </c>
      <c r="C148" s="3002" t="s">
        <v>3264</v>
      </c>
      <c r="D148" s="3000" t="s">
        <v>3259</v>
      </c>
      <c r="E148" s="3002">
        <v>603</v>
      </c>
      <c r="F148" s="3000">
        <v>71.66</v>
      </c>
      <c r="G148" s="3001" t="s">
        <v>3055</v>
      </c>
    </row>
    <row r="149" spans="1:7" ht="14.25" thickBot="1">
      <c r="A149" s="2999">
        <v>148</v>
      </c>
      <c r="B149" s="3000" t="s">
        <v>3267</v>
      </c>
      <c r="C149" s="3002" t="s">
        <v>3264</v>
      </c>
      <c r="D149" s="3000" t="s">
        <v>3259</v>
      </c>
      <c r="E149" s="3002">
        <v>605</v>
      </c>
      <c r="F149" s="3000">
        <v>71.66</v>
      </c>
      <c r="G149" s="3001" t="s">
        <v>3055</v>
      </c>
    </row>
    <row r="150" spans="1:7" ht="14.25" thickBot="1">
      <c r="A150" s="2999">
        <v>149</v>
      </c>
      <c r="B150" s="3000" t="s">
        <v>3267</v>
      </c>
      <c r="C150" s="3002" t="s">
        <v>3264</v>
      </c>
      <c r="D150" s="3000" t="s">
        <v>3259</v>
      </c>
      <c r="E150" s="3002">
        <v>606</v>
      </c>
      <c r="F150" s="3000">
        <v>71.62</v>
      </c>
      <c r="G150" s="3001" t="s">
        <v>3055</v>
      </c>
    </row>
    <row r="151" spans="1:7" ht="14.25" thickBot="1">
      <c r="A151" s="2999">
        <v>150</v>
      </c>
      <c r="B151" s="3000" t="s">
        <v>3267</v>
      </c>
      <c r="C151" s="3002" t="s">
        <v>3264</v>
      </c>
      <c r="D151" s="3000" t="s">
        <v>3259</v>
      </c>
      <c r="E151" s="3002">
        <v>607</v>
      </c>
      <c r="F151" s="3000">
        <v>67.95</v>
      </c>
      <c r="G151" s="3001" t="s">
        <v>3055</v>
      </c>
    </row>
    <row r="152" spans="1:7" ht="14.25" thickBot="1">
      <c r="A152" s="2999">
        <v>151</v>
      </c>
      <c r="B152" s="3000" t="s">
        <v>3267</v>
      </c>
      <c r="C152" s="3002" t="s">
        <v>3264</v>
      </c>
      <c r="D152" s="3000" t="s">
        <v>3258</v>
      </c>
      <c r="E152" s="3002">
        <v>608</v>
      </c>
      <c r="F152" s="3000">
        <v>68.790000000000006</v>
      </c>
      <c r="G152" s="3001" t="s">
        <v>3055</v>
      </c>
    </row>
    <row r="153" spans="1:7" ht="14.25" thickBot="1">
      <c r="A153" s="2999">
        <v>152</v>
      </c>
      <c r="B153" s="3000" t="s">
        <v>3267</v>
      </c>
      <c r="C153" s="3002" t="s">
        <v>3264</v>
      </c>
      <c r="D153" s="3000" t="s">
        <v>3258</v>
      </c>
      <c r="E153" s="3002">
        <v>609</v>
      </c>
      <c r="F153" s="3000">
        <v>72.510000000000005</v>
      </c>
      <c r="G153" s="3001" t="s">
        <v>3055</v>
      </c>
    </row>
    <row r="154" spans="1:7" ht="14.25" thickBot="1">
      <c r="A154" s="2999">
        <v>153</v>
      </c>
      <c r="B154" s="3000" t="s">
        <v>3267</v>
      </c>
      <c r="C154" s="3002" t="s">
        <v>3264</v>
      </c>
      <c r="D154" s="3000" t="s">
        <v>3258</v>
      </c>
      <c r="E154" s="3002">
        <v>610</v>
      </c>
      <c r="F154" s="3000">
        <v>72.55</v>
      </c>
      <c r="G154" s="3001" t="s">
        <v>3055</v>
      </c>
    </row>
    <row r="155" spans="1:7" ht="14.25" thickBot="1">
      <c r="A155" s="2999">
        <v>154</v>
      </c>
      <c r="B155" s="3000" t="s">
        <v>3267</v>
      </c>
      <c r="C155" s="3002" t="s">
        <v>3264</v>
      </c>
      <c r="D155" s="3000" t="s">
        <v>3258</v>
      </c>
      <c r="E155" s="3002">
        <v>611</v>
      </c>
      <c r="F155" s="3000">
        <v>72.55</v>
      </c>
      <c r="G155" s="3001" t="s">
        <v>3055</v>
      </c>
    </row>
    <row r="156" spans="1:7" ht="14.25" thickBot="1">
      <c r="A156" s="2999">
        <v>155</v>
      </c>
      <c r="B156" s="3000" t="s">
        <v>3267</v>
      </c>
      <c r="C156" s="3002" t="s">
        <v>3264</v>
      </c>
      <c r="D156" s="3000" t="s">
        <v>3258</v>
      </c>
      <c r="E156" s="3002">
        <v>612</v>
      </c>
      <c r="F156" s="3000">
        <v>72.510000000000005</v>
      </c>
      <c r="G156" s="3001" t="s">
        <v>3055</v>
      </c>
    </row>
    <row r="157" spans="1:7" ht="14.25" thickBot="1">
      <c r="A157" s="2999">
        <v>156</v>
      </c>
      <c r="B157" s="3000" t="s">
        <v>3267</v>
      </c>
      <c r="C157" s="3002" t="s">
        <v>3264</v>
      </c>
      <c r="D157" s="3000" t="s">
        <v>3258</v>
      </c>
      <c r="E157" s="3002">
        <v>613</v>
      </c>
      <c r="F157" s="3000">
        <v>69.010000000000005</v>
      </c>
      <c r="G157" s="3001" t="s">
        <v>3055</v>
      </c>
    </row>
    <row r="158" spans="1:7" ht="14.25" thickBot="1">
      <c r="A158" s="2999">
        <v>157</v>
      </c>
      <c r="B158" s="3000" t="s">
        <v>3268</v>
      </c>
      <c r="C158" s="3002" t="s">
        <v>3261</v>
      </c>
      <c r="D158" s="3000" t="s">
        <v>3259</v>
      </c>
      <c r="E158" s="3002">
        <v>301</v>
      </c>
      <c r="F158" s="3000">
        <v>101.78</v>
      </c>
      <c r="G158" s="3001" t="s">
        <v>3055</v>
      </c>
    </row>
    <row r="159" spans="1:7" ht="14.25" thickBot="1">
      <c r="A159" s="2999">
        <v>158</v>
      </c>
      <c r="B159" s="3000" t="s">
        <v>3268</v>
      </c>
      <c r="C159" s="3002" t="s">
        <v>3261</v>
      </c>
      <c r="D159" s="3000" t="s">
        <v>3259</v>
      </c>
      <c r="E159" s="3002">
        <v>302</v>
      </c>
      <c r="F159" s="3000">
        <v>90.71</v>
      </c>
      <c r="G159" s="3001" t="s">
        <v>3055</v>
      </c>
    </row>
    <row r="160" spans="1:7" ht="14.25" thickBot="1">
      <c r="A160" s="2999">
        <v>159</v>
      </c>
      <c r="B160" s="3000" t="s">
        <v>3268</v>
      </c>
      <c r="C160" s="3002" t="s">
        <v>3261</v>
      </c>
      <c r="D160" s="3000" t="s">
        <v>3259</v>
      </c>
      <c r="E160" s="3002">
        <v>303</v>
      </c>
      <c r="F160" s="3000">
        <v>90.71</v>
      </c>
      <c r="G160" s="3001" t="s">
        <v>3055</v>
      </c>
    </row>
    <row r="161" spans="1:7" ht="14.25" thickBot="1">
      <c r="A161" s="2999">
        <v>160</v>
      </c>
      <c r="B161" s="3000" t="s">
        <v>3268</v>
      </c>
      <c r="C161" s="3002" t="s">
        <v>3261</v>
      </c>
      <c r="D161" s="3000" t="s">
        <v>3259</v>
      </c>
      <c r="E161" s="3002">
        <v>305</v>
      </c>
      <c r="F161" s="3000">
        <v>69.78</v>
      </c>
      <c r="G161" s="3001" t="s">
        <v>3055</v>
      </c>
    </row>
    <row r="162" spans="1:7" ht="14.25" thickBot="1">
      <c r="A162" s="2999">
        <v>161</v>
      </c>
      <c r="B162" s="3000" t="s">
        <v>3268</v>
      </c>
      <c r="C162" s="3002" t="s">
        <v>3261</v>
      </c>
      <c r="D162" s="3000" t="s">
        <v>3258</v>
      </c>
      <c r="E162" s="3002">
        <v>306</v>
      </c>
      <c r="F162" s="3000">
        <v>69.78</v>
      </c>
      <c r="G162" s="3001" t="s">
        <v>3055</v>
      </c>
    </row>
    <row r="163" spans="1:7" ht="14.25" thickBot="1">
      <c r="A163" s="2999">
        <v>162</v>
      </c>
      <c r="B163" s="3000" t="s">
        <v>3268</v>
      </c>
      <c r="C163" s="3002" t="s">
        <v>3261</v>
      </c>
      <c r="D163" s="3000" t="s">
        <v>3258</v>
      </c>
      <c r="E163" s="3002">
        <v>307</v>
      </c>
      <c r="F163" s="3000">
        <v>90.71</v>
      </c>
      <c r="G163" s="3001" t="s">
        <v>3055</v>
      </c>
    </row>
    <row r="164" spans="1:7" ht="14.25" thickBot="1">
      <c r="A164" s="2999">
        <v>163</v>
      </c>
      <c r="B164" s="3000" t="s">
        <v>3268</v>
      </c>
      <c r="C164" s="3002" t="s">
        <v>3261</v>
      </c>
      <c r="D164" s="3000" t="s">
        <v>3258</v>
      </c>
      <c r="E164" s="3002">
        <v>308</v>
      </c>
      <c r="F164" s="3000">
        <v>90.71</v>
      </c>
      <c r="G164" s="3001" t="s">
        <v>3055</v>
      </c>
    </row>
    <row r="165" spans="1:7" ht="14.25" thickBot="1">
      <c r="A165" s="2999">
        <v>164</v>
      </c>
      <c r="B165" s="3000" t="s">
        <v>3268</v>
      </c>
      <c r="C165" s="3002" t="s">
        <v>3261</v>
      </c>
      <c r="D165" s="3000" t="s">
        <v>3258</v>
      </c>
      <c r="E165" s="3002">
        <v>309</v>
      </c>
      <c r="F165" s="3000">
        <v>101.78</v>
      </c>
      <c r="G165" s="3001" t="s">
        <v>3055</v>
      </c>
    </row>
    <row r="166" spans="1:7" ht="14.25" thickBot="1">
      <c r="A166" s="2999">
        <v>165</v>
      </c>
      <c r="B166" s="3000" t="s">
        <v>3268</v>
      </c>
      <c r="C166" s="3002" t="s">
        <v>3262</v>
      </c>
      <c r="D166" s="3000" t="s">
        <v>3259</v>
      </c>
      <c r="E166" s="3002" t="s">
        <v>3145</v>
      </c>
      <c r="F166" s="3000">
        <v>101.78</v>
      </c>
      <c r="G166" s="3001" t="s">
        <v>3055</v>
      </c>
    </row>
    <row r="167" spans="1:7" ht="14.25" thickBot="1">
      <c r="A167" s="2999">
        <v>166</v>
      </c>
      <c r="B167" s="3000" t="s">
        <v>3268</v>
      </c>
      <c r="C167" s="3002" t="s">
        <v>3262</v>
      </c>
      <c r="D167" s="3000" t="s">
        <v>3259</v>
      </c>
      <c r="E167" s="3002" t="s">
        <v>3146</v>
      </c>
      <c r="F167" s="3000">
        <v>90.71</v>
      </c>
      <c r="G167" s="3001" t="s">
        <v>3055</v>
      </c>
    </row>
    <row r="168" spans="1:7" ht="14.25" thickBot="1">
      <c r="A168" s="2999">
        <v>167</v>
      </c>
      <c r="B168" s="3000" t="s">
        <v>3268</v>
      </c>
      <c r="C168" s="3002" t="s">
        <v>3262</v>
      </c>
      <c r="D168" s="3000" t="s">
        <v>3259</v>
      </c>
      <c r="E168" s="3002" t="s">
        <v>3147</v>
      </c>
      <c r="F168" s="3000">
        <v>90.71</v>
      </c>
      <c r="G168" s="3001" t="s">
        <v>3055</v>
      </c>
    </row>
    <row r="169" spans="1:7" ht="14.25" thickBot="1">
      <c r="A169" s="2999">
        <v>168</v>
      </c>
      <c r="B169" s="3000" t="s">
        <v>3268</v>
      </c>
      <c r="C169" s="3002" t="s">
        <v>3262</v>
      </c>
      <c r="D169" s="3000" t="s">
        <v>3259</v>
      </c>
      <c r="E169" s="3002" t="s">
        <v>3148</v>
      </c>
      <c r="F169" s="3000">
        <v>69.78</v>
      </c>
      <c r="G169" s="3001" t="s">
        <v>3055</v>
      </c>
    </row>
    <row r="170" spans="1:7" ht="14.25" thickBot="1">
      <c r="A170" s="2999">
        <v>169</v>
      </c>
      <c r="B170" s="3000" t="s">
        <v>3268</v>
      </c>
      <c r="C170" s="3002" t="s">
        <v>3262</v>
      </c>
      <c r="D170" s="3000" t="s">
        <v>3258</v>
      </c>
      <c r="E170" s="3002" t="s">
        <v>3149</v>
      </c>
      <c r="F170" s="3000">
        <v>69.78</v>
      </c>
      <c r="G170" s="3001" t="s">
        <v>3055</v>
      </c>
    </row>
    <row r="171" spans="1:7" ht="14.25" thickBot="1">
      <c r="A171" s="2999">
        <v>170</v>
      </c>
      <c r="B171" s="3000" t="s">
        <v>3268</v>
      </c>
      <c r="C171" s="3002" t="s">
        <v>3262</v>
      </c>
      <c r="D171" s="3000" t="s">
        <v>3258</v>
      </c>
      <c r="E171" s="3002" t="s">
        <v>3150</v>
      </c>
      <c r="F171" s="3000">
        <v>90.71</v>
      </c>
      <c r="G171" s="3001" t="s">
        <v>3055</v>
      </c>
    </row>
    <row r="172" spans="1:7" ht="14.25" thickBot="1">
      <c r="A172" s="2999">
        <v>171</v>
      </c>
      <c r="B172" s="3000" t="s">
        <v>3268</v>
      </c>
      <c r="C172" s="3002" t="s">
        <v>3262</v>
      </c>
      <c r="D172" s="3000" t="s">
        <v>3258</v>
      </c>
      <c r="E172" s="3002" t="s">
        <v>3151</v>
      </c>
      <c r="F172" s="3000">
        <v>90.71</v>
      </c>
      <c r="G172" s="3001" t="s">
        <v>3055</v>
      </c>
    </row>
    <row r="173" spans="1:7" ht="14.25" thickBot="1">
      <c r="A173" s="2999">
        <v>172</v>
      </c>
      <c r="B173" s="3000" t="s">
        <v>3268</v>
      </c>
      <c r="C173" s="3002" t="s">
        <v>3262</v>
      </c>
      <c r="D173" s="3000" t="s">
        <v>3258</v>
      </c>
      <c r="E173" s="3002" t="s">
        <v>3163</v>
      </c>
      <c r="F173" s="3000">
        <v>101.78</v>
      </c>
      <c r="G173" s="3001" t="s">
        <v>3055</v>
      </c>
    </row>
    <row r="174" spans="1:7" ht="14.25" thickBot="1">
      <c r="A174" s="2999">
        <v>173</v>
      </c>
      <c r="B174" s="3000" t="s">
        <v>3268</v>
      </c>
      <c r="C174" s="3002" t="s">
        <v>3263</v>
      </c>
      <c r="D174" s="3000" t="s">
        <v>3259</v>
      </c>
      <c r="E174" s="3002">
        <v>501</v>
      </c>
      <c r="F174" s="3000">
        <v>101.78</v>
      </c>
      <c r="G174" s="3001" t="s">
        <v>3055</v>
      </c>
    </row>
    <row r="175" spans="1:7" ht="14.25" thickBot="1">
      <c r="A175" s="2999">
        <v>174</v>
      </c>
      <c r="B175" s="3000" t="s">
        <v>3268</v>
      </c>
      <c r="C175" s="3002" t="s">
        <v>3263</v>
      </c>
      <c r="D175" s="3000" t="s">
        <v>3259</v>
      </c>
      <c r="E175" s="3002">
        <v>502</v>
      </c>
      <c r="F175" s="3000">
        <v>90.71</v>
      </c>
      <c r="G175" s="3001" t="s">
        <v>3055</v>
      </c>
    </row>
    <row r="176" spans="1:7" ht="14.25" thickBot="1">
      <c r="A176" s="2999">
        <v>175</v>
      </c>
      <c r="B176" s="3000" t="s">
        <v>3268</v>
      </c>
      <c r="C176" s="3002" t="s">
        <v>3263</v>
      </c>
      <c r="D176" s="3000" t="s">
        <v>3259</v>
      </c>
      <c r="E176" s="3002">
        <v>503</v>
      </c>
      <c r="F176" s="3000">
        <v>90.71</v>
      </c>
      <c r="G176" s="3001" t="s">
        <v>3055</v>
      </c>
    </row>
    <row r="177" spans="1:7" ht="14.25" thickBot="1">
      <c r="A177" s="2999">
        <v>176</v>
      </c>
      <c r="B177" s="3000" t="s">
        <v>3268</v>
      </c>
      <c r="C177" s="3002" t="s">
        <v>3263</v>
      </c>
      <c r="D177" s="3000" t="s">
        <v>3259</v>
      </c>
      <c r="E177" s="3002">
        <v>505</v>
      </c>
      <c r="F177" s="3000">
        <v>69.78</v>
      </c>
      <c r="G177" s="3001" t="s">
        <v>3055</v>
      </c>
    </row>
    <row r="178" spans="1:7" ht="14.25" thickBot="1">
      <c r="A178" s="2999">
        <v>177</v>
      </c>
      <c r="B178" s="3000" t="s">
        <v>3268</v>
      </c>
      <c r="C178" s="3002" t="s">
        <v>3263</v>
      </c>
      <c r="D178" s="3000" t="s">
        <v>3258</v>
      </c>
      <c r="E178" s="3002">
        <v>506</v>
      </c>
      <c r="F178" s="3000">
        <v>69.78</v>
      </c>
      <c r="G178" s="3001" t="s">
        <v>3055</v>
      </c>
    </row>
    <row r="179" spans="1:7" ht="14.25" thickBot="1">
      <c r="A179" s="2999">
        <v>178</v>
      </c>
      <c r="B179" s="3000" t="s">
        <v>3268</v>
      </c>
      <c r="C179" s="3002" t="s">
        <v>3263</v>
      </c>
      <c r="D179" s="3000" t="s">
        <v>3258</v>
      </c>
      <c r="E179" s="3002">
        <v>507</v>
      </c>
      <c r="F179" s="3000">
        <v>90.71</v>
      </c>
      <c r="G179" s="3001" t="s">
        <v>3055</v>
      </c>
    </row>
    <row r="180" spans="1:7" ht="14.25" thickBot="1">
      <c r="A180" s="2999">
        <v>179</v>
      </c>
      <c r="B180" s="3000" t="s">
        <v>3268</v>
      </c>
      <c r="C180" s="3002" t="s">
        <v>3263</v>
      </c>
      <c r="D180" s="3000" t="s">
        <v>3258</v>
      </c>
      <c r="E180" s="3002">
        <v>508</v>
      </c>
      <c r="F180" s="3000">
        <v>90.71</v>
      </c>
      <c r="G180" s="3001" t="s">
        <v>3055</v>
      </c>
    </row>
    <row r="181" spans="1:7" ht="14.25" thickBot="1">
      <c r="A181" s="2999">
        <v>180</v>
      </c>
      <c r="B181" s="3000" t="s">
        <v>3268</v>
      </c>
      <c r="C181" s="3002" t="s">
        <v>3263</v>
      </c>
      <c r="D181" s="3000" t="s">
        <v>3258</v>
      </c>
      <c r="E181" s="3002">
        <v>509</v>
      </c>
      <c r="F181" s="3000">
        <v>101.78</v>
      </c>
      <c r="G181" s="3001" t="s">
        <v>3055</v>
      </c>
    </row>
    <row r="182" spans="1:7" ht="14.25" thickBot="1">
      <c r="A182" s="2999">
        <v>181</v>
      </c>
      <c r="B182" s="3000" t="s">
        <v>3268</v>
      </c>
      <c r="C182" s="3002" t="s">
        <v>3264</v>
      </c>
      <c r="D182" s="3000" t="s">
        <v>3259</v>
      </c>
      <c r="E182" s="3002">
        <v>601</v>
      </c>
      <c r="F182" s="3000">
        <v>101.78</v>
      </c>
      <c r="G182" s="3001" t="s">
        <v>3055</v>
      </c>
    </row>
    <row r="183" spans="1:7" ht="14.25" thickBot="1">
      <c r="A183" s="2999">
        <v>182</v>
      </c>
      <c r="B183" s="3000" t="s">
        <v>3268</v>
      </c>
      <c r="C183" s="3002" t="s">
        <v>3264</v>
      </c>
      <c r="D183" s="3000" t="s">
        <v>3259</v>
      </c>
      <c r="E183" s="3002">
        <v>602</v>
      </c>
      <c r="F183" s="3000">
        <v>90.71</v>
      </c>
      <c r="G183" s="3001" t="s">
        <v>3055</v>
      </c>
    </row>
    <row r="184" spans="1:7" ht="14.25" thickBot="1">
      <c r="A184" s="2999">
        <v>183</v>
      </c>
      <c r="B184" s="3000" t="s">
        <v>3268</v>
      </c>
      <c r="C184" s="3002" t="s">
        <v>3264</v>
      </c>
      <c r="D184" s="3000" t="s">
        <v>3259</v>
      </c>
      <c r="E184" s="3002">
        <v>603</v>
      </c>
      <c r="F184" s="3000">
        <v>90.71</v>
      </c>
      <c r="G184" s="3001" t="s">
        <v>3055</v>
      </c>
    </row>
    <row r="185" spans="1:7" ht="14.25" thickBot="1">
      <c r="A185" s="2999">
        <v>184</v>
      </c>
      <c r="B185" s="3000" t="s">
        <v>3268</v>
      </c>
      <c r="C185" s="3002" t="s">
        <v>3264</v>
      </c>
      <c r="D185" s="3000" t="s">
        <v>3259</v>
      </c>
      <c r="E185" s="3002">
        <v>605</v>
      </c>
      <c r="F185" s="3000">
        <v>69.78</v>
      </c>
      <c r="G185" s="3001" t="s">
        <v>3055</v>
      </c>
    </row>
    <row r="186" spans="1:7" ht="14.25" thickBot="1">
      <c r="A186" s="2999">
        <v>185</v>
      </c>
      <c r="B186" s="3000" t="s">
        <v>3268</v>
      </c>
      <c r="C186" s="3002" t="s">
        <v>3264</v>
      </c>
      <c r="D186" s="3000" t="s">
        <v>3258</v>
      </c>
      <c r="E186" s="3002">
        <v>606</v>
      </c>
      <c r="F186" s="3000">
        <v>69.78</v>
      </c>
      <c r="G186" s="3001" t="s">
        <v>3055</v>
      </c>
    </row>
    <row r="187" spans="1:7" ht="14.25" thickBot="1">
      <c r="A187" s="2999">
        <v>186</v>
      </c>
      <c r="B187" s="3000" t="s">
        <v>3268</v>
      </c>
      <c r="C187" s="3002" t="s">
        <v>3264</v>
      </c>
      <c r="D187" s="3000" t="s">
        <v>3258</v>
      </c>
      <c r="E187" s="3002">
        <v>607</v>
      </c>
      <c r="F187" s="3000">
        <v>90.71</v>
      </c>
      <c r="G187" s="3001" t="s">
        <v>3055</v>
      </c>
    </row>
    <row r="188" spans="1:7" ht="14.25" thickBot="1">
      <c r="A188" s="2999">
        <v>187</v>
      </c>
      <c r="B188" s="3000" t="s">
        <v>3268</v>
      </c>
      <c r="C188" s="3002" t="s">
        <v>3264</v>
      </c>
      <c r="D188" s="3000" t="s">
        <v>3258</v>
      </c>
      <c r="E188" s="3002">
        <v>608</v>
      </c>
      <c r="F188" s="3000">
        <v>90.71</v>
      </c>
      <c r="G188" s="3001" t="s">
        <v>3055</v>
      </c>
    </row>
    <row r="189" spans="1:7" ht="14.25" thickBot="1">
      <c r="A189" s="2999">
        <v>188</v>
      </c>
      <c r="B189" s="3000" t="s">
        <v>3268</v>
      </c>
      <c r="C189" s="3002" t="s">
        <v>3264</v>
      </c>
      <c r="D189" s="3000" t="s">
        <v>3258</v>
      </c>
      <c r="E189" s="3002">
        <v>609</v>
      </c>
      <c r="F189" s="3000">
        <v>101.78</v>
      </c>
      <c r="G189" s="3001" t="s">
        <v>3055</v>
      </c>
    </row>
    <row r="190" spans="1:7" ht="14.25" thickBot="1">
      <c r="A190" s="2999">
        <v>189</v>
      </c>
      <c r="B190" s="3000" t="s">
        <v>3269</v>
      </c>
      <c r="C190" s="3002" t="s">
        <v>3257</v>
      </c>
      <c r="D190" s="3000" t="s">
        <v>70</v>
      </c>
      <c r="E190" s="3002">
        <v>101</v>
      </c>
      <c r="F190" s="3000">
        <v>94.54</v>
      </c>
      <c r="G190" s="3001" t="s">
        <v>3055</v>
      </c>
    </row>
    <row r="191" spans="1:7" ht="14.25" thickBot="1">
      <c r="A191" s="2999">
        <v>190</v>
      </c>
      <c r="B191" s="3000" t="s">
        <v>3269</v>
      </c>
      <c r="C191" s="3002" t="s">
        <v>3257</v>
      </c>
      <c r="D191" s="3000" t="s">
        <v>70</v>
      </c>
      <c r="E191" s="3002">
        <v>102</v>
      </c>
      <c r="F191" s="3000">
        <v>69.53</v>
      </c>
      <c r="G191" s="3001" t="s">
        <v>3055</v>
      </c>
    </row>
    <row r="192" spans="1:7" ht="14.25" thickBot="1">
      <c r="A192" s="2999">
        <v>191</v>
      </c>
      <c r="B192" s="3000" t="s">
        <v>3269</v>
      </c>
      <c r="C192" s="3002" t="s">
        <v>3257</v>
      </c>
      <c r="D192" s="3000" t="s">
        <v>70</v>
      </c>
      <c r="E192" s="3002">
        <v>103</v>
      </c>
      <c r="F192" s="3000">
        <v>69.47</v>
      </c>
      <c r="G192" s="3001" t="s">
        <v>3055</v>
      </c>
    </row>
    <row r="193" spans="1:7" ht="14.25" thickBot="1">
      <c r="A193" s="2999">
        <v>192</v>
      </c>
      <c r="B193" s="3000" t="s">
        <v>3269</v>
      </c>
      <c r="C193" s="3002" t="s">
        <v>3257</v>
      </c>
      <c r="D193" s="3000" t="s">
        <v>70</v>
      </c>
      <c r="E193" s="3002">
        <v>106</v>
      </c>
      <c r="F193" s="3000">
        <v>69.53</v>
      </c>
      <c r="G193" s="3001" t="s">
        <v>3055</v>
      </c>
    </row>
    <row r="194" spans="1:7" ht="14.25" thickBot="1">
      <c r="A194" s="2999">
        <v>193</v>
      </c>
      <c r="B194" s="3000" t="s">
        <v>3269</v>
      </c>
      <c r="C194" s="3002" t="s">
        <v>3257</v>
      </c>
      <c r="D194" s="3000" t="s">
        <v>70</v>
      </c>
      <c r="E194" s="3002">
        <v>107</v>
      </c>
      <c r="F194" s="3000">
        <v>66.08</v>
      </c>
      <c r="G194" s="3001" t="s">
        <v>3055</v>
      </c>
    </row>
    <row r="195" spans="1:7" ht="14.25" thickBot="1">
      <c r="A195" s="2999">
        <v>194</v>
      </c>
      <c r="B195" s="3000" t="s">
        <v>3269</v>
      </c>
      <c r="C195" s="3002" t="s">
        <v>3260</v>
      </c>
      <c r="D195" s="3000" t="s">
        <v>70</v>
      </c>
      <c r="E195" s="3002">
        <v>201</v>
      </c>
      <c r="F195" s="3000">
        <v>94.54</v>
      </c>
      <c r="G195" s="3001" t="s">
        <v>3055</v>
      </c>
    </row>
    <row r="196" spans="1:7" ht="14.25" thickBot="1">
      <c r="A196" s="2999">
        <v>195</v>
      </c>
      <c r="B196" s="3000" t="s">
        <v>3269</v>
      </c>
      <c r="C196" s="3002" t="s">
        <v>3260</v>
      </c>
      <c r="D196" s="3000" t="s">
        <v>70</v>
      </c>
      <c r="E196" s="3002">
        <v>202</v>
      </c>
      <c r="F196" s="3000">
        <v>69.53</v>
      </c>
      <c r="G196" s="3001" t="s">
        <v>3055</v>
      </c>
    </row>
    <row r="197" spans="1:7" ht="14.25" thickBot="1">
      <c r="A197" s="2999">
        <v>196</v>
      </c>
      <c r="B197" s="3000" t="s">
        <v>3269</v>
      </c>
      <c r="C197" s="3002" t="s">
        <v>3260</v>
      </c>
      <c r="D197" s="3000" t="s">
        <v>70</v>
      </c>
      <c r="E197" s="3002">
        <v>203</v>
      </c>
      <c r="F197" s="3000">
        <v>69.47</v>
      </c>
      <c r="G197" s="3001" t="s">
        <v>3055</v>
      </c>
    </row>
    <row r="198" spans="1:7" ht="14.25" thickBot="1">
      <c r="A198" s="2999">
        <v>197</v>
      </c>
      <c r="B198" s="3000" t="s">
        <v>3269</v>
      </c>
      <c r="C198" s="3002" t="s">
        <v>3260</v>
      </c>
      <c r="D198" s="3000" t="s">
        <v>70</v>
      </c>
      <c r="E198" s="3002">
        <v>205</v>
      </c>
      <c r="F198" s="3000">
        <v>69.47</v>
      </c>
      <c r="G198" s="3001" t="s">
        <v>3055</v>
      </c>
    </row>
    <row r="199" spans="1:7" ht="14.25" thickBot="1">
      <c r="A199" s="2999">
        <v>198</v>
      </c>
      <c r="B199" s="3000" t="s">
        <v>3269</v>
      </c>
      <c r="C199" s="3002" t="s">
        <v>3260</v>
      </c>
      <c r="D199" s="3000" t="s">
        <v>70</v>
      </c>
      <c r="E199" s="3002">
        <v>206</v>
      </c>
      <c r="F199" s="3000">
        <v>69.53</v>
      </c>
      <c r="G199" s="3001" t="s">
        <v>3055</v>
      </c>
    </row>
    <row r="200" spans="1:7" ht="14.25" thickBot="1">
      <c r="A200" s="2999">
        <v>199</v>
      </c>
      <c r="B200" s="3000" t="s">
        <v>3269</v>
      </c>
      <c r="C200" s="3002" t="s">
        <v>3260</v>
      </c>
      <c r="D200" s="3000" t="s">
        <v>70</v>
      </c>
      <c r="E200" s="3002">
        <v>207</v>
      </c>
      <c r="F200" s="3000">
        <v>66.08</v>
      </c>
      <c r="G200" s="3001" t="s">
        <v>3055</v>
      </c>
    </row>
    <row r="201" spans="1:7" ht="14.25" thickBot="1">
      <c r="A201" s="2999">
        <v>200</v>
      </c>
      <c r="B201" s="3000" t="s">
        <v>3269</v>
      </c>
      <c r="C201" s="3002" t="s">
        <v>3261</v>
      </c>
      <c r="D201" s="3000" t="s">
        <v>70</v>
      </c>
      <c r="E201" s="3002">
        <v>301</v>
      </c>
      <c r="F201" s="3000">
        <v>94.54</v>
      </c>
      <c r="G201" s="3001" t="s">
        <v>3055</v>
      </c>
    </row>
    <row r="202" spans="1:7" ht="14.25" thickBot="1">
      <c r="A202" s="2999">
        <v>201</v>
      </c>
      <c r="B202" s="3000" t="s">
        <v>3269</v>
      </c>
      <c r="C202" s="3002" t="s">
        <v>3261</v>
      </c>
      <c r="D202" s="3000" t="s">
        <v>70</v>
      </c>
      <c r="E202" s="3002">
        <v>302</v>
      </c>
      <c r="F202" s="3000">
        <v>69.53</v>
      </c>
      <c r="G202" s="3001" t="s">
        <v>3055</v>
      </c>
    </row>
    <row r="203" spans="1:7" ht="14.25" thickBot="1">
      <c r="A203" s="2999">
        <v>202</v>
      </c>
      <c r="B203" s="3000" t="s">
        <v>3269</v>
      </c>
      <c r="C203" s="3002" t="s">
        <v>3261</v>
      </c>
      <c r="D203" s="3000" t="s">
        <v>70</v>
      </c>
      <c r="E203" s="3002">
        <v>303</v>
      </c>
      <c r="F203" s="3000">
        <v>69.47</v>
      </c>
      <c r="G203" s="3001" t="s">
        <v>3055</v>
      </c>
    </row>
    <row r="204" spans="1:7" ht="14.25" thickBot="1">
      <c r="A204" s="2999">
        <v>203</v>
      </c>
      <c r="B204" s="3000" t="s">
        <v>3269</v>
      </c>
      <c r="C204" s="3002" t="s">
        <v>3261</v>
      </c>
      <c r="D204" s="3000" t="s">
        <v>70</v>
      </c>
      <c r="E204" s="3002">
        <v>305</v>
      </c>
      <c r="F204" s="3000">
        <v>69.47</v>
      </c>
      <c r="G204" s="3001" t="s">
        <v>3055</v>
      </c>
    </row>
    <row r="205" spans="1:7" ht="14.25" thickBot="1">
      <c r="A205" s="2999">
        <v>204</v>
      </c>
      <c r="B205" s="3000" t="s">
        <v>3269</v>
      </c>
      <c r="C205" s="3002" t="s">
        <v>3261</v>
      </c>
      <c r="D205" s="3000" t="s">
        <v>70</v>
      </c>
      <c r="E205" s="3002">
        <v>306</v>
      </c>
      <c r="F205" s="3000">
        <v>69.53</v>
      </c>
      <c r="G205" s="3001" t="s">
        <v>3055</v>
      </c>
    </row>
    <row r="206" spans="1:7" ht="14.25" thickBot="1">
      <c r="A206" s="2999">
        <v>205</v>
      </c>
      <c r="B206" s="3000" t="s">
        <v>3269</v>
      </c>
      <c r="C206" s="3002" t="s">
        <v>3261</v>
      </c>
      <c r="D206" s="3000" t="s">
        <v>70</v>
      </c>
      <c r="E206" s="3002">
        <v>307</v>
      </c>
      <c r="F206" s="3000">
        <v>66.08</v>
      </c>
      <c r="G206" s="3001" t="s">
        <v>3055</v>
      </c>
    </row>
    <row r="207" spans="1:7" ht="14.25" thickBot="1">
      <c r="A207" s="2999">
        <v>206</v>
      </c>
      <c r="B207" s="3000" t="s">
        <v>3269</v>
      </c>
      <c r="C207" s="3002" t="s">
        <v>3262</v>
      </c>
      <c r="D207" s="3000" t="s">
        <v>70</v>
      </c>
      <c r="E207" s="3002" t="s">
        <v>3145</v>
      </c>
      <c r="F207" s="3000">
        <v>94.54</v>
      </c>
      <c r="G207" s="3001" t="s">
        <v>3055</v>
      </c>
    </row>
    <row r="208" spans="1:7" ht="14.25" thickBot="1">
      <c r="A208" s="2999">
        <v>207</v>
      </c>
      <c r="B208" s="3000" t="s">
        <v>3269</v>
      </c>
      <c r="C208" s="3002" t="s">
        <v>3262</v>
      </c>
      <c r="D208" s="3000" t="s">
        <v>70</v>
      </c>
      <c r="E208" s="3002" t="s">
        <v>3146</v>
      </c>
      <c r="F208" s="3000">
        <v>69.53</v>
      </c>
      <c r="G208" s="3001" t="s">
        <v>3055</v>
      </c>
    </row>
    <row r="209" spans="1:7" ht="14.25" thickBot="1">
      <c r="A209" s="2999">
        <v>208</v>
      </c>
      <c r="B209" s="3000" t="s">
        <v>3269</v>
      </c>
      <c r="C209" s="3002" t="s">
        <v>3262</v>
      </c>
      <c r="D209" s="3000" t="s">
        <v>70</v>
      </c>
      <c r="E209" s="3002" t="s">
        <v>3147</v>
      </c>
      <c r="F209" s="3000">
        <v>69.47</v>
      </c>
      <c r="G209" s="3001" t="s">
        <v>3055</v>
      </c>
    </row>
    <row r="210" spans="1:7" ht="14.25" thickBot="1">
      <c r="A210" s="2999">
        <v>209</v>
      </c>
      <c r="B210" s="3000" t="s">
        <v>3269</v>
      </c>
      <c r="C210" s="3002" t="s">
        <v>3262</v>
      </c>
      <c r="D210" s="3000" t="s">
        <v>70</v>
      </c>
      <c r="E210" s="3002" t="s">
        <v>3148</v>
      </c>
      <c r="F210" s="3000">
        <v>69.47</v>
      </c>
      <c r="G210" s="3001" t="s">
        <v>3055</v>
      </c>
    </row>
    <row r="211" spans="1:7" ht="14.25" thickBot="1">
      <c r="A211" s="2999">
        <v>210</v>
      </c>
      <c r="B211" s="3000" t="s">
        <v>3269</v>
      </c>
      <c r="C211" s="3002" t="s">
        <v>3262</v>
      </c>
      <c r="D211" s="3000" t="s">
        <v>70</v>
      </c>
      <c r="E211" s="3002" t="s">
        <v>3149</v>
      </c>
      <c r="F211" s="3000">
        <v>69.53</v>
      </c>
      <c r="G211" s="3001" t="s">
        <v>3055</v>
      </c>
    </row>
    <row r="212" spans="1:7" ht="14.25" thickBot="1">
      <c r="A212" s="2999">
        <v>211</v>
      </c>
      <c r="B212" s="3000" t="s">
        <v>3269</v>
      </c>
      <c r="C212" s="3002" t="s">
        <v>3262</v>
      </c>
      <c r="D212" s="3000" t="s">
        <v>70</v>
      </c>
      <c r="E212" s="3002" t="s">
        <v>3150</v>
      </c>
      <c r="F212" s="3000">
        <v>66.08</v>
      </c>
      <c r="G212" s="3001" t="s">
        <v>3055</v>
      </c>
    </row>
    <row r="213" spans="1:7" ht="14.25" thickBot="1">
      <c r="A213" s="2999">
        <v>212</v>
      </c>
      <c r="B213" s="3000" t="s">
        <v>3269</v>
      </c>
      <c r="C213" s="3002" t="s">
        <v>3263</v>
      </c>
      <c r="D213" s="3000" t="s">
        <v>70</v>
      </c>
      <c r="E213" s="3002">
        <v>501</v>
      </c>
      <c r="F213" s="3000">
        <v>94.54</v>
      </c>
      <c r="G213" s="3001" t="s">
        <v>3055</v>
      </c>
    </row>
    <row r="214" spans="1:7" ht="14.25" thickBot="1">
      <c r="A214" s="2999">
        <v>213</v>
      </c>
      <c r="B214" s="3000" t="s">
        <v>3269</v>
      </c>
      <c r="C214" s="3002" t="s">
        <v>3263</v>
      </c>
      <c r="D214" s="3000" t="s">
        <v>70</v>
      </c>
      <c r="E214" s="3002">
        <v>502</v>
      </c>
      <c r="F214" s="3000">
        <v>69.53</v>
      </c>
      <c r="G214" s="3001" t="s">
        <v>3055</v>
      </c>
    </row>
    <row r="215" spans="1:7" ht="14.25" thickBot="1">
      <c r="A215" s="2999">
        <v>214</v>
      </c>
      <c r="B215" s="3000" t="s">
        <v>3269</v>
      </c>
      <c r="C215" s="3002" t="s">
        <v>3263</v>
      </c>
      <c r="D215" s="3000" t="s">
        <v>70</v>
      </c>
      <c r="E215" s="3002">
        <v>503</v>
      </c>
      <c r="F215" s="3000">
        <v>69.47</v>
      </c>
      <c r="G215" s="3001" t="s">
        <v>3055</v>
      </c>
    </row>
    <row r="216" spans="1:7" ht="14.25" thickBot="1">
      <c r="A216" s="2999">
        <v>215</v>
      </c>
      <c r="B216" s="3000" t="s">
        <v>3269</v>
      </c>
      <c r="C216" s="3002" t="s">
        <v>3263</v>
      </c>
      <c r="D216" s="3000" t="s">
        <v>70</v>
      </c>
      <c r="E216" s="3002">
        <v>505</v>
      </c>
      <c r="F216" s="3000">
        <v>69.47</v>
      </c>
      <c r="G216" s="3001" t="s">
        <v>3055</v>
      </c>
    </row>
    <row r="217" spans="1:7" ht="14.25" thickBot="1">
      <c r="A217" s="2999">
        <v>216</v>
      </c>
      <c r="B217" s="3000" t="s">
        <v>3269</v>
      </c>
      <c r="C217" s="3002" t="s">
        <v>3263</v>
      </c>
      <c r="D217" s="3000" t="s">
        <v>70</v>
      </c>
      <c r="E217" s="3002">
        <v>506</v>
      </c>
      <c r="F217" s="3000">
        <v>69.53</v>
      </c>
      <c r="G217" s="3001" t="s">
        <v>3055</v>
      </c>
    </row>
    <row r="218" spans="1:7" ht="14.25" thickBot="1">
      <c r="A218" s="2999">
        <v>217</v>
      </c>
      <c r="B218" s="3000" t="s">
        <v>3269</v>
      </c>
      <c r="C218" s="3002" t="s">
        <v>3263</v>
      </c>
      <c r="D218" s="3000" t="s">
        <v>70</v>
      </c>
      <c r="E218" s="3002">
        <v>507</v>
      </c>
      <c r="F218" s="3000">
        <v>66.08</v>
      </c>
      <c r="G218" s="3001" t="s">
        <v>3055</v>
      </c>
    </row>
    <row r="219" spans="1:7" ht="14.25" thickBot="1">
      <c r="A219" s="2999">
        <v>218</v>
      </c>
      <c r="B219" s="3000" t="s">
        <v>3269</v>
      </c>
      <c r="C219" s="3002" t="s">
        <v>3264</v>
      </c>
      <c r="D219" s="3000" t="s">
        <v>70</v>
      </c>
      <c r="E219" s="3002">
        <v>601</v>
      </c>
      <c r="F219" s="3000">
        <v>94.54</v>
      </c>
      <c r="G219" s="3001" t="s">
        <v>3055</v>
      </c>
    </row>
    <row r="220" spans="1:7" ht="14.25" thickBot="1">
      <c r="A220" s="2999">
        <v>219</v>
      </c>
      <c r="B220" s="3000" t="s">
        <v>3269</v>
      </c>
      <c r="C220" s="3002" t="s">
        <v>3264</v>
      </c>
      <c r="D220" s="3000" t="s">
        <v>70</v>
      </c>
      <c r="E220" s="3002">
        <v>602</v>
      </c>
      <c r="F220" s="3000">
        <v>69.53</v>
      </c>
      <c r="G220" s="3001" t="s">
        <v>3055</v>
      </c>
    </row>
    <row r="221" spans="1:7" ht="14.25" thickBot="1">
      <c r="A221" s="2999">
        <v>220</v>
      </c>
      <c r="B221" s="3000" t="s">
        <v>3269</v>
      </c>
      <c r="C221" s="3002" t="s">
        <v>3264</v>
      </c>
      <c r="D221" s="3000" t="s">
        <v>70</v>
      </c>
      <c r="E221" s="3002">
        <v>603</v>
      </c>
      <c r="F221" s="3000">
        <v>69.47</v>
      </c>
      <c r="G221" s="3001" t="s">
        <v>3055</v>
      </c>
    </row>
    <row r="222" spans="1:7" ht="14.25" thickBot="1">
      <c r="A222" s="2999">
        <v>221</v>
      </c>
      <c r="B222" s="3000" t="s">
        <v>3269</v>
      </c>
      <c r="C222" s="3002" t="s">
        <v>3264</v>
      </c>
      <c r="D222" s="3000" t="s">
        <v>70</v>
      </c>
      <c r="E222" s="3002">
        <v>605</v>
      </c>
      <c r="F222" s="3000">
        <v>69.47</v>
      </c>
      <c r="G222" s="3001" t="s">
        <v>3055</v>
      </c>
    </row>
    <row r="223" spans="1:7" ht="14.25" thickBot="1">
      <c r="A223" s="2999">
        <v>222</v>
      </c>
      <c r="B223" s="3000" t="s">
        <v>3269</v>
      </c>
      <c r="C223" s="3002" t="s">
        <v>3264</v>
      </c>
      <c r="D223" s="3000" t="s">
        <v>70</v>
      </c>
      <c r="E223" s="3002">
        <v>606</v>
      </c>
      <c r="F223" s="3000">
        <v>69.53</v>
      </c>
      <c r="G223" s="3001" t="s">
        <v>3055</v>
      </c>
    </row>
    <row r="224" spans="1:7" ht="14.25" thickBot="1">
      <c r="A224" s="2999">
        <v>223</v>
      </c>
      <c r="B224" s="3000" t="s">
        <v>3269</v>
      </c>
      <c r="C224" s="3002" t="s">
        <v>3264</v>
      </c>
      <c r="D224" s="3000" t="s">
        <v>70</v>
      </c>
      <c r="E224" s="3002">
        <v>607</v>
      </c>
      <c r="F224" s="3000">
        <v>66.08</v>
      </c>
      <c r="G224" s="3001" t="s">
        <v>3055</v>
      </c>
    </row>
    <row r="225" spans="1:7" ht="14.25" thickBot="1">
      <c r="A225" s="2999">
        <v>224</v>
      </c>
      <c r="B225" s="3000" t="s">
        <v>3270</v>
      </c>
      <c r="C225" s="3002" t="s">
        <v>3257</v>
      </c>
      <c r="D225" s="3000" t="s">
        <v>70</v>
      </c>
      <c r="E225" s="3002">
        <v>101</v>
      </c>
      <c r="F225" s="3000">
        <v>93.94</v>
      </c>
      <c r="G225" s="3001" t="s">
        <v>3055</v>
      </c>
    </row>
    <row r="226" spans="1:7" ht="14.25" thickBot="1">
      <c r="A226" s="2999">
        <v>225</v>
      </c>
      <c r="B226" s="3000" t="s">
        <v>3270</v>
      </c>
      <c r="C226" s="3002" t="s">
        <v>3257</v>
      </c>
      <c r="D226" s="3000" t="s">
        <v>70</v>
      </c>
      <c r="E226" s="3002">
        <v>102</v>
      </c>
      <c r="F226" s="3000">
        <v>69.09</v>
      </c>
      <c r="G226" s="3001" t="s">
        <v>3055</v>
      </c>
    </row>
    <row r="227" spans="1:7" ht="14.25" thickBot="1">
      <c r="A227" s="2999">
        <v>226</v>
      </c>
      <c r="B227" s="3000" t="s">
        <v>3270</v>
      </c>
      <c r="C227" s="3002" t="s">
        <v>3257</v>
      </c>
      <c r="D227" s="3000" t="s">
        <v>70</v>
      </c>
      <c r="E227" s="3002">
        <v>103</v>
      </c>
      <c r="F227" s="3000">
        <v>69.03</v>
      </c>
      <c r="G227" s="3001" t="s">
        <v>3055</v>
      </c>
    </row>
    <row r="228" spans="1:7" ht="14.25" thickBot="1">
      <c r="A228" s="2999">
        <v>227</v>
      </c>
      <c r="B228" s="3000" t="s">
        <v>3270</v>
      </c>
      <c r="C228" s="3002" t="s">
        <v>3257</v>
      </c>
      <c r="D228" s="3000" t="s">
        <v>70</v>
      </c>
      <c r="E228" s="3002">
        <v>105</v>
      </c>
      <c r="F228" s="3000">
        <v>69.03</v>
      </c>
      <c r="G228" s="3001" t="s">
        <v>3055</v>
      </c>
    </row>
    <row r="229" spans="1:7" ht="14.25" thickBot="1">
      <c r="A229" s="2999">
        <v>228</v>
      </c>
      <c r="B229" s="3000" t="s">
        <v>3270</v>
      </c>
      <c r="C229" s="3002" t="s">
        <v>3257</v>
      </c>
      <c r="D229" s="3000" t="s">
        <v>70</v>
      </c>
      <c r="E229" s="3002">
        <v>106</v>
      </c>
      <c r="F229" s="3000">
        <v>69.09</v>
      </c>
      <c r="G229" s="3001" t="s">
        <v>3055</v>
      </c>
    </row>
    <row r="230" spans="1:7" ht="14.25" thickBot="1">
      <c r="A230" s="2999">
        <v>229</v>
      </c>
      <c r="B230" s="3000" t="s">
        <v>3270</v>
      </c>
      <c r="C230" s="3002" t="s">
        <v>3257</v>
      </c>
      <c r="D230" s="3000" t="s">
        <v>70</v>
      </c>
      <c r="E230" s="3002">
        <v>107</v>
      </c>
      <c r="F230" s="3000">
        <v>65.66</v>
      </c>
      <c r="G230" s="3001" t="s">
        <v>3055</v>
      </c>
    </row>
    <row r="231" spans="1:7" ht="14.25" thickBot="1">
      <c r="A231" s="2999">
        <v>230</v>
      </c>
      <c r="B231" s="3000" t="s">
        <v>3270</v>
      </c>
      <c r="C231" s="3002" t="s">
        <v>3260</v>
      </c>
      <c r="D231" s="3000" t="s">
        <v>70</v>
      </c>
      <c r="E231" s="3002">
        <v>201</v>
      </c>
      <c r="F231" s="3000">
        <v>93.94</v>
      </c>
      <c r="G231" s="3001" t="s">
        <v>3055</v>
      </c>
    </row>
    <row r="232" spans="1:7" ht="14.25" thickBot="1">
      <c r="A232" s="2999">
        <v>231</v>
      </c>
      <c r="B232" s="3000" t="s">
        <v>3270</v>
      </c>
      <c r="C232" s="3002" t="s">
        <v>3260</v>
      </c>
      <c r="D232" s="3000" t="s">
        <v>70</v>
      </c>
      <c r="E232" s="3002">
        <v>202</v>
      </c>
      <c r="F232" s="3000">
        <v>69.09</v>
      </c>
      <c r="G232" s="3001" t="s">
        <v>3055</v>
      </c>
    </row>
    <row r="233" spans="1:7" ht="14.25" thickBot="1">
      <c r="A233" s="2999">
        <v>232</v>
      </c>
      <c r="B233" s="3000" t="s">
        <v>3270</v>
      </c>
      <c r="C233" s="3002" t="s">
        <v>3260</v>
      </c>
      <c r="D233" s="3000" t="s">
        <v>70</v>
      </c>
      <c r="E233" s="3002">
        <v>203</v>
      </c>
      <c r="F233" s="3000">
        <v>69.03</v>
      </c>
      <c r="G233" s="3001" t="s">
        <v>3055</v>
      </c>
    </row>
    <row r="234" spans="1:7" ht="14.25" thickBot="1">
      <c r="A234" s="2999">
        <v>233</v>
      </c>
      <c r="B234" s="3000" t="s">
        <v>3270</v>
      </c>
      <c r="C234" s="3002" t="s">
        <v>3260</v>
      </c>
      <c r="D234" s="3000" t="s">
        <v>70</v>
      </c>
      <c r="E234" s="3002">
        <v>205</v>
      </c>
      <c r="F234" s="3000">
        <v>69.03</v>
      </c>
      <c r="G234" s="3001" t="s">
        <v>3055</v>
      </c>
    </row>
    <row r="235" spans="1:7" ht="14.25" thickBot="1">
      <c r="A235" s="2999">
        <v>234</v>
      </c>
      <c r="B235" s="3000" t="s">
        <v>3270</v>
      </c>
      <c r="C235" s="3002" t="s">
        <v>3260</v>
      </c>
      <c r="D235" s="3000" t="s">
        <v>70</v>
      </c>
      <c r="E235" s="3002">
        <v>206</v>
      </c>
      <c r="F235" s="3000">
        <v>69.09</v>
      </c>
      <c r="G235" s="3001" t="s">
        <v>3055</v>
      </c>
    </row>
    <row r="236" spans="1:7" ht="14.25" thickBot="1">
      <c r="A236" s="2999">
        <v>235</v>
      </c>
      <c r="B236" s="3000" t="s">
        <v>3270</v>
      </c>
      <c r="C236" s="3002" t="s">
        <v>3260</v>
      </c>
      <c r="D236" s="3000" t="s">
        <v>70</v>
      </c>
      <c r="E236" s="3002">
        <v>207</v>
      </c>
      <c r="F236" s="3000">
        <v>65.66</v>
      </c>
      <c r="G236" s="3001" t="s">
        <v>3055</v>
      </c>
    </row>
    <row r="237" spans="1:7" ht="14.25" thickBot="1">
      <c r="A237" s="2999">
        <v>236</v>
      </c>
      <c r="B237" s="3000" t="s">
        <v>3270</v>
      </c>
      <c r="C237" s="3002" t="s">
        <v>3261</v>
      </c>
      <c r="D237" s="3000" t="s">
        <v>70</v>
      </c>
      <c r="E237" s="3002">
        <v>301</v>
      </c>
      <c r="F237" s="3000">
        <v>93.94</v>
      </c>
      <c r="G237" s="3001" t="s">
        <v>3055</v>
      </c>
    </row>
    <row r="238" spans="1:7" ht="14.25" thickBot="1">
      <c r="A238" s="2999">
        <v>237</v>
      </c>
      <c r="B238" s="3000" t="s">
        <v>3270</v>
      </c>
      <c r="C238" s="3002" t="s">
        <v>3261</v>
      </c>
      <c r="D238" s="3000" t="s">
        <v>70</v>
      </c>
      <c r="E238" s="3002">
        <v>302</v>
      </c>
      <c r="F238" s="3000">
        <v>69.09</v>
      </c>
      <c r="G238" s="3001" t="s">
        <v>3055</v>
      </c>
    </row>
    <row r="239" spans="1:7" ht="14.25" thickBot="1">
      <c r="A239" s="2999">
        <v>238</v>
      </c>
      <c r="B239" s="3000" t="s">
        <v>3270</v>
      </c>
      <c r="C239" s="3002" t="s">
        <v>3261</v>
      </c>
      <c r="D239" s="3000" t="s">
        <v>70</v>
      </c>
      <c r="E239" s="3002">
        <v>303</v>
      </c>
      <c r="F239" s="3000">
        <v>69.03</v>
      </c>
      <c r="G239" s="3001" t="s">
        <v>3055</v>
      </c>
    </row>
    <row r="240" spans="1:7" ht="14.25" thickBot="1">
      <c r="A240" s="2999">
        <v>239</v>
      </c>
      <c r="B240" s="3000" t="s">
        <v>3270</v>
      </c>
      <c r="C240" s="3002" t="s">
        <v>3261</v>
      </c>
      <c r="D240" s="3000" t="s">
        <v>70</v>
      </c>
      <c r="E240" s="3002">
        <v>305</v>
      </c>
      <c r="F240" s="3000">
        <v>69.03</v>
      </c>
      <c r="G240" s="3001" t="s">
        <v>3055</v>
      </c>
    </row>
    <row r="241" spans="1:7" ht="14.25" thickBot="1">
      <c r="A241" s="2999">
        <v>240</v>
      </c>
      <c r="B241" s="3000" t="s">
        <v>3270</v>
      </c>
      <c r="C241" s="3002" t="s">
        <v>3261</v>
      </c>
      <c r="D241" s="3000" t="s">
        <v>70</v>
      </c>
      <c r="E241" s="3002">
        <v>306</v>
      </c>
      <c r="F241" s="3000">
        <v>69.09</v>
      </c>
      <c r="G241" s="3001" t="s">
        <v>3055</v>
      </c>
    </row>
    <row r="242" spans="1:7" ht="14.25" thickBot="1">
      <c r="A242" s="2999">
        <v>241</v>
      </c>
      <c r="B242" s="3000" t="s">
        <v>3270</v>
      </c>
      <c r="C242" s="3002" t="s">
        <v>3261</v>
      </c>
      <c r="D242" s="3000" t="s">
        <v>70</v>
      </c>
      <c r="E242" s="3002">
        <v>307</v>
      </c>
      <c r="F242" s="3000">
        <v>65.66</v>
      </c>
      <c r="G242" s="3001" t="s">
        <v>3055</v>
      </c>
    </row>
    <row r="243" spans="1:7" ht="14.25" thickBot="1">
      <c r="A243" s="2999">
        <v>242</v>
      </c>
      <c r="B243" s="3000" t="s">
        <v>3270</v>
      </c>
      <c r="C243" s="3002" t="s">
        <v>3262</v>
      </c>
      <c r="D243" s="3000" t="s">
        <v>70</v>
      </c>
      <c r="E243" s="3002" t="s">
        <v>3145</v>
      </c>
      <c r="F243" s="3000">
        <v>93.94</v>
      </c>
      <c r="G243" s="3001" t="s">
        <v>3055</v>
      </c>
    </row>
    <row r="244" spans="1:7" ht="14.25" thickBot="1">
      <c r="A244" s="2999">
        <v>243</v>
      </c>
      <c r="B244" s="3000" t="s">
        <v>3270</v>
      </c>
      <c r="C244" s="3002" t="s">
        <v>3262</v>
      </c>
      <c r="D244" s="3000" t="s">
        <v>70</v>
      </c>
      <c r="E244" s="3002" t="s">
        <v>3146</v>
      </c>
      <c r="F244" s="3000">
        <v>69.09</v>
      </c>
      <c r="G244" s="3001" t="s">
        <v>3055</v>
      </c>
    </row>
    <row r="245" spans="1:7" ht="14.25" thickBot="1">
      <c r="A245" s="2999">
        <v>244</v>
      </c>
      <c r="B245" s="3000" t="s">
        <v>3270</v>
      </c>
      <c r="C245" s="3002" t="s">
        <v>3262</v>
      </c>
      <c r="D245" s="3000" t="s">
        <v>70</v>
      </c>
      <c r="E245" s="3002" t="s">
        <v>3147</v>
      </c>
      <c r="F245" s="3000">
        <v>69.03</v>
      </c>
      <c r="G245" s="3001" t="s">
        <v>3055</v>
      </c>
    </row>
    <row r="246" spans="1:7" ht="14.25" thickBot="1">
      <c r="A246" s="2999">
        <v>245</v>
      </c>
      <c r="B246" s="3000" t="s">
        <v>3270</v>
      </c>
      <c r="C246" s="3002" t="s">
        <v>3262</v>
      </c>
      <c r="D246" s="3000" t="s">
        <v>70</v>
      </c>
      <c r="E246" s="3002" t="s">
        <v>3148</v>
      </c>
      <c r="F246" s="3000">
        <v>69.03</v>
      </c>
      <c r="G246" s="3001" t="s">
        <v>3055</v>
      </c>
    </row>
    <row r="247" spans="1:7" ht="14.25" thickBot="1">
      <c r="A247" s="2999">
        <v>246</v>
      </c>
      <c r="B247" s="3000" t="s">
        <v>3270</v>
      </c>
      <c r="C247" s="3002" t="s">
        <v>3262</v>
      </c>
      <c r="D247" s="3000" t="s">
        <v>70</v>
      </c>
      <c r="E247" s="3002" t="s">
        <v>3149</v>
      </c>
      <c r="F247" s="3000">
        <v>69.09</v>
      </c>
      <c r="G247" s="3001" t="s">
        <v>3055</v>
      </c>
    </row>
    <row r="248" spans="1:7" ht="14.25" thickBot="1">
      <c r="A248" s="2999">
        <v>247</v>
      </c>
      <c r="B248" s="3000" t="s">
        <v>3270</v>
      </c>
      <c r="C248" s="3002" t="s">
        <v>3262</v>
      </c>
      <c r="D248" s="3000" t="s">
        <v>70</v>
      </c>
      <c r="E248" s="3002" t="s">
        <v>3150</v>
      </c>
      <c r="F248" s="3000">
        <v>65.66</v>
      </c>
      <c r="G248" s="3001" t="s">
        <v>3055</v>
      </c>
    </row>
    <row r="249" spans="1:7" ht="14.25" thickBot="1">
      <c r="A249" s="2999">
        <v>248</v>
      </c>
      <c r="B249" s="3000" t="s">
        <v>3270</v>
      </c>
      <c r="C249" s="3002" t="s">
        <v>3263</v>
      </c>
      <c r="D249" s="3000" t="s">
        <v>70</v>
      </c>
      <c r="E249" s="3002">
        <v>501</v>
      </c>
      <c r="F249" s="3000">
        <v>93.94</v>
      </c>
      <c r="G249" s="3001" t="s">
        <v>3055</v>
      </c>
    </row>
    <row r="250" spans="1:7" ht="14.25" thickBot="1">
      <c r="A250" s="2999">
        <v>249</v>
      </c>
      <c r="B250" s="3000" t="s">
        <v>3270</v>
      </c>
      <c r="C250" s="3002" t="s">
        <v>3263</v>
      </c>
      <c r="D250" s="3000" t="s">
        <v>70</v>
      </c>
      <c r="E250" s="3002">
        <v>502</v>
      </c>
      <c r="F250" s="3000">
        <v>69.09</v>
      </c>
      <c r="G250" s="3001" t="s">
        <v>3055</v>
      </c>
    </row>
    <row r="251" spans="1:7" ht="14.25" thickBot="1">
      <c r="A251" s="2999">
        <v>250</v>
      </c>
      <c r="B251" s="3000" t="s">
        <v>3270</v>
      </c>
      <c r="C251" s="3002" t="s">
        <v>3263</v>
      </c>
      <c r="D251" s="3000" t="s">
        <v>70</v>
      </c>
      <c r="E251" s="3002">
        <v>503</v>
      </c>
      <c r="F251" s="3000">
        <v>69.03</v>
      </c>
      <c r="G251" s="3001" t="s">
        <v>3055</v>
      </c>
    </row>
    <row r="252" spans="1:7" ht="14.25" thickBot="1">
      <c r="A252" s="2999">
        <v>251</v>
      </c>
      <c r="B252" s="3000" t="s">
        <v>3270</v>
      </c>
      <c r="C252" s="3002" t="s">
        <v>3263</v>
      </c>
      <c r="D252" s="3000" t="s">
        <v>70</v>
      </c>
      <c r="E252" s="3002">
        <v>505</v>
      </c>
      <c r="F252" s="3000">
        <v>69.03</v>
      </c>
      <c r="G252" s="3001" t="s">
        <v>3055</v>
      </c>
    </row>
    <row r="253" spans="1:7" ht="14.25" thickBot="1">
      <c r="A253" s="2999">
        <v>252</v>
      </c>
      <c r="B253" s="3000" t="s">
        <v>3270</v>
      </c>
      <c r="C253" s="3002" t="s">
        <v>3263</v>
      </c>
      <c r="D253" s="3000" t="s">
        <v>70</v>
      </c>
      <c r="E253" s="3002">
        <v>506</v>
      </c>
      <c r="F253" s="3000">
        <v>69.09</v>
      </c>
      <c r="G253" s="3001" t="s">
        <v>3055</v>
      </c>
    </row>
    <row r="254" spans="1:7" ht="14.25" thickBot="1">
      <c r="A254" s="2999">
        <v>253</v>
      </c>
      <c r="B254" s="3000" t="s">
        <v>3270</v>
      </c>
      <c r="C254" s="3002" t="s">
        <v>3263</v>
      </c>
      <c r="D254" s="3000" t="s">
        <v>70</v>
      </c>
      <c r="E254" s="3002">
        <v>507</v>
      </c>
      <c r="F254" s="3000">
        <v>65.66</v>
      </c>
      <c r="G254" s="3001" t="s">
        <v>3055</v>
      </c>
    </row>
    <row r="255" spans="1:7" ht="14.25" thickBot="1">
      <c r="A255" s="2999">
        <v>254</v>
      </c>
      <c r="B255" s="3000" t="s">
        <v>3270</v>
      </c>
      <c r="C255" s="3002" t="s">
        <v>3264</v>
      </c>
      <c r="D255" s="3000" t="s">
        <v>70</v>
      </c>
      <c r="E255" s="3002">
        <v>601</v>
      </c>
      <c r="F255" s="3000">
        <v>93.94</v>
      </c>
      <c r="G255" s="3001" t="s">
        <v>3055</v>
      </c>
    </row>
    <row r="256" spans="1:7" ht="14.25" thickBot="1">
      <c r="A256" s="2999">
        <v>255</v>
      </c>
      <c r="B256" s="3000" t="s">
        <v>3270</v>
      </c>
      <c r="C256" s="3002" t="s">
        <v>3264</v>
      </c>
      <c r="D256" s="3000" t="s">
        <v>70</v>
      </c>
      <c r="E256" s="3002">
        <v>602</v>
      </c>
      <c r="F256" s="3000">
        <v>69.09</v>
      </c>
      <c r="G256" s="3001" t="s">
        <v>3055</v>
      </c>
    </row>
    <row r="257" spans="1:7" ht="14.25" thickBot="1">
      <c r="A257" s="2999">
        <v>256</v>
      </c>
      <c r="B257" s="3000" t="s">
        <v>3270</v>
      </c>
      <c r="C257" s="3002" t="s">
        <v>3264</v>
      </c>
      <c r="D257" s="3000" t="s">
        <v>70</v>
      </c>
      <c r="E257" s="3002">
        <v>603</v>
      </c>
      <c r="F257" s="3000">
        <v>69.03</v>
      </c>
      <c r="G257" s="3001" t="s">
        <v>3055</v>
      </c>
    </row>
    <row r="258" spans="1:7" ht="14.25" thickBot="1">
      <c r="A258" s="2999">
        <v>257</v>
      </c>
      <c r="B258" s="3000" t="s">
        <v>3270</v>
      </c>
      <c r="C258" s="3002" t="s">
        <v>3264</v>
      </c>
      <c r="D258" s="3000" t="s">
        <v>70</v>
      </c>
      <c r="E258" s="3002">
        <v>605</v>
      </c>
      <c r="F258" s="3000">
        <v>69.03</v>
      </c>
      <c r="G258" s="3001" t="s">
        <v>3055</v>
      </c>
    </row>
    <row r="259" spans="1:7" ht="14.25" thickBot="1">
      <c r="A259" s="2999">
        <v>258</v>
      </c>
      <c r="B259" s="3000" t="s">
        <v>3270</v>
      </c>
      <c r="C259" s="3002" t="s">
        <v>3264</v>
      </c>
      <c r="D259" s="3000" t="s">
        <v>70</v>
      </c>
      <c r="E259" s="3002">
        <v>606</v>
      </c>
      <c r="F259" s="3000">
        <v>69.09</v>
      </c>
      <c r="G259" s="3001" t="s">
        <v>3055</v>
      </c>
    </row>
    <row r="260" spans="1:7" ht="14.25" thickBot="1">
      <c r="A260" s="2999">
        <v>259</v>
      </c>
      <c r="B260" s="3000" t="s">
        <v>3270</v>
      </c>
      <c r="C260" s="3002" t="s">
        <v>3264</v>
      </c>
      <c r="D260" s="3000" t="s">
        <v>70</v>
      </c>
      <c r="E260" s="3002">
        <v>607</v>
      </c>
      <c r="F260" s="3000">
        <v>65.66</v>
      </c>
      <c r="G260" s="3001" t="s">
        <v>3055</v>
      </c>
    </row>
    <row r="261" spans="1:7" ht="14.25" thickBot="1">
      <c r="A261" s="2999">
        <v>260</v>
      </c>
      <c r="B261" s="3000" t="s">
        <v>3271</v>
      </c>
      <c r="C261" s="3000" t="s">
        <v>3257</v>
      </c>
      <c r="D261" s="3000" t="s">
        <v>3258</v>
      </c>
      <c r="E261" s="3000">
        <v>102</v>
      </c>
      <c r="F261" s="3000">
        <v>69.77</v>
      </c>
      <c r="G261" s="3001" t="s">
        <v>3055</v>
      </c>
    </row>
    <row r="262" spans="1:7" ht="14.25" thickBot="1">
      <c r="A262" s="2999">
        <v>261</v>
      </c>
      <c r="B262" s="3000" t="s">
        <v>3271</v>
      </c>
      <c r="C262" s="3000" t="s">
        <v>3257</v>
      </c>
      <c r="D262" s="3000" t="s">
        <v>3258</v>
      </c>
      <c r="E262" s="3000">
        <v>105</v>
      </c>
      <c r="F262" s="3000">
        <v>69.94</v>
      </c>
      <c r="G262" s="3001" t="s">
        <v>3055</v>
      </c>
    </row>
    <row r="263" spans="1:7" ht="14.25" thickBot="1">
      <c r="A263" s="2999">
        <v>262</v>
      </c>
      <c r="B263" s="3000" t="s">
        <v>3271</v>
      </c>
      <c r="C263" s="3000" t="s">
        <v>3257</v>
      </c>
      <c r="D263" s="3000" t="s">
        <v>3258</v>
      </c>
      <c r="E263" s="3000">
        <v>106</v>
      </c>
      <c r="F263" s="3000">
        <v>69.77</v>
      </c>
      <c r="G263" s="3001" t="s">
        <v>3055</v>
      </c>
    </row>
    <row r="264" spans="1:7" ht="14.25" thickBot="1">
      <c r="A264" s="2999">
        <v>263</v>
      </c>
      <c r="B264" s="3000" t="s">
        <v>3271</v>
      </c>
      <c r="C264" s="3000" t="s">
        <v>3257</v>
      </c>
      <c r="D264" s="3000" t="s">
        <v>3258</v>
      </c>
      <c r="E264" s="3000">
        <v>107</v>
      </c>
      <c r="F264" s="3000">
        <v>66.28</v>
      </c>
      <c r="G264" s="3001" t="s">
        <v>3055</v>
      </c>
    </row>
    <row r="265" spans="1:7" ht="14.25" thickBot="1">
      <c r="A265" s="2999">
        <v>264</v>
      </c>
      <c r="B265" s="3000" t="s">
        <v>3271</v>
      </c>
      <c r="C265" s="3000" t="s">
        <v>3260</v>
      </c>
      <c r="D265" s="3000" t="s">
        <v>3258</v>
      </c>
      <c r="E265" s="3000">
        <v>202</v>
      </c>
      <c r="F265" s="3000">
        <v>69.77</v>
      </c>
      <c r="G265" s="3001" t="s">
        <v>3055</v>
      </c>
    </row>
    <row r="266" spans="1:7" ht="14.25" thickBot="1">
      <c r="A266" s="2999">
        <v>265</v>
      </c>
      <c r="B266" s="3000" t="s">
        <v>3271</v>
      </c>
      <c r="C266" s="3000" t="s">
        <v>3260</v>
      </c>
      <c r="D266" s="3000" t="s">
        <v>3258</v>
      </c>
      <c r="E266" s="3000">
        <v>203</v>
      </c>
      <c r="F266" s="3000">
        <v>69.94</v>
      </c>
      <c r="G266" s="3001" t="s">
        <v>3055</v>
      </c>
    </row>
    <row r="267" spans="1:7" ht="14.25" thickBot="1">
      <c r="A267" s="2999">
        <v>266</v>
      </c>
      <c r="B267" s="3000" t="s">
        <v>3271</v>
      </c>
      <c r="C267" s="3000" t="s">
        <v>3260</v>
      </c>
      <c r="D267" s="3000" t="s">
        <v>3258</v>
      </c>
      <c r="E267" s="3000">
        <v>205</v>
      </c>
      <c r="F267" s="3000">
        <v>69.94</v>
      </c>
      <c r="G267" s="3001" t="s">
        <v>3055</v>
      </c>
    </row>
    <row r="268" spans="1:7" ht="14.25" thickBot="1">
      <c r="A268" s="2999">
        <v>267</v>
      </c>
      <c r="B268" s="3000" t="s">
        <v>3271</v>
      </c>
      <c r="C268" s="3000" t="s">
        <v>3260</v>
      </c>
      <c r="D268" s="3000" t="s">
        <v>3259</v>
      </c>
      <c r="E268" s="3000">
        <v>203</v>
      </c>
      <c r="F268" s="3000">
        <v>69.94</v>
      </c>
      <c r="G268" s="3001" t="s">
        <v>3055</v>
      </c>
    </row>
    <row r="269" spans="1:7" ht="14.25" thickBot="1">
      <c r="A269" s="2999">
        <v>268</v>
      </c>
      <c r="B269" s="3000" t="s">
        <v>3271</v>
      </c>
      <c r="C269" s="3000" t="s">
        <v>3261</v>
      </c>
      <c r="D269" s="3000" t="s">
        <v>3258</v>
      </c>
      <c r="E269" s="3000">
        <v>302</v>
      </c>
      <c r="F269" s="3000">
        <v>69.77</v>
      </c>
      <c r="G269" s="3001" t="s">
        <v>3055</v>
      </c>
    </row>
    <row r="270" spans="1:7" ht="14.25" thickBot="1">
      <c r="A270" s="2999">
        <v>269</v>
      </c>
      <c r="B270" s="3000" t="s">
        <v>3271</v>
      </c>
      <c r="C270" s="3000" t="s">
        <v>3261</v>
      </c>
      <c r="D270" s="3000" t="s">
        <v>3258</v>
      </c>
      <c r="E270" s="3000">
        <v>303</v>
      </c>
      <c r="F270" s="3000">
        <v>69.94</v>
      </c>
      <c r="G270" s="3001" t="s">
        <v>3055</v>
      </c>
    </row>
    <row r="271" spans="1:7" ht="14.25" thickBot="1">
      <c r="A271" s="2999">
        <v>270</v>
      </c>
      <c r="B271" s="3000" t="s">
        <v>3271</v>
      </c>
      <c r="C271" s="3000" t="s">
        <v>3261</v>
      </c>
      <c r="D271" s="3000" t="s">
        <v>3258</v>
      </c>
      <c r="E271" s="3000">
        <v>305</v>
      </c>
      <c r="F271" s="3000">
        <v>69.94</v>
      </c>
      <c r="G271" s="3001" t="s">
        <v>3055</v>
      </c>
    </row>
    <row r="272" spans="1:7" ht="14.25" thickBot="1">
      <c r="A272" s="2999">
        <v>271</v>
      </c>
      <c r="B272" s="3000" t="s">
        <v>3271</v>
      </c>
      <c r="C272" s="3000" t="s">
        <v>3261</v>
      </c>
      <c r="D272" s="3000" t="s">
        <v>3258</v>
      </c>
      <c r="E272" s="3000">
        <v>306</v>
      </c>
      <c r="F272" s="3000">
        <v>69.77</v>
      </c>
      <c r="G272" s="3001" t="s">
        <v>3055</v>
      </c>
    </row>
    <row r="273" spans="1:7" ht="14.25" thickBot="1">
      <c r="A273" s="2999">
        <v>272</v>
      </c>
      <c r="B273" s="3000" t="s">
        <v>3271</v>
      </c>
      <c r="C273" s="3000" t="s">
        <v>3261</v>
      </c>
      <c r="D273" s="3000" t="s">
        <v>3258</v>
      </c>
      <c r="E273" s="3000">
        <v>307</v>
      </c>
      <c r="F273" s="3000">
        <v>66.28</v>
      </c>
      <c r="G273" s="3001" t="s">
        <v>3055</v>
      </c>
    </row>
    <row r="274" spans="1:7" ht="14.25" thickBot="1">
      <c r="A274" s="2999">
        <v>273</v>
      </c>
      <c r="B274" s="3000" t="s">
        <v>3271</v>
      </c>
      <c r="C274" s="3000" t="s">
        <v>3261</v>
      </c>
      <c r="D274" s="3000" t="s">
        <v>3259</v>
      </c>
      <c r="E274" s="3000">
        <v>302</v>
      </c>
      <c r="F274" s="3000">
        <v>69.77</v>
      </c>
      <c r="G274" s="3001" t="s">
        <v>3055</v>
      </c>
    </row>
    <row r="275" spans="1:7" ht="14.25" thickBot="1">
      <c r="A275" s="2999">
        <v>274</v>
      </c>
      <c r="B275" s="3000" t="s">
        <v>3271</v>
      </c>
      <c r="C275" s="3000" t="s">
        <v>3261</v>
      </c>
      <c r="D275" s="3000" t="s">
        <v>3259</v>
      </c>
      <c r="E275" s="3000">
        <v>303</v>
      </c>
      <c r="F275" s="3000">
        <v>69.94</v>
      </c>
      <c r="G275" s="3001" t="s">
        <v>3055</v>
      </c>
    </row>
    <row r="276" spans="1:7" ht="14.25" thickBot="1">
      <c r="A276" s="2999">
        <v>275</v>
      </c>
      <c r="B276" s="3000" t="s">
        <v>3271</v>
      </c>
      <c r="C276" s="3000" t="s">
        <v>3261</v>
      </c>
      <c r="D276" s="3000" t="s">
        <v>3259</v>
      </c>
      <c r="E276" s="3000">
        <v>306</v>
      </c>
      <c r="F276" s="3000">
        <v>69.77</v>
      </c>
      <c r="G276" s="3001" t="s">
        <v>3055</v>
      </c>
    </row>
    <row r="277" spans="1:7" ht="14.25" thickBot="1">
      <c r="A277" s="2999">
        <v>276</v>
      </c>
      <c r="B277" s="3000" t="s">
        <v>3271</v>
      </c>
      <c r="C277" s="3000" t="s">
        <v>3262</v>
      </c>
      <c r="D277" s="3000" t="s">
        <v>3258</v>
      </c>
      <c r="E277" s="3000" t="s">
        <v>3146</v>
      </c>
      <c r="F277" s="3000">
        <v>69.77</v>
      </c>
      <c r="G277" s="3001" t="s">
        <v>3055</v>
      </c>
    </row>
    <row r="278" spans="1:7" ht="14.25" thickBot="1">
      <c r="A278" s="2999">
        <v>277</v>
      </c>
      <c r="B278" s="3000" t="s">
        <v>3271</v>
      </c>
      <c r="C278" s="3000" t="s">
        <v>3262</v>
      </c>
      <c r="D278" s="3000" t="s">
        <v>3258</v>
      </c>
      <c r="E278" s="3000" t="s">
        <v>3147</v>
      </c>
      <c r="F278" s="3000">
        <v>69.94</v>
      </c>
      <c r="G278" s="3001" t="s">
        <v>3055</v>
      </c>
    </row>
    <row r="279" spans="1:7" ht="14.25" thickBot="1">
      <c r="A279" s="2999">
        <v>278</v>
      </c>
      <c r="B279" s="3000" t="s">
        <v>3271</v>
      </c>
      <c r="C279" s="3000" t="s">
        <v>3262</v>
      </c>
      <c r="D279" s="3000" t="s">
        <v>3258</v>
      </c>
      <c r="E279" s="3000" t="s">
        <v>3148</v>
      </c>
      <c r="F279" s="3000">
        <v>69.94</v>
      </c>
      <c r="G279" s="3001" t="s">
        <v>3055</v>
      </c>
    </row>
    <row r="280" spans="1:7" ht="14.25" thickBot="1">
      <c r="A280" s="2999">
        <v>279</v>
      </c>
      <c r="B280" s="3000" t="s">
        <v>3271</v>
      </c>
      <c r="C280" s="3000" t="s">
        <v>3262</v>
      </c>
      <c r="D280" s="3000" t="s">
        <v>3258</v>
      </c>
      <c r="E280" s="3000" t="s">
        <v>3150</v>
      </c>
      <c r="F280" s="3000">
        <v>66.28</v>
      </c>
      <c r="G280" s="3001" t="s">
        <v>3055</v>
      </c>
    </row>
    <row r="281" spans="1:7" ht="14.25" thickBot="1">
      <c r="A281" s="2999">
        <v>280</v>
      </c>
      <c r="B281" s="3000" t="s">
        <v>3271</v>
      </c>
      <c r="C281" s="3000" t="s">
        <v>3262</v>
      </c>
      <c r="D281" s="3000" t="s">
        <v>3259</v>
      </c>
      <c r="E281" s="3000" t="s">
        <v>3145</v>
      </c>
      <c r="F281" s="3000">
        <v>66.28</v>
      </c>
      <c r="G281" s="3001" t="s">
        <v>3055</v>
      </c>
    </row>
    <row r="282" spans="1:7" ht="14.25" thickBot="1">
      <c r="A282" s="2999">
        <v>281</v>
      </c>
      <c r="B282" s="3000" t="s">
        <v>3271</v>
      </c>
      <c r="C282" s="3000" t="s">
        <v>3262</v>
      </c>
      <c r="D282" s="3000" t="s">
        <v>3259</v>
      </c>
      <c r="E282" s="3000" t="s">
        <v>3146</v>
      </c>
      <c r="F282" s="3000">
        <v>69.77</v>
      </c>
      <c r="G282" s="3001" t="s">
        <v>3055</v>
      </c>
    </row>
    <row r="283" spans="1:7" ht="14.25" thickBot="1">
      <c r="A283" s="2999">
        <v>282</v>
      </c>
      <c r="B283" s="3000" t="s">
        <v>3271</v>
      </c>
      <c r="C283" s="3000" t="s">
        <v>3262</v>
      </c>
      <c r="D283" s="3000" t="s">
        <v>3259</v>
      </c>
      <c r="E283" s="3000" t="s">
        <v>3147</v>
      </c>
      <c r="F283" s="3000">
        <v>69.94</v>
      </c>
      <c r="G283" s="3001" t="s">
        <v>3055</v>
      </c>
    </row>
    <row r="284" spans="1:7" ht="14.25" thickBot="1">
      <c r="A284" s="2999">
        <v>283</v>
      </c>
      <c r="B284" s="3000" t="s">
        <v>3271</v>
      </c>
      <c r="C284" s="3000" t="s">
        <v>3262</v>
      </c>
      <c r="D284" s="3000" t="s">
        <v>3259</v>
      </c>
      <c r="E284" s="3000" t="s">
        <v>3148</v>
      </c>
      <c r="F284" s="3000">
        <v>69.94</v>
      </c>
      <c r="G284" s="3001" t="s">
        <v>3055</v>
      </c>
    </row>
    <row r="285" spans="1:7" ht="14.25" thickBot="1">
      <c r="A285" s="2999">
        <v>284</v>
      </c>
      <c r="B285" s="3000" t="s">
        <v>3271</v>
      </c>
      <c r="C285" s="3000" t="s">
        <v>3262</v>
      </c>
      <c r="D285" s="3000" t="s">
        <v>3259</v>
      </c>
      <c r="E285" s="3000" t="s">
        <v>3150</v>
      </c>
      <c r="F285" s="3000">
        <v>66.28</v>
      </c>
      <c r="G285" s="3001" t="s">
        <v>3055</v>
      </c>
    </row>
    <row r="286" spans="1:7" ht="14.25" thickBot="1">
      <c r="A286" s="2999">
        <v>285</v>
      </c>
      <c r="B286" s="3000" t="s">
        <v>3271</v>
      </c>
      <c r="C286" s="3000" t="s">
        <v>3263</v>
      </c>
      <c r="D286" s="3000" t="s">
        <v>3258</v>
      </c>
      <c r="E286" s="3000">
        <v>501</v>
      </c>
      <c r="F286" s="3000">
        <v>66.28</v>
      </c>
      <c r="G286" s="3001" t="s">
        <v>3055</v>
      </c>
    </row>
    <row r="287" spans="1:7" ht="14.25" thickBot="1">
      <c r="A287" s="2999">
        <v>286</v>
      </c>
      <c r="B287" s="3000" t="s">
        <v>3271</v>
      </c>
      <c r="C287" s="3000" t="s">
        <v>3263</v>
      </c>
      <c r="D287" s="3000" t="s">
        <v>3258</v>
      </c>
      <c r="E287" s="3000">
        <v>505</v>
      </c>
      <c r="F287" s="3000">
        <v>69.94</v>
      </c>
      <c r="G287" s="3001" t="s">
        <v>3055</v>
      </c>
    </row>
    <row r="288" spans="1:7" ht="14.25" thickBot="1">
      <c r="A288" s="2999">
        <v>287</v>
      </c>
      <c r="B288" s="3000" t="s">
        <v>3271</v>
      </c>
      <c r="C288" s="3000" t="s">
        <v>3263</v>
      </c>
      <c r="D288" s="3000" t="s">
        <v>3258</v>
      </c>
      <c r="E288" s="3000">
        <v>506</v>
      </c>
      <c r="F288" s="3000">
        <v>69.77</v>
      </c>
      <c r="G288" s="3001" t="s">
        <v>3055</v>
      </c>
    </row>
    <row r="289" spans="1:7" ht="14.25" thickBot="1">
      <c r="A289" s="2999">
        <v>288</v>
      </c>
      <c r="B289" s="3000" t="s">
        <v>3271</v>
      </c>
      <c r="C289" s="3000" t="s">
        <v>3263</v>
      </c>
      <c r="D289" s="3000" t="s">
        <v>3258</v>
      </c>
      <c r="E289" s="3000">
        <v>507</v>
      </c>
      <c r="F289" s="3000">
        <v>66.28</v>
      </c>
      <c r="G289" s="3001" t="s">
        <v>3055</v>
      </c>
    </row>
    <row r="290" spans="1:7" ht="14.25" thickBot="1">
      <c r="A290" s="2999">
        <v>289</v>
      </c>
      <c r="B290" s="3000" t="s">
        <v>3271</v>
      </c>
      <c r="C290" s="3000" t="s">
        <v>3263</v>
      </c>
      <c r="D290" s="3000" t="s">
        <v>3259</v>
      </c>
      <c r="E290" s="3000">
        <v>506</v>
      </c>
      <c r="F290" s="3000">
        <v>69.77</v>
      </c>
      <c r="G290" s="3001" t="s">
        <v>3055</v>
      </c>
    </row>
    <row r="291" spans="1:7" ht="14.25" thickBot="1">
      <c r="A291" s="2999">
        <v>290</v>
      </c>
      <c r="B291" s="3000" t="s">
        <v>3271</v>
      </c>
      <c r="C291" s="3000" t="s">
        <v>3263</v>
      </c>
      <c r="D291" s="3000" t="s">
        <v>3259</v>
      </c>
      <c r="E291" s="3000">
        <v>507</v>
      </c>
      <c r="F291" s="3000">
        <v>66.28</v>
      </c>
      <c r="G291" s="3001" t="s">
        <v>3055</v>
      </c>
    </row>
    <row r="292" spans="1:7" ht="14.25" thickBot="1">
      <c r="A292" s="2999">
        <v>291</v>
      </c>
      <c r="B292" s="3000" t="s">
        <v>3271</v>
      </c>
      <c r="C292" s="3000" t="s">
        <v>3264</v>
      </c>
      <c r="D292" s="3000" t="s">
        <v>3258</v>
      </c>
      <c r="E292" s="3000">
        <v>601</v>
      </c>
      <c r="F292" s="3000">
        <v>66.28</v>
      </c>
      <c r="G292" s="3001" t="s">
        <v>3055</v>
      </c>
    </row>
    <row r="293" spans="1:7" ht="14.25" thickBot="1">
      <c r="A293" s="2999">
        <v>292</v>
      </c>
      <c r="B293" s="3000" t="s">
        <v>3271</v>
      </c>
      <c r="C293" s="3000" t="s">
        <v>3264</v>
      </c>
      <c r="D293" s="3000" t="s">
        <v>3258</v>
      </c>
      <c r="E293" s="3000">
        <v>602</v>
      </c>
      <c r="F293" s="3000">
        <v>69.77</v>
      </c>
      <c r="G293" s="3001" t="s">
        <v>3055</v>
      </c>
    </row>
    <row r="294" spans="1:7" ht="14.25" thickBot="1">
      <c r="A294" s="2999">
        <v>293</v>
      </c>
      <c r="B294" s="3000" t="s">
        <v>3271</v>
      </c>
      <c r="C294" s="3000" t="s">
        <v>3264</v>
      </c>
      <c r="D294" s="3000" t="s">
        <v>3258</v>
      </c>
      <c r="E294" s="3000">
        <v>606</v>
      </c>
      <c r="F294" s="3000">
        <v>69.77</v>
      </c>
      <c r="G294" s="3001" t="s">
        <v>3055</v>
      </c>
    </row>
    <row r="295" spans="1:7" ht="14.25" thickBot="1">
      <c r="A295" s="2999">
        <v>294</v>
      </c>
      <c r="B295" s="3000" t="s">
        <v>3271</v>
      </c>
      <c r="C295" s="3000" t="s">
        <v>3264</v>
      </c>
      <c r="D295" s="3000" t="s">
        <v>3259</v>
      </c>
      <c r="E295" s="3000">
        <v>601</v>
      </c>
      <c r="F295" s="3000">
        <v>66.28</v>
      </c>
      <c r="G295" s="3001" t="s">
        <v>3055</v>
      </c>
    </row>
    <row r="296" spans="1:7" ht="14.25" thickBot="1">
      <c r="A296" s="2999">
        <v>295</v>
      </c>
      <c r="B296" s="3000" t="s">
        <v>3271</v>
      </c>
      <c r="C296" s="3000" t="s">
        <v>3264</v>
      </c>
      <c r="D296" s="3000" t="s">
        <v>3259</v>
      </c>
      <c r="E296" s="3000">
        <v>602</v>
      </c>
      <c r="F296" s="3000">
        <v>69.77</v>
      </c>
      <c r="G296" s="3001" t="s">
        <v>3055</v>
      </c>
    </row>
    <row r="297" spans="1:7" ht="14.25" thickBot="1">
      <c r="A297" s="2999">
        <v>296</v>
      </c>
      <c r="B297" s="3000" t="s">
        <v>3271</v>
      </c>
      <c r="C297" s="3000" t="s">
        <v>3264</v>
      </c>
      <c r="D297" s="3000" t="s">
        <v>3259</v>
      </c>
      <c r="E297" s="3000">
        <v>603</v>
      </c>
      <c r="F297" s="3000">
        <v>69.94</v>
      </c>
      <c r="G297" s="3001" t="s">
        <v>3055</v>
      </c>
    </row>
    <row r="298" spans="1:7" ht="14.25" thickBot="1">
      <c r="A298" s="2999">
        <v>297</v>
      </c>
      <c r="B298" s="3000" t="s">
        <v>3271</v>
      </c>
      <c r="C298" s="3000" t="s">
        <v>3264</v>
      </c>
      <c r="D298" s="3000" t="s">
        <v>3259</v>
      </c>
      <c r="E298" s="3000">
        <v>606</v>
      </c>
      <c r="F298" s="3000">
        <v>69.77</v>
      </c>
      <c r="G298" s="3001" t="s">
        <v>3055</v>
      </c>
    </row>
    <row r="299" spans="1:7" ht="14.25" thickBot="1">
      <c r="A299" s="2999">
        <v>298</v>
      </c>
      <c r="B299" s="3000" t="s">
        <v>3272</v>
      </c>
      <c r="C299" s="3000" t="s">
        <v>3257</v>
      </c>
      <c r="D299" s="3000" t="s">
        <v>3258</v>
      </c>
      <c r="E299" s="3000">
        <v>101</v>
      </c>
      <c r="F299" s="3000">
        <v>66.069999999999993</v>
      </c>
      <c r="G299" s="3001" t="s">
        <v>3055</v>
      </c>
    </row>
    <row r="300" spans="1:7" ht="14.25" thickBot="1">
      <c r="A300" s="2999">
        <v>299</v>
      </c>
      <c r="B300" s="3000" t="s">
        <v>3272</v>
      </c>
      <c r="C300" s="3000" t="s">
        <v>3257</v>
      </c>
      <c r="D300" s="3000" t="s">
        <v>3258</v>
      </c>
      <c r="E300" s="3000">
        <v>102</v>
      </c>
      <c r="F300" s="3000">
        <v>69.56</v>
      </c>
      <c r="G300" s="3001" t="s">
        <v>3055</v>
      </c>
    </row>
    <row r="301" spans="1:7" ht="14.25" thickBot="1">
      <c r="A301" s="2999">
        <v>300</v>
      </c>
      <c r="B301" s="3000" t="s">
        <v>3272</v>
      </c>
      <c r="C301" s="3000" t="s">
        <v>3257</v>
      </c>
      <c r="D301" s="3000" t="s">
        <v>3258</v>
      </c>
      <c r="E301" s="3000">
        <v>103</v>
      </c>
      <c r="F301" s="3000">
        <v>69.72</v>
      </c>
      <c r="G301" s="3001" t="s">
        <v>3055</v>
      </c>
    </row>
    <row r="302" spans="1:7" ht="14.25" thickBot="1">
      <c r="A302" s="2999">
        <v>301</v>
      </c>
      <c r="B302" s="3000" t="s">
        <v>3272</v>
      </c>
      <c r="C302" s="3000" t="s">
        <v>3257</v>
      </c>
      <c r="D302" s="3000" t="s">
        <v>3258</v>
      </c>
      <c r="E302" s="3000">
        <v>105</v>
      </c>
      <c r="F302" s="3000">
        <v>69.56</v>
      </c>
      <c r="G302" s="3001" t="s">
        <v>3055</v>
      </c>
    </row>
    <row r="303" spans="1:7" ht="14.25" thickBot="1">
      <c r="A303" s="2999">
        <v>302</v>
      </c>
      <c r="B303" s="3000" t="s">
        <v>3272</v>
      </c>
      <c r="C303" s="3000" t="s">
        <v>3257</v>
      </c>
      <c r="D303" s="3000" t="s">
        <v>3258</v>
      </c>
      <c r="E303" s="3000">
        <v>106</v>
      </c>
      <c r="F303" s="3000">
        <v>94.74</v>
      </c>
      <c r="G303" s="3001" t="s">
        <v>3055</v>
      </c>
    </row>
    <row r="304" spans="1:7" ht="14.25" thickBot="1">
      <c r="A304" s="2999">
        <v>303</v>
      </c>
      <c r="B304" s="3000" t="s">
        <v>3272</v>
      </c>
      <c r="C304" s="3000" t="s">
        <v>3257</v>
      </c>
      <c r="D304" s="3000" t="s">
        <v>3259</v>
      </c>
      <c r="E304" s="3000">
        <v>101</v>
      </c>
      <c r="F304" s="3000">
        <v>94.74</v>
      </c>
      <c r="G304" s="3001" t="s">
        <v>3055</v>
      </c>
    </row>
    <row r="305" spans="1:7" ht="14.25" thickBot="1">
      <c r="A305" s="2999">
        <v>304</v>
      </c>
      <c r="B305" s="3000" t="s">
        <v>3272</v>
      </c>
      <c r="C305" s="3000" t="s">
        <v>3257</v>
      </c>
      <c r="D305" s="3000" t="s">
        <v>3259</v>
      </c>
      <c r="E305" s="3000">
        <v>102</v>
      </c>
      <c r="F305" s="3000">
        <v>69.56</v>
      </c>
      <c r="G305" s="3001" t="s">
        <v>3055</v>
      </c>
    </row>
    <row r="306" spans="1:7" ht="14.25" thickBot="1">
      <c r="A306" s="2999">
        <v>305</v>
      </c>
      <c r="B306" s="3000" t="s">
        <v>3272</v>
      </c>
      <c r="C306" s="3000" t="s">
        <v>3257</v>
      </c>
      <c r="D306" s="3000" t="s">
        <v>3259</v>
      </c>
      <c r="E306" s="3000">
        <v>103</v>
      </c>
      <c r="F306" s="3000">
        <v>69.72</v>
      </c>
      <c r="G306" s="3001" t="s">
        <v>3055</v>
      </c>
    </row>
    <row r="307" spans="1:7" ht="14.25" thickBot="1">
      <c r="A307" s="2999">
        <v>306</v>
      </c>
      <c r="B307" s="3000" t="s">
        <v>3272</v>
      </c>
      <c r="C307" s="3000" t="s">
        <v>3257</v>
      </c>
      <c r="D307" s="3000" t="s">
        <v>3259</v>
      </c>
      <c r="E307" s="3000">
        <v>105</v>
      </c>
      <c r="F307" s="3000">
        <v>69.56</v>
      </c>
      <c r="G307" s="3001" t="s">
        <v>3055</v>
      </c>
    </row>
    <row r="308" spans="1:7" ht="14.25" thickBot="1">
      <c r="A308" s="2999">
        <v>307</v>
      </c>
      <c r="B308" s="3000" t="s">
        <v>3272</v>
      </c>
      <c r="C308" s="3000" t="s">
        <v>3257</v>
      </c>
      <c r="D308" s="3000" t="s">
        <v>3259</v>
      </c>
      <c r="E308" s="3000">
        <v>106</v>
      </c>
      <c r="F308" s="3000">
        <v>66.069999999999993</v>
      </c>
      <c r="G308" s="3001" t="s">
        <v>3055</v>
      </c>
    </row>
    <row r="309" spans="1:7" ht="14.25" thickBot="1">
      <c r="A309" s="2999">
        <v>308</v>
      </c>
      <c r="B309" s="3000" t="s">
        <v>3272</v>
      </c>
      <c r="C309" s="3000" t="s">
        <v>3260</v>
      </c>
      <c r="D309" s="3000" t="s">
        <v>3258</v>
      </c>
      <c r="E309" s="3000">
        <v>201</v>
      </c>
      <c r="F309" s="3000">
        <v>66.069999999999993</v>
      </c>
      <c r="G309" s="3001" t="s">
        <v>3055</v>
      </c>
    </row>
    <row r="310" spans="1:7" ht="14.25" thickBot="1">
      <c r="A310" s="2999">
        <v>309</v>
      </c>
      <c r="B310" s="3000" t="s">
        <v>3272</v>
      </c>
      <c r="C310" s="3000" t="s">
        <v>3260</v>
      </c>
      <c r="D310" s="3000" t="s">
        <v>3258</v>
      </c>
      <c r="E310" s="3000">
        <v>203</v>
      </c>
      <c r="F310" s="3000">
        <v>69.75</v>
      </c>
      <c r="G310" s="3001" t="s">
        <v>3055</v>
      </c>
    </row>
    <row r="311" spans="1:7" ht="14.25" thickBot="1">
      <c r="A311" s="2999">
        <v>310</v>
      </c>
      <c r="B311" s="3000" t="s">
        <v>3272</v>
      </c>
      <c r="C311" s="3000" t="s">
        <v>3260</v>
      </c>
      <c r="D311" s="3000" t="s">
        <v>3258</v>
      </c>
      <c r="E311" s="3000">
        <v>205</v>
      </c>
      <c r="F311" s="3000">
        <v>69.75</v>
      </c>
      <c r="G311" s="3001" t="s">
        <v>3055</v>
      </c>
    </row>
    <row r="312" spans="1:7" ht="14.25" thickBot="1">
      <c r="A312" s="2999">
        <v>311</v>
      </c>
      <c r="B312" s="3000" t="s">
        <v>3272</v>
      </c>
      <c r="C312" s="3000" t="s">
        <v>3260</v>
      </c>
      <c r="D312" s="3000" t="s">
        <v>3258</v>
      </c>
      <c r="E312" s="3000">
        <v>207</v>
      </c>
      <c r="F312" s="3000">
        <v>94.74</v>
      </c>
      <c r="G312" s="3001" t="s">
        <v>3055</v>
      </c>
    </row>
    <row r="313" spans="1:7" ht="14.25" thickBot="1">
      <c r="A313" s="2999">
        <v>312</v>
      </c>
      <c r="B313" s="3000" t="s">
        <v>3272</v>
      </c>
      <c r="C313" s="3000" t="s">
        <v>3260</v>
      </c>
      <c r="D313" s="3000" t="s">
        <v>3259</v>
      </c>
      <c r="E313" s="3000">
        <v>203</v>
      </c>
      <c r="F313" s="3000">
        <v>69.75</v>
      </c>
      <c r="G313" s="3001" t="s">
        <v>3055</v>
      </c>
    </row>
    <row r="314" spans="1:7" ht="14.25" thickBot="1">
      <c r="A314" s="2999">
        <v>313</v>
      </c>
      <c r="B314" s="3000" t="s">
        <v>3272</v>
      </c>
      <c r="C314" s="3000" t="s">
        <v>3260</v>
      </c>
      <c r="D314" s="3000" t="s">
        <v>3259</v>
      </c>
      <c r="E314" s="3000">
        <v>207</v>
      </c>
      <c r="F314" s="3000">
        <v>66.069999999999993</v>
      </c>
      <c r="G314" s="3001" t="s">
        <v>3055</v>
      </c>
    </row>
    <row r="315" spans="1:7" ht="14.25" thickBot="1">
      <c r="A315" s="2999">
        <v>314</v>
      </c>
      <c r="B315" s="3000" t="s">
        <v>3272</v>
      </c>
      <c r="C315" s="3000" t="s">
        <v>3261</v>
      </c>
      <c r="D315" s="3000" t="s">
        <v>3258</v>
      </c>
      <c r="E315" s="3000">
        <v>303</v>
      </c>
      <c r="F315" s="3000">
        <v>69.75</v>
      </c>
      <c r="G315" s="3001" t="s">
        <v>3055</v>
      </c>
    </row>
    <row r="316" spans="1:7" ht="14.25" thickBot="1">
      <c r="A316" s="2999">
        <v>315</v>
      </c>
      <c r="B316" s="3000" t="s">
        <v>3272</v>
      </c>
      <c r="C316" s="3000" t="s">
        <v>3261</v>
      </c>
      <c r="D316" s="3000" t="s">
        <v>3258</v>
      </c>
      <c r="E316" s="3000">
        <v>305</v>
      </c>
      <c r="F316" s="3000">
        <v>69.75</v>
      </c>
      <c r="G316" s="3001" t="s">
        <v>3055</v>
      </c>
    </row>
    <row r="317" spans="1:7" ht="14.25" thickBot="1">
      <c r="A317" s="2999">
        <v>316</v>
      </c>
      <c r="B317" s="3000" t="s">
        <v>3272</v>
      </c>
      <c r="C317" s="3000" t="s">
        <v>3261</v>
      </c>
      <c r="D317" s="3000" t="s">
        <v>3258</v>
      </c>
      <c r="E317" s="3000">
        <v>306</v>
      </c>
      <c r="F317" s="3000">
        <v>69.56</v>
      </c>
      <c r="G317" s="3001" t="s">
        <v>3055</v>
      </c>
    </row>
    <row r="318" spans="1:7" ht="14.25" thickBot="1">
      <c r="A318" s="2999">
        <v>317</v>
      </c>
      <c r="B318" s="3000" t="s">
        <v>3272</v>
      </c>
      <c r="C318" s="3000" t="s">
        <v>3261</v>
      </c>
      <c r="D318" s="3000" t="s">
        <v>3259</v>
      </c>
      <c r="E318" s="3000">
        <v>307</v>
      </c>
      <c r="F318" s="3000">
        <v>66.069999999999993</v>
      </c>
      <c r="G318" s="3001" t="s">
        <v>3055</v>
      </c>
    </row>
    <row r="319" spans="1:7" ht="14.25" thickBot="1">
      <c r="A319" s="2999">
        <v>318</v>
      </c>
      <c r="B319" s="3000" t="s">
        <v>3272</v>
      </c>
      <c r="C319" s="3000" t="s">
        <v>3262</v>
      </c>
      <c r="D319" s="3000" t="s">
        <v>3258</v>
      </c>
      <c r="E319" s="3000" t="s">
        <v>3148</v>
      </c>
      <c r="F319" s="3000">
        <v>69.75</v>
      </c>
      <c r="G319" s="3001" t="s">
        <v>3055</v>
      </c>
    </row>
    <row r="320" spans="1:7" ht="14.25" thickBot="1">
      <c r="A320" s="2999">
        <v>319</v>
      </c>
      <c r="B320" s="3000" t="s">
        <v>3272</v>
      </c>
      <c r="C320" s="3000" t="s">
        <v>3262</v>
      </c>
      <c r="D320" s="3000" t="s">
        <v>3258</v>
      </c>
      <c r="E320" s="3000" t="s">
        <v>3150</v>
      </c>
      <c r="F320" s="3000">
        <v>94.74</v>
      </c>
      <c r="G320" s="3001" t="s">
        <v>3055</v>
      </c>
    </row>
    <row r="321" spans="1:7" ht="14.25" thickBot="1">
      <c r="A321" s="2999">
        <v>320</v>
      </c>
      <c r="B321" s="3000" t="s">
        <v>3272</v>
      </c>
      <c r="C321" s="3000" t="s">
        <v>3262</v>
      </c>
      <c r="D321" s="3000" t="s">
        <v>3259</v>
      </c>
      <c r="E321" s="3000" t="s">
        <v>3146</v>
      </c>
      <c r="F321" s="3000">
        <v>69.56</v>
      </c>
      <c r="G321" s="3001" t="s">
        <v>3055</v>
      </c>
    </row>
    <row r="322" spans="1:7" ht="14.25" thickBot="1">
      <c r="A322" s="2999">
        <v>321</v>
      </c>
      <c r="B322" s="3000" t="s">
        <v>3272</v>
      </c>
      <c r="C322" s="3000" t="s">
        <v>3262</v>
      </c>
      <c r="D322" s="3000" t="s">
        <v>3259</v>
      </c>
      <c r="E322" s="3000" t="s">
        <v>3147</v>
      </c>
      <c r="F322" s="3000">
        <v>69.75</v>
      </c>
      <c r="G322" s="3001" t="s">
        <v>3055</v>
      </c>
    </row>
    <row r="323" spans="1:7" ht="14.25" thickBot="1">
      <c r="A323" s="2999">
        <v>322</v>
      </c>
      <c r="B323" s="3000" t="s">
        <v>3272</v>
      </c>
      <c r="C323" s="3000" t="s">
        <v>3262</v>
      </c>
      <c r="D323" s="3000" t="s">
        <v>3259</v>
      </c>
      <c r="E323" s="3000" t="s">
        <v>3149</v>
      </c>
      <c r="F323" s="3000">
        <v>69.56</v>
      </c>
      <c r="G323" s="3001" t="s">
        <v>3055</v>
      </c>
    </row>
    <row r="324" spans="1:7" ht="14.25" thickBot="1">
      <c r="A324" s="2999">
        <v>323</v>
      </c>
      <c r="B324" s="3000" t="s">
        <v>3272</v>
      </c>
      <c r="C324" s="3000" t="s">
        <v>3263</v>
      </c>
      <c r="D324" s="3000" t="s">
        <v>3258</v>
      </c>
      <c r="E324" s="3000">
        <v>503</v>
      </c>
      <c r="F324" s="3000">
        <v>69.75</v>
      </c>
      <c r="G324" s="3001" t="s">
        <v>3055</v>
      </c>
    </row>
    <row r="325" spans="1:7" ht="14.25" thickBot="1">
      <c r="A325" s="2999">
        <v>324</v>
      </c>
      <c r="B325" s="3000" t="s">
        <v>3272</v>
      </c>
      <c r="C325" s="3000" t="s">
        <v>3263</v>
      </c>
      <c r="D325" s="3000" t="s">
        <v>3258</v>
      </c>
      <c r="E325" s="3000">
        <v>505</v>
      </c>
      <c r="F325" s="3000">
        <v>69.75</v>
      </c>
      <c r="G325" s="3001" t="s">
        <v>3055</v>
      </c>
    </row>
    <row r="326" spans="1:7" ht="14.25" thickBot="1">
      <c r="A326" s="2999">
        <v>325</v>
      </c>
      <c r="B326" s="3000" t="s">
        <v>3272</v>
      </c>
      <c r="C326" s="3000" t="s">
        <v>3263</v>
      </c>
      <c r="D326" s="3000" t="s">
        <v>3258</v>
      </c>
      <c r="E326" s="3000">
        <v>506</v>
      </c>
      <c r="F326" s="3000">
        <v>69.56</v>
      </c>
      <c r="G326" s="3001" t="s">
        <v>3055</v>
      </c>
    </row>
    <row r="327" spans="1:7" ht="14.25" thickBot="1">
      <c r="A327" s="2999">
        <v>326</v>
      </c>
      <c r="B327" s="3000" t="s">
        <v>3272</v>
      </c>
      <c r="C327" s="3000" t="s">
        <v>3263</v>
      </c>
      <c r="D327" s="3000" t="s">
        <v>3258</v>
      </c>
      <c r="E327" s="3000">
        <v>507</v>
      </c>
      <c r="F327" s="3000">
        <v>94.74</v>
      </c>
      <c r="G327" s="3001" t="s">
        <v>3055</v>
      </c>
    </row>
    <row r="328" spans="1:7" ht="14.25" thickBot="1">
      <c r="A328" s="2999">
        <v>327</v>
      </c>
      <c r="B328" s="3000" t="s">
        <v>3272</v>
      </c>
      <c r="C328" s="3000" t="s">
        <v>3263</v>
      </c>
      <c r="D328" s="3000" t="s">
        <v>3259</v>
      </c>
      <c r="E328" s="3000">
        <v>502</v>
      </c>
      <c r="F328" s="3000">
        <v>69.56</v>
      </c>
      <c r="G328" s="3001" t="s">
        <v>3055</v>
      </c>
    </row>
    <row r="329" spans="1:7" ht="14.25" thickBot="1">
      <c r="A329" s="2999">
        <v>328</v>
      </c>
      <c r="B329" s="3000" t="s">
        <v>3272</v>
      </c>
      <c r="C329" s="3000" t="s">
        <v>3263</v>
      </c>
      <c r="D329" s="3000" t="s">
        <v>3259</v>
      </c>
      <c r="E329" s="3000">
        <v>503</v>
      </c>
      <c r="F329" s="3000">
        <v>69.75</v>
      </c>
      <c r="G329" s="3001" t="s">
        <v>3055</v>
      </c>
    </row>
    <row r="330" spans="1:7" ht="14.25" thickBot="1">
      <c r="A330" s="2999">
        <v>329</v>
      </c>
      <c r="B330" s="3000" t="s">
        <v>3272</v>
      </c>
      <c r="C330" s="3000" t="s">
        <v>3263</v>
      </c>
      <c r="D330" s="3000" t="s">
        <v>3259</v>
      </c>
      <c r="E330" s="3000">
        <v>505</v>
      </c>
      <c r="F330" s="3000">
        <v>69.75</v>
      </c>
      <c r="G330" s="3001" t="s">
        <v>3055</v>
      </c>
    </row>
    <row r="331" spans="1:7" ht="14.25" thickBot="1">
      <c r="A331" s="2999">
        <v>330</v>
      </c>
      <c r="B331" s="3000" t="s">
        <v>3272</v>
      </c>
      <c r="C331" s="3000" t="s">
        <v>3263</v>
      </c>
      <c r="D331" s="3000" t="s">
        <v>3259</v>
      </c>
      <c r="E331" s="3000">
        <v>506</v>
      </c>
      <c r="F331" s="3000">
        <v>69.56</v>
      </c>
      <c r="G331" s="3001" t="s">
        <v>3055</v>
      </c>
    </row>
    <row r="332" spans="1:7" ht="14.25" thickBot="1">
      <c r="A332" s="2999">
        <v>331</v>
      </c>
      <c r="B332" s="3000" t="s">
        <v>3272</v>
      </c>
      <c r="C332" s="3000" t="s">
        <v>3263</v>
      </c>
      <c r="D332" s="3000" t="s">
        <v>3259</v>
      </c>
      <c r="E332" s="3000">
        <v>507</v>
      </c>
      <c r="F332" s="3000">
        <v>66.069999999999993</v>
      </c>
      <c r="G332" s="3001" t="s">
        <v>3055</v>
      </c>
    </row>
    <row r="333" spans="1:7" ht="14.25" thickBot="1">
      <c r="A333" s="2999">
        <v>332</v>
      </c>
      <c r="B333" s="3000" t="s">
        <v>3272</v>
      </c>
      <c r="C333" s="3000" t="s">
        <v>3264</v>
      </c>
      <c r="D333" s="3000" t="s">
        <v>3258</v>
      </c>
      <c r="E333" s="3000">
        <v>606</v>
      </c>
      <c r="F333" s="3000">
        <v>69.56</v>
      </c>
      <c r="G333" s="3001" t="s">
        <v>3055</v>
      </c>
    </row>
    <row r="334" spans="1:7" ht="14.25" thickBot="1">
      <c r="A334" s="2999">
        <v>333</v>
      </c>
      <c r="B334" s="3000" t="s">
        <v>3273</v>
      </c>
      <c r="C334" s="3000" t="s">
        <v>3257</v>
      </c>
      <c r="D334" s="3000" t="s">
        <v>3258</v>
      </c>
      <c r="E334" s="3000">
        <v>101</v>
      </c>
      <c r="F334" s="3000">
        <v>65.67</v>
      </c>
      <c r="G334" s="3001" t="s">
        <v>3055</v>
      </c>
    </row>
    <row r="335" spans="1:7" ht="14.25" thickBot="1">
      <c r="A335" s="2999">
        <v>334</v>
      </c>
      <c r="B335" s="3000" t="s">
        <v>3273</v>
      </c>
      <c r="C335" s="3000" t="s">
        <v>3257</v>
      </c>
      <c r="D335" s="3000" t="s">
        <v>3258</v>
      </c>
      <c r="E335" s="3000">
        <v>102</v>
      </c>
      <c r="F335" s="3000">
        <v>68.94</v>
      </c>
      <c r="G335" s="3001" t="s">
        <v>3055</v>
      </c>
    </row>
    <row r="336" spans="1:7" ht="14.25" thickBot="1">
      <c r="A336" s="2999">
        <v>335</v>
      </c>
      <c r="B336" s="3000" t="s">
        <v>3273</v>
      </c>
      <c r="C336" s="3000" t="s">
        <v>3257</v>
      </c>
      <c r="D336" s="3000" t="s">
        <v>3258</v>
      </c>
      <c r="E336" s="3000">
        <v>103</v>
      </c>
      <c r="F336" s="3000">
        <v>69.290000000000006</v>
      </c>
      <c r="G336" s="3001" t="s">
        <v>3055</v>
      </c>
    </row>
    <row r="337" spans="1:7" ht="14.25" thickBot="1">
      <c r="A337" s="2999">
        <v>336</v>
      </c>
      <c r="B337" s="3000" t="s">
        <v>3273</v>
      </c>
      <c r="C337" s="3000" t="s">
        <v>3257</v>
      </c>
      <c r="D337" s="3000" t="s">
        <v>3258</v>
      </c>
      <c r="E337" s="3000">
        <v>105</v>
      </c>
      <c r="F337" s="3000">
        <v>69.290000000000006</v>
      </c>
      <c r="G337" s="3001" t="s">
        <v>3055</v>
      </c>
    </row>
    <row r="338" spans="1:7" ht="14.25" thickBot="1">
      <c r="A338" s="2999">
        <v>337</v>
      </c>
      <c r="B338" s="3000" t="s">
        <v>3273</v>
      </c>
      <c r="C338" s="3000" t="s">
        <v>3257</v>
      </c>
      <c r="D338" s="3000" t="s">
        <v>3258</v>
      </c>
      <c r="E338" s="3000">
        <v>106</v>
      </c>
      <c r="F338" s="3000">
        <v>68.94</v>
      </c>
      <c r="G338" s="3001" t="s">
        <v>3055</v>
      </c>
    </row>
    <row r="339" spans="1:7" ht="14.25" thickBot="1">
      <c r="A339" s="2999">
        <v>338</v>
      </c>
      <c r="B339" s="3000" t="s">
        <v>3273</v>
      </c>
      <c r="C339" s="3000" t="s">
        <v>3257</v>
      </c>
      <c r="D339" s="3000" t="s">
        <v>3258</v>
      </c>
      <c r="E339" s="3000">
        <v>107</v>
      </c>
      <c r="F339" s="3000">
        <v>94.13</v>
      </c>
      <c r="G339" s="3001" t="s">
        <v>3055</v>
      </c>
    </row>
    <row r="340" spans="1:7" ht="14.25" thickBot="1">
      <c r="A340" s="2999">
        <v>339</v>
      </c>
      <c r="B340" s="3000" t="s">
        <v>3273</v>
      </c>
      <c r="C340" s="3000" t="s">
        <v>3257</v>
      </c>
      <c r="D340" s="3000" t="s">
        <v>3259</v>
      </c>
      <c r="E340" s="3000">
        <v>101</v>
      </c>
      <c r="F340" s="3000">
        <v>94.13</v>
      </c>
      <c r="G340" s="3001" t="s">
        <v>3055</v>
      </c>
    </row>
    <row r="341" spans="1:7" ht="14.25" thickBot="1">
      <c r="A341" s="2999">
        <v>340</v>
      </c>
      <c r="B341" s="3000" t="s">
        <v>3273</v>
      </c>
      <c r="C341" s="3000" t="s">
        <v>3257</v>
      </c>
      <c r="D341" s="3000" t="s">
        <v>3259</v>
      </c>
      <c r="E341" s="3000">
        <v>103</v>
      </c>
      <c r="F341" s="3000">
        <v>69.290000000000006</v>
      </c>
      <c r="G341" s="3001" t="s">
        <v>3055</v>
      </c>
    </row>
    <row r="342" spans="1:7" ht="14.25" thickBot="1">
      <c r="A342" s="2999">
        <v>341</v>
      </c>
      <c r="B342" s="3000" t="s">
        <v>3273</v>
      </c>
      <c r="C342" s="3000" t="s">
        <v>3257</v>
      </c>
      <c r="D342" s="3000" t="s">
        <v>3259</v>
      </c>
      <c r="E342" s="3000">
        <v>105</v>
      </c>
      <c r="F342" s="3000">
        <v>69.290000000000006</v>
      </c>
      <c r="G342" s="3001" t="s">
        <v>3055</v>
      </c>
    </row>
    <row r="343" spans="1:7" ht="14.25" thickBot="1">
      <c r="A343" s="2999">
        <v>342</v>
      </c>
      <c r="B343" s="3000" t="s">
        <v>3273</v>
      </c>
      <c r="C343" s="3000" t="s">
        <v>3257</v>
      </c>
      <c r="D343" s="3000" t="s">
        <v>3259</v>
      </c>
      <c r="E343" s="3000">
        <v>106</v>
      </c>
      <c r="F343" s="3000">
        <v>68.94</v>
      </c>
      <c r="G343" s="3001" t="s">
        <v>3055</v>
      </c>
    </row>
    <row r="344" spans="1:7" ht="14.25" thickBot="1">
      <c r="A344" s="2999">
        <v>343</v>
      </c>
      <c r="B344" s="3000" t="s">
        <v>3273</v>
      </c>
      <c r="C344" s="3000" t="s">
        <v>3257</v>
      </c>
      <c r="D344" s="3000" t="s">
        <v>3259</v>
      </c>
      <c r="E344" s="3000">
        <v>107</v>
      </c>
      <c r="F344" s="3000">
        <v>65.67</v>
      </c>
      <c r="G344" s="3001" t="s">
        <v>3055</v>
      </c>
    </row>
    <row r="345" spans="1:7" ht="14.25" thickBot="1">
      <c r="A345" s="2999">
        <v>344</v>
      </c>
      <c r="B345" s="3000" t="s">
        <v>3273</v>
      </c>
      <c r="C345" s="3000" t="s">
        <v>3260</v>
      </c>
      <c r="D345" s="3000" t="s">
        <v>3258</v>
      </c>
      <c r="E345" s="3000">
        <v>201</v>
      </c>
      <c r="F345" s="3000">
        <v>65.510000000000005</v>
      </c>
      <c r="G345" s="3001" t="s">
        <v>3055</v>
      </c>
    </row>
    <row r="346" spans="1:7" ht="14.25" thickBot="1">
      <c r="A346" s="2999">
        <v>345</v>
      </c>
      <c r="B346" s="3000" t="s">
        <v>3273</v>
      </c>
      <c r="C346" s="3000" t="s">
        <v>3260</v>
      </c>
      <c r="D346" s="3000" t="s">
        <v>3259</v>
      </c>
      <c r="E346" s="3000">
        <v>207</v>
      </c>
      <c r="F346" s="3000">
        <v>65.510000000000005</v>
      </c>
      <c r="G346" s="3001" t="s">
        <v>3055</v>
      </c>
    </row>
    <row r="347" spans="1:7" ht="14.25" thickBot="1">
      <c r="A347" s="2999">
        <v>346</v>
      </c>
      <c r="B347" s="3000" t="s">
        <v>3273</v>
      </c>
      <c r="C347" s="3000" t="s">
        <v>3261</v>
      </c>
      <c r="D347" s="3000" t="s">
        <v>3258</v>
      </c>
      <c r="E347" s="3000">
        <v>301</v>
      </c>
      <c r="F347" s="3000">
        <v>65.510000000000005</v>
      </c>
      <c r="G347" s="3001" t="s">
        <v>3055</v>
      </c>
    </row>
    <row r="348" spans="1:7" ht="14.25" thickBot="1">
      <c r="A348" s="2999">
        <v>347</v>
      </c>
      <c r="B348" s="3000" t="s">
        <v>3273</v>
      </c>
      <c r="C348" s="3000" t="s">
        <v>3261</v>
      </c>
      <c r="D348" s="3000" t="s">
        <v>3258</v>
      </c>
      <c r="E348" s="3000">
        <v>302</v>
      </c>
      <c r="F348" s="3000">
        <v>68.94</v>
      </c>
      <c r="G348" s="3001" t="s">
        <v>3055</v>
      </c>
    </row>
    <row r="349" spans="1:7" ht="14.25" thickBot="1">
      <c r="A349" s="2999">
        <v>348</v>
      </c>
      <c r="B349" s="3000" t="s">
        <v>3273</v>
      </c>
      <c r="C349" s="3000" t="s">
        <v>3261</v>
      </c>
      <c r="D349" s="3000" t="s">
        <v>3259</v>
      </c>
      <c r="E349" s="3000">
        <v>306</v>
      </c>
      <c r="F349" s="3000">
        <v>68.94</v>
      </c>
      <c r="G349" s="3001" t="s">
        <v>3055</v>
      </c>
    </row>
    <row r="350" spans="1:7" ht="14.25" thickBot="1">
      <c r="A350" s="2999">
        <v>349</v>
      </c>
      <c r="B350" s="3000" t="s">
        <v>3273</v>
      </c>
      <c r="C350" s="3000" t="s">
        <v>3262</v>
      </c>
      <c r="D350" s="3000" t="s">
        <v>3258</v>
      </c>
      <c r="E350" s="3000" t="s">
        <v>3150</v>
      </c>
      <c r="F350" s="3000">
        <v>93.91</v>
      </c>
      <c r="G350" s="3001" t="s">
        <v>3055</v>
      </c>
    </row>
    <row r="351" spans="1:7" ht="14.25" thickBot="1">
      <c r="A351" s="2999">
        <v>350</v>
      </c>
      <c r="B351" s="3000" t="s">
        <v>3273</v>
      </c>
      <c r="C351" s="3000" t="s">
        <v>3262</v>
      </c>
      <c r="D351" s="3000" t="s">
        <v>3259</v>
      </c>
      <c r="E351" s="3000" t="s">
        <v>3150</v>
      </c>
      <c r="F351" s="3000">
        <v>65.510000000000005</v>
      </c>
      <c r="G351" s="3001" t="s">
        <v>3055</v>
      </c>
    </row>
    <row r="352" spans="1:7" ht="14.25" thickBot="1">
      <c r="A352" s="2999">
        <v>351</v>
      </c>
      <c r="B352" s="3000" t="s">
        <v>3273</v>
      </c>
      <c r="C352" s="3000" t="s">
        <v>3263</v>
      </c>
      <c r="D352" s="3000" t="s">
        <v>3258</v>
      </c>
      <c r="E352" s="3000">
        <v>507</v>
      </c>
      <c r="F352" s="3000">
        <v>93.91</v>
      </c>
      <c r="G352" s="3001" t="s">
        <v>3055</v>
      </c>
    </row>
    <row r="353" spans="1:7" ht="14.25" thickBot="1">
      <c r="A353" s="2999">
        <v>352</v>
      </c>
      <c r="B353" s="3000" t="s">
        <v>3273</v>
      </c>
      <c r="C353" s="3000" t="s">
        <v>3263</v>
      </c>
      <c r="D353" s="3000" t="s">
        <v>3259</v>
      </c>
      <c r="E353" s="3000">
        <v>501</v>
      </c>
      <c r="F353" s="3000">
        <v>93.91</v>
      </c>
      <c r="G353" s="3001" t="s">
        <v>3055</v>
      </c>
    </row>
    <row r="354" spans="1:7" ht="14.25" thickBot="1">
      <c r="A354" s="2999">
        <v>353</v>
      </c>
      <c r="B354" s="3000" t="s">
        <v>3273</v>
      </c>
      <c r="C354" s="3000" t="s">
        <v>3263</v>
      </c>
      <c r="D354" s="3000" t="s">
        <v>3259</v>
      </c>
      <c r="E354" s="3000">
        <v>506</v>
      </c>
      <c r="F354" s="3000">
        <v>68.94</v>
      </c>
      <c r="G354" s="3001" t="s">
        <v>3055</v>
      </c>
    </row>
    <row r="355" spans="1:7" ht="14.25" thickBot="1">
      <c r="A355" s="2999">
        <v>354</v>
      </c>
      <c r="B355" s="3000" t="s">
        <v>3273</v>
      </c>
      <c r="C355" s="3000" t="s">
        <v>3263</v>
      </c>
      <c r="D355" s="3000" t="s">
        <v>3259</v>
      </c>
      <c r="E355" s="3000">
        <v>507</v>
      </c>
      <c r="F355" s="3000">
        <v>65.510000000000005</v>
      </c>
      <c r="G355" s="3001" t="s">
        <v>3055</v>
      </c>
    </row>
    <row r="356" spans="1:7" ht="14.25" thickBot="1">
      <c r="A356" s="2999">
        <v>355</v>
      </c>
      <c r="B356" s="3000" t="s">
        <v>3273</v>
      </c>
      <c r="C356" s="3000" t="s">
        <v>3264</v>
      </c>
      <c r="D356" s="3000" t="s">
        <v>3258</v>
      </c>
      <c r="E356" s="3000">
        <v>602</v>
      </c>
      <c r="F356" s="3000">
        <v>68.94</v>
      </c>
      <c r="G356" s="3001" t="s">
        <v>3055</v>
      </c>
    </row>
    <row r="357" spans="1:7" ht="14.25" thickBot="1">
      <c r="A357" s="2999">
        <v>356</v>
      </c>
      <c r="B357" s="3000" t="s">
        <v>3273</v>
      </c>
      <c r="C357" s="3000" t="s">
        <v>3264</v>
      </c>
      <c r="D357" s="3000" t="s">
        <v>3258</v>
      </c>
      <c r="E357" s="3000">
        <v>603</v>
      </c>
      <c r="F357" s="3000">
        <v>69.290000000000006</v>
      </c>
      <c r="G357" s="3001" t="s">
        <v>3055</v>
      </c>
    </row>
    <row r="358" spans="1:7" ht="14.25" thickBot="1">
      <c r="A358" s="2999">
        <v>357</v>
      </c>
      <c r="B358" s="3000" t="s">
        <v>3273</v>
      </c>
      <c r="C358" s="3000" t="s">
        <v>3264</v>
      </c>
      <c r="D358" s="3000" t="s">
        <v>3259</v>
      </c>
      <c r="E358" s="3000">
        <v>602</v>
      </c>
      <c r="F358" s="3000">
        <v>68.94</v>
      </c>
      <c r="G358" s="3001" t="s">
        <v>3055</v>
      </c>
    </row>
    <row r="359" spans="1:7" ht="14.25" thickBot="1">
      <c r="A359" s="2999">
        <v>358</v>
      </c>
      <c r="B359" s="3000" t="s">
        <v>3273</v>
      </c>
      <c r="C359" s="3000" t="s">
        <v>3264</v>
      </c>
      <c r="D359" s="3000" t="s">
        <v>3259</v>
      </c>
      <c r="E359" s="3000">
        <v>605</v>
      </c>
      <c r="F359" s="3000">
        <v>69.290000000000006</v>
      </c>
      <c r="G359" s="3001" t="s">
        <v>3055</v>
      </c>
    </row>
    <row r="360" spans="1:7" ht="14.25" thickBot="1">
      <c r="A360" s="2999">
        <v>359</v>
      </c>
      <c r="B360" s="3000" t="s">
        <v>3273</v>
      </c>
      <c r="C360" s="3000" t="s">
        <v>3264</v>
      </c>
      <c r="D360" s="3000" t="s">
        <v>3259</v>
      </c>
      <c r="E360" s="3000">
        <v>606</v>
      </c>
      <c r="F360" s="3000">
        <v>68.94</v>
      </c>
      <c r="G360" s="3001" t="s">
        <v>3055</v>
      </c>
    </row>
    <row r="361" spans="1:7" ht="14.25" thickBot="1">
      <c r="A361" s="2999">
        <v>360</v>
      </c>
      <c r="B361" s="3000" t="s">
        <v>3274</v>
      </c>
      <c r="C361" s="3000" t="s">
        <v>3257</v>
      </c>
      <c r="D361" s="3000" t="s">
        <v>70</v>
      </c>
      <c r="E361" s="3000">
        <v>101</v>
      </c>
      <c r="F361" s="3000">
        <v>93.93</v>
      </c>
      <c r="G361" s="3001" t="s">
        <v>3055</v>
      </c>
    </row>
    <row r="362" spans="1:7" ht="14.25" thickBot="1">
      <c r="A362" s="2999">
        <v>361</v>
      </c>
      <c r="B362" s="3000" t="s">
        <v>3274</v>
      </c>
      <c r="C362" s="3000" t="s">
        <v>3257</v>
      </c>
      <c r="D362" s="3000" t="s">
        <v>70</v>
      </c>
      <c r="E362" s="3000">
        <v>102</v>
      </c>
      <c r="F362" s="3000">
        <v>69.17</v>
      </c>
      <c r="G362" s="3001" t="s">
        <v>3055</v>
      </c>
    </row>
    <row r="363" spans="1:7" ht="14.25" thickBot="1">
      <c r="A363" s="2999">
        <v>362</v>
      </c>
      <c r="B363" s="3000" t="s">
        <v>3274</v>
      </c>
      <c r="C363" s="3000" t="s">
        <v>3257</v>
      </c>
      <c r="D363" s="3000" t="s">
        <v>70</v>
      </c>
      <c r="E363" s="3000">
        <v>103</v>
      </c>
      <c r="F363" s="3000">
        <v>69.27</v>
      </c>
      <c r="G363" s="3001" t="s">
        <v>3055</v>
      </c>
    </row>
    <row r="364" spans="1:7" ht="14.25" thickBot="1">
      <c r="A364" s="2999">
        <v>363</v>
      </c>
      <c r="B364" s="3000" t="s">
        <v>3274</v>
      </c>
      <c r="C364" s="3000" t="s">
        <v>3257</v>
      </c>
      <c r="D364" s="3000" t="s">
        <v>70</v>
      </c>
      <c r="E364" s="3000">
        <v>105</v>
      </c>
      <c r="F364" s="3000">
        <v>69.27</v>
      </c>
      <c r="G364" s="3001" t="s">
        <v>3055</v>
      </c>
    </row>
    <row r="365" spans="1:7" ht="14.25" thickBot="1">
      <c r="A365" s="2999">
        <v>364</v>
      </c>
      <c r="B365" s="3000" t="s">
        <v>3274</v>
      </c>
      <c r="C365" s="3000" t="s">
        <v>3257</v>
      </c>
      <c r="D365" s="3000" t="s">
        <v>70</v>
      </c>
      <c r="E365" s="3000">
        <v>106</v>
      </c>
      <c r="F365" s="3000">
        <v>68.95</v>
      </c>
      <c r="G365" s="3001" t="s">
        <v>3055</v>
      </c>
    </row>
    <row r="366" spans="1:7" ht="14.25" thickBot="1">
      <c r="A366" s="2999">
        <v>365</v>
      </c>
      <c r="B366" s="3000" t="s">
        <v>3274</v>
      </c>
      <c r="C366" s="3000" t="s">
        <v>3257</v>
      </c>
      <c r="D366" s="3000" t="s">
        <v>70</v>
      </c>
      <c r="E366" s="3000">
        <v>107</v>
      </c>
      <c r="F366" s="3000">
        <v>65.52</v>
      </c>
      <c r="G366" s="3001" t="s">
        <v>3055</v>
      </c>
    </row>
    <row r="367" spans="1:7" ht="14.25" thickBot="1">
      <c r="A367" s="2999">
        <v>366</v>
      </c>
      <c r="B367" s="3000" t="s">
        <v>3274</v>
      </c>
      <c r="C367" s="3000" t="s">
        <v>3261</v>
      </c>
      <c r="D367" s="3000" t="s">
        <v>70</v>
      </c>
      <c r="E367" s="3000">
        <v>307</v>
      </c>
      <c r="F367" s="3000">
        <v>65.52</v>
      </c>
      <c r="G367" s="3001" t="s">
        <v>3055</v>
      </c>
    </row>
    <row r="368" spans="1:7" ht="14.25" thickBot="1">
      <c r="A368" s="2999">
        <v>367</v>
      </c>
      <c r="B368" s="3000" t="s">
        <v>3274</v>
      </c>
      <c r="C368" s="3000" t="s">
        <v>3262</v>
      </c>
      <c r="D368" s="3000" t="s">
        <v>70</v>
      </c>
      <c r="E368" s="3000" t="s">
        <v>3150</v>
      </c>
      <c r="F368" s="3000">
        <v>65.52</v>
      </c>
      <c r="G368" s="3001" t="s">
        <v>3055</v>
      </c>
    </row>
    <row r="369" spans="1:7" ht="14.25" thickBot="1">
      <c r="A369" s="2999">
        <v>368</v>
      </c>
      <c r="B369" s="3000" t="s">
        <v>3274</v>
      </c>
      <c r="C369" s="3000" t="s">
        <v>3264</v>
      </c>
      <c r="D369" s="3000" t="s">
        <v>70</v>
      </c>
      <c r="E369" s="3000">
        <v>602</v>
      </c>
      <c r="F369" s="3000">
        <v>68.95</v>
      </c>
      <c r="G369" s="3001" t="s">
        <v>3055</v>
      </c>
    </row>
    <row r="370" spans="1:7" ht="14.25" thickBot="1">
      <c r="A370" s="2999">
        <v>369</v>
      </c>
      <c r="B370" s="3000" t="s">
        <v>3274</v>
      </c>
      <c r="C370" s="3000" t="s">
        <v>3264</v>
      </c>
      <c r="D370" s="3000" t="s">
        <v>70</v>
      </c>
      <c r="E370" s="3000">
        <v>603</v>
      </c>
      <c r="F370" s="3000">
        <v>69.05</v>
      </c>
      <c r="G370" s="3001" t="s">
        <v>3055</v>
      </c>
    </row>
    <row r="371" spans="1:7" ht="14.25" thickBot="1">
      <c r="A371" s="2999">
        <v>370</v>
      </c>
      <c r="B371" s="3000" t="s">
        <v>3274</v>
      </c>
      <c r="C371" s="3000" t="s">
        <v>3264</v>
      </c>
      <c r="D371" s="3000" t="s">
        <v>70</v>
      </c>
      <c r="E371" s="3000">
        <v>605</v>
      </c>
      <c r="F371" s="3000">
        <v>69.05</v>
      </c>
      <c r="G371" s="3001" t="s">
        <v>3055</v>
      </c>
    </row>
    <row r="372" spans="1:7" ht="14.25" thickBot="1">
      <c r="A372" s="2999">
        <v>371</v>
      </c>
      <c r="B372" s="3000" t="s">
        <v>3274</v>
      </c>
      <c r="C372" s="3000" t="s">
        <v>3264</v>
      </c>
      <c r="D372" s="3000" t="s">
        <v>70</v>
      </c>
      <c r="E372" s="3000">
        <v>606</v>
      </c>
      <c r="F372" s="3000">
        <v>68.95</v>
      </c>
      <c r="G372" s="3001" t="s">
        <v>3055</v>
      </c>
    </row>
    <row r="373" spans="1:7" ht="14.25" thickBot="1">
      <c r="A373" s="2999">
        <v>372</v>
      </c>
      <c r="B373" s="3000" t="s">
        <v>3275</v>
      </c>
      <c r="C373" s="3000" t="s">
        <v>3257</v>
      </c>
      <c r="D373" s="3000" t="s">
        <v>70</v>
      </c>
      <c r="E373" s="3000">
        <v>101</v>
      </c>
      <c r="F373" s="3000">
        <v>94.63</v>
      </c>
      <c r="G373" s="3001" t="s">
        <v>3055</v>
      </c>
    </row>
    <row r="374" spans="1:7" ht="14.25" thickBot="1">
      <c r="A374" s="2999">
        <v>373</v>
      </c>
      <c r="B374" s="3000" t="s">
        <v>3275</v>
      </c>
      <c r="C374" s="3000" t="s">
        <v>3257</v>
      </c>
      <c r="D374" s="3000" t="s">
        <v>70</v>
      </c>
      <c r="E374" s="3000">
        <v>102</v>
      </c>
      <c r="F374" s="3000">
        <v>69.47</v>
      </c>
      <c r="G374" s="3001" t="s">
        <v>3055</v>
      </c>
    </row>
    <row r="375" spans="1:7" ht="14.25" thickBot="1">
      <c r="A375" s="2999">
        <v>374</v>
      </c>
      <c r="B375" s="3000" t="s">
        <v>3275</v>
      </c>
      <c r="C375" s="3000" t="s">
        <v>3257</v>
      </c>
      <c r="D375" s="3000" t="s">
        <v>70</v>
      </c>
      <c r="E375" s="3000">
        <v>103</v>
      </c>
      <c r="F375" s="3000">
        <v>69.569999999999993</v>
      </c>
      <c r="G375" s="3001" t="s">
        <v>3055</v>
      </c>
    </row>
    <row r="376" spans="1:7" ht="14.25" thickBot="1">
      <c r="A376" s="2999">
        <v>375</v>
      </c>
      <c r="B376" s="3000" t="s">
        <v>3275</v>
      </c>
      <c r="C376" s="3000" t="s">
        <v>3257</v>
      </c>
      <c r="D376" s="3000" t="s">
        <v>70</v>
      </c>
      <c r="E376" s="3000">
        <v>105</v>
      </c>
      <c r="F376" s="3000">
        <v>69.47</v>
      </c>
      <c r="G376" s="3001" t="s">
        <v>3055</v>
      </c>
    </row>
    <row r="377" spans="1:7" ht="14.25" thickBot="1">
      <c r="A377" s="2999">
        <v>376</v>
      </c>
      <c r="B377" s="3000" t="s">
        <v>3275</v>
      </c>
      <c r="C377" s="3000" t="s">
        <v>3257</v>
      </c>
      <c r="D377" s="3000" t="s">
        <v>70</v>
      </c>
      <c r="E377" s="3000">
        <v>106</v>
      </c>
      <c r="F377" s="3000">
        <v>66.010000000000005</v>
      </c>
      <c r="G377" s="3001" t="s">
        <v>3055</v>
      </c>
    </row>
    <row r="378" spans="1:7" ht="14.25" thickBot="1">
      <c r="A378" s="2999">
        <v>377</v>
      </c>
      <c r="B378" s="3000" t="s">
        <v>3275</v>
      </c>
      <c r="C378" s="3000" t="s">
        <v>3260</v>
      </c>
      <c r="D378" s="3000" t="s">
        <v>70</v>
      </c>
      <c r="E378" s="3000">
        <v>201</v>
      </c>
      <c r="F378" s="3000">
        <v>94.63</v>
      </c>
      <c r="G378" s="3001" t="s">
        <v>3055</v>
      </c>
    </row>
    <row r="379" spans="1:7" ht="14.25" thickBot="1">
      <c r="A379" s="2999">
        <v>378</v>
      </c>
      <c r="B379" s="3000" t="s">
        <v>3275</v>
      </c>
      <c r="C379" s="3000" t="s">
        <v>3260</v>
      </c>
      <c r="D379" s="3000" t="s">
        <v>70</v>
      </c>
      <c r="E379" s="3000">
        <v>202</v>
      </c>
      <c r="F379" s="3000">
        <v>69.47</v>
      </c>
      <c r="G379" s="3001" t="s">
        <v>3055</v>
      </c>
    </row>
    <row r="380" spans="1:7" ht="14.25" thickBot="1">
      <c r="A380" s="2999">
        <v>379</v>
      </c>
      <c r="B380" s="3000" t="s">
        <v>3275</v>
      </c>
      <c r="C380" s="3000" t="s">
        <v>3260</v>
      </c>
      <c r="D380" s="3000" t="s">
        <v>70</v>
      </c>
      <c r="E380" s="3000">
        <v>203</v>
      </c>
      <c r="F380" s="3000">
        <v>69.569999999999993</v>
      </c>
      <c r="G380" s="3001" t="s">
        <v>3055</v>
      </c>
    </row>
    <row r="381" spans="1:7" ht="14.25" thickBot="1">
      <c r="A381" s="2999">
        <v>380</v>
      </c>
      <c r="B381" s="3000" t="s">
        <v>3275</v>
      </c>
      <c r="C381" s="3000" t="s">
        <v>3260</v>
      </c>
      <c r="D381" s="3000" t="s">
        <v>70</v>
      </c>
      <c r="E381" s="3000">
        <v>205</v>
      </c>
      <c r="F381" s="3000">
        <v>69.569999999999993</v>
      </c>
      <c r="G381" s="3001" t="s">
        <v>3055</v>
      </c>
    </row>
    <row r="382" spans="1:7" ht="14.25" thickBot="1">
      <c r="A382" s="2999">
        <v>381</v>
      </c>
      <c r="B382" s="3000" t="s">
        <v>3275</v>
      </c>
      <c r="C382" s="3000" t="s">
        <v>3260</v>
      </c>
      <c r="D382" s="3000" t="s">
        <v>70</v>
      </c>
      <c r="E382" s="3000">
        <v>206</v>
      </c>
      <c r="F382" s="3000">
        <v>69.47</v>
      </c>
      <c r="G382" s="3001" t="s">
        <v>3055</v>
      </c>
    </row>
    <row r="383" spans="1:7" ht="14.25" thickBot="1">
      <c r="A383" s="2999">
        <v>382</v>
      </c>
      <c r="B383" s="3000" t="s">
        <v>3275</v>
      </c>
      <c r="C383" s="3000" t="s">
        <v>3260</v>
      </c>
      <c r="D383" s="3000" t="s">
        <v>70</v>
      </c>
      <c r="E383" s="3000">
        <v>207</v>
      </c>
      <c r="F383" s="3000">
        <v>66.010000000000005</v>
      </c>
      <c r="G383" s="3001" t="s">
        <v>3055</v>
      </c>
    </row>
    <row r="384" spans="1:7" ht="14.25" thickBot="1">
      <c r="A384" s="2999">
        <v>383</v>
      </c>
      <c r="B384" s="3000" t="s">
        <v>3275</v>
      </c>
      <c r="C384" s="3000" t="s">
        <v>3261</v>
      </c>
      <c r="D384" s="3000" t="s">
        <v>70</v>
      </c>
      <c r="E384" s="3000">
        <v>301</v>
      </c>
      <c r="F384" s="3000">
        <v>94.63</v>
      </c>
      <c r="G384" s="3001" t="s">
        <v>3055</v>
      </c>
    </row>
    <row r="385" spans="1:7" ht="14.25" thickBot="1">
      <c r="A385" s="2999">
        <v>384</v>
      </c>
      <c r="B385" s="3000" t="s">
        <v>3275</v>
      </c>
      <c r="C385" s="3000" t="s">
        <v>3261</v>
      </c>
      <c r="D385" s="3000" t="s">
        <v>70</v>
      </c>
      <c r="E385" s="3000">
        <v>303</v>
      </c>
      <c r="F385" s="3000">
        <v>69.569999999999993</v>
      </c>
      <c r="G385" s="3001" t="s">
        <v>3055</v>
      </c>
    </row>
    <row r="386" spans="1:7" ht="14.25" thickBot="1">
      <c r="A386" s="2999">
        <v>385</v>
      </c>
      <c r="B386" s="3000" t="s">
        <v>3275</v>
      </c>
      <c r="C386" s="3000" t="s">
        <v>3261</v>
      </c>
      <c r="D386" s="3000" t="s">
        <v>70</v>
      </c>
      <c r="E386" s="3000">
        <v>305</v>
      </c>
      <c r="F386" s="3000">
        <v>69.569999999999993</v>
      </c>
      <c r="G386" s="3001" t="s">
        <v>3055</v>
      </c>
    </row>
    <row r="387" spans="1:7" ht="14.25" thickBot="1">
      <c r="A387" s="2999">
        <v>386</v>
      </c>
      <c r="B387" s="3000" t="s">
        <v>3275</v>
      </c>
      <c r="C387" s="3000" t="s">
        <v>3261</v>
      </c>
      <c r="D387" s="3000" t="s">
        <v>70</v>
      </c>
      <c r="E387" s="3000">
        <v>307</v>
      </c>
      <c r="F387" s="3000">
        <v>66.010000000000005</v>
      </c>
      <c r="G387" s="3001" t="s">
        <v>3055</v>
      </c>
    </row>
    <row r="388" spans="1:7" ht="14.25" thickBot="1">
      <c r="A388" s="2999">
        <v>387</v>
      </c>
      <c r="B388" s="3000" t="s">
        <v>3275</v>
      </c>
      <c r="C388" s="3000" t="s">
        <v>3262</v>
      </c>
      <c r="D388" s="3000" t="s">
        <v>70</v>
      </c>
      <c r="E388" s="3000" t="s">
        <v>3146</v>
      </c>
      <c r="F388" s="3000">
        <v>69.47</v>
      </c>
      <c r="G388" s="3001" t="s">
        <v>3055</v>
      </c>
    </row>
    <row r="389" spans="1:7" ht="14.25" thickBot="1">
      <c r="A389" s="2999">
        <v>388</v>
      </c>
      <c r="B389" s="3000" t="s">
        <v>3275</v>
      </c>
      <c r="C389" s="3000" t="s">
        <v>3262</v>
      </c>
      <c r="D389" s="3000" t="s">
        <v>70</v>
      </c>
      <c r="E389" s="3000" t="s">
        <v>3147</v>
      </c>
      <c r="F389" s="3000">
        <v>69.569999999999993</v>
      </c>
      <c r="G389" s="3001" t="s">
        <v>3055</v>
      </c>
    </row>
    <row r="390" spans="1:7" ht="14.25" thickBot="1">
      <c r="A390" s="2999">
        <v>389</v>
      </c>
      <c r="B390" s="3000" t="s">
        <v>3275</v>
      </c>
      <c r="C390" s="3000" t="s">
        <v>3262</v>
      </c>
      <c r="D390" s="3000" t="s">
        <v>70</v>
      </c>
      <c r="E390" s="3000" t="s">
        <v>3148</v>
      </c>
      <c r="F390" s="3000">
        <v>69.569999999999993</v>
      </c>
      <c r="G390" s="3001" t="s">
        <v>3055</v>
      </c>
    </row>
    <row r="391" spans="1:7" ht="14.25" thickBot="1">
      <c r="A391" s="2999">
        <v>390</v>
      </c>
      <c r="B391" s="3000" t="s">
        <v>3275</v>
      </c>
      <c r="C391" s="3000" t="s">
        <v>3262</v>
      </c>
      <c r="D391" s="3000" t="s">
        <v>70</v>
      </c>
      <c r="E391" s="3000" t="s">
        <v>3150</v>
      </c>
      <c r="F391" s="3000">
        <v>66.010000000000005</v>
      </c>
      <c r="G391" s="3001" t="s">
        <v>3055</v>
      </c>
    </row>
    <row r="392" spans="1:7" ht="14.25" thickBot="1">
      <c r="A392" s="2999">
        <v>391</v>
      </c>
      <c r="B392" s="3000" t="s">
        <v>3275</v>
      </c>
      <c r="C392" s="3000" t="s">
        <v>3263</v>
      </c>
      <c r="D392" s="3000" t="s">
        <v>70</v>
      </c>
      <c r="E392" s="3000">
        <v>502</v>
      </c>
      <c r="F392" s="3000">
        <v>69.47</v>
      </c>
      <c r="G392" s="3001" t="s">
        <v>3055</v>
      </c>
    </row>
    <row r="393" spans="1:7" ht="14.25" thickBot="1">
      <c r="A393" s="2999">
        <v>392</v>
      </c>
      <c r="B393" s="3000" t="s">
        <v>3275</v>
      </c>
      <c r="C393" s="3000" t="s">
        <v>3263</v>
      </c>
      <c r="D393" s="3000" t="s">
        <v>70</v>
      </c>
      <c r="E393" s="3000">
        <v>503</v>
      </c>
      <c r="F393" s="3000">
        <v>69.569999999999993</v>
      </c>
      <c r="G393" s="3001" t="s">
        <v>3055</v>
      </c>
    </row>
    <row r="394" spans="1:7" ht="14.25" thickBot="1">
      <c r="A394" s="2999">
        <v>393</v>
      </c>
      <c r="B394" s="3000" t="s">
        <v>3275</v>
      </c>
      <c r="C394" s="3000" t="s">
        <v>3263</v>
      </c>
      <c r="D394" s="3000" t="s">
        <v>70</v>
      </c>
      <c r="E394" s="3000">
        <v>505</v>
      </c>
      <c r="F394" s="3000">
        <v>69.569999999999993</v>
      </c>
      <c r="G394" s="3001" t="s">
        <v>3055</v>
      </c>
    </row>
    <row r="395" spans="1:7" ht="14.25" thickBot="1">
      <c r="A395" s="2999">
        <v>394</v>
      </c>
      <c r="B395" s="3000" t="s">
        <v>3275</v>
      </c>
      <c r="C395" s="3000" t="s">
        <v>3263</v>
      </c>
      <c r="D395" s="3000" t="s">
        <v>70</v>
      </c>
      <c r="E395" s="3000">
        <v>506</v>
      </c>
      <c r="F395" s="3000">
        <v>69.47</v>
      </c>
      <c r="G395" s="3001" t="s">
        <v>3055</v>
      </c>
    </row>
    <row r="396" spans="1:7" ht="14.25" thickBot="1">
      <c r="A396" s="2999">
        <v>395</v>
      </c>
      <c r="B396" s="3000" t="s">
        <v>3275</v>
      </c>
      <c r="C396" s="3000" t="s">
        <v>3263</v>
      </c>
      <c r="D396" s="3000" t="s">
        <v>70</v>
      </c>
      <c r="E396" s="3000">
        <v>507</v>
      </c>
      <c r="F396" s="3000">
        <v>66.010000000000005</v>
      </c>
      <c r="G396" s="3001" t="s">
        <v>3055</v>
      </c>
    </row>
    <row r="397" spans="1:7" ht="14.25" thickBot="1">
      <c r="A397" s="2999">
        <v>396</v>
      </c>
      <c r="B397" s="3000" t="s">
        <v>3275</v>
      </c>
      <c r="C397" s="3000" t="s">
        <v>3264</v>
      </c>
      <c r="D397" s="3000" t="s">
        <v>70</v>
      </c>
      <c r="E397" s="3000">
        <v>601</v>
      </c>
      <c r="F397" s="3000">
        <v>94.63</v>
      </c>
      <c r="G397" s="3001" t="s">
        <v>3055</v>
      </c>
    </row>
    <row r="398" spans="1:7" ht="14.25" thickBot="1">
      <c r="A398" s="2999">
        <v>397</v>
      </c>
      <c r="B398" s="3000" t="s">
        <v>3275</v>
      </c>
      <c r="C398" s="3000" t="s">
        <v>3264</v>
      </c>
      <c r="D398" s="3000" t="s">
        <v>70</v>
      </c>
      <c r="E398" s="3000">
        <v>602</v>
      </c>
      <c r="F398" s="3000">
        <v>69.47</v>
      </c>
      <c r="G398" s="3001" t="s">
        <v>3055</v>
      </c>
    </row>
    <row r="399" spans="1:7" ht="14.25" thickBot="1">
      <c r="A399" s="2999">
        <v>398</v>
      </c>
      <c r="B399" s="3000" t="s">
        <v>3275</v>
      </c>
      <c r="C399" s="3000" t="s">
        <v>3264</v>
      </c>
      <c r="D399" s="3000" t="s">
        <v>70</v>
      </c>
      <c r="E399" s="3000">
        <v>605</v>
      </c>
      <c r="F399" s="3000">
        <v>69.569999999999993</v>
      </c>
      <c r="G399" s="3001" t="s">
        <v>3055</v>
      </c>
    </row>
    <row r="400" spans="1:7" ht="14.25" thickBot="1">
      <c r="A400" s="2999">
        <v>399</v>
      </c>
      <c r="B400" s="3000" t="s">
        <v>3275</v>
      </c>
      <c r="C400" s="3000" t="s">
        <v>3264</v>
      </c>
      <c r="D400" s="3000" t="s">
        <v>70</v>
      </c>
      <c r="E400" s="3000">
        <v>607</v>
      </c>
      <c r="F400" s="3000">
        <v>66.010000000000005</v>
      </c>
      <c r="G400" s="3001" t="s">
        <v>3055</v>
      </c>
    </row>
    <row r="401" spans="1:7" ht="14.25" thickBot="1">
      <c r="A401" s="2999">
        <v>400</v>
      </c>
      <c r="B401" s="3000" t="s">
        <v>3277</v>
      </c>
      <c r="C401" s="3000" t="s">
        <v>3257</v>
      </c>
      <c r="D401" s="3000" t="s">
        <v>3258</v>
      </c>
      <c r="E401" s="3000">
        <v>101</v>
      </c>
      <c r="F401" s="3000">
        <v>66.069999999999993</v>
      </c>
      <c r="G401" s="3001" t="s">
        <v>3055</v>
      </c>
    </row>
    <row r="402" spans="1:7" ht="14.25" thickBot="1">
      <c r="A402" s="2999">
        <v>401</v>
      </c>
      <c r="B402" s="3000" t="s">
        <v>3277</v>
      </c>
      <c r="C402" s="3000" t="s">
        <v>3257</v>
      </c>
      <c r="D402" s="3000" t="s">
        <v>3258</v>
      </c>
      <c r="E402" s="3000">
        <v>102</v>
      </c>
      <c r="F402" s="3000">
        <v>69.56</v>
      </c>
      <c r="G402" s="3001" t="s">
        <v>3055</v>
      </c>
    </row>
    <row r="403" spans="1:7" ht="14.25" thickBot="1">
      <c r="A403" s="2999">
        <v>402</v>
      </c>
      <c r="B403" s="3000" t="s">
        <v>3277</v>
      </c>
      <c r="C403" s="3000" t="s">
        <v>3257</v>
      </c>
      <c r="D403" s="3000" t="s">
        <v>3258</v>
      </c>
      <c r="E403" s="3000">
        <v>103</v>
      </c>
      <c r="F403" s="3000">
        <v>69.72</v>
      </c>
      <c r="G403" s="3001" t="s">
        <v>3055</v>
      </c>
    </row>
    <row r="404" spans="1:7" ht="14.25" thickBot="1">
      <c r="A404" s="2999">
        <v>403</v>
      </c>
      <c r="B404" s="3000" t="s">
        <v>3277</v>
      </c>
      <c r="C404" s="3000" t="s">
        <v>3257</v>
      </c>
      <c r="D404" s="3000" t="s">
        <v>3258</v>
      </c>
      <c r="E404" s="3000">
        <v>105</v>
      </c>
      <c r="F404" s="3000">
        <v>69.56</v>
      </c>
      <c r="G404" s="3001" t="s">
        <v>3055</v>
      </c>
    </row>
    <row r="405" spans="1:7" ht="14.25" thickBot="1">
      <c r="A405" s="2999">
        <v>404</v>
      </c>
      <c r="B405" s="3000" t="s">
        <v>3277</v>
      </c>
      <c r="C405" s="3000" t="s">
        <v>3257</v>
      </c>
      <c r="D405" s="3000" t="s">
        <v>3258</v>
      </c>
      <c r="E405" s="3000">
        <v>106</v>
      </c>
      <c r="F405" s="3000">
        <v>94.74</v>
      </c>
      <c r="G405" s="3001" t="s">
        <v>3055</v>
      </c>
    </row>
    <row r="406" spans="1:7" ht="14.25" thickBot="1">
      <c r="A406" s="2999">
        <v>405</v>
      </c>
      <c r="B406" s="3000" t="s">
        <v>3277</v>
      </c>
      <c r="C406" s="3000" t="s">
        <v>3257</v>
      </c>
      <c r="D406" s="3000" t="s">
        <v>3259</v>
      </c>
      <c r="E406" s="3000">
        <v>101</v>
      </c>
      <c r="F406" s="3000">
        <v>94.74</v>
      </c>
      <c r="G406" s="3001" t="s">
        <v>3055</v>
      </c>
    </row>
    <row r="407" spans="1:7" ht="14.25" thickBot="1">
      <c r="A407" s="2999">
        <v>406</v>
      </c>
      <c r="B407" s="3000" t="s">
        <v>3277</v>
      </c>
      <c r="C407" s="3000" t="s">
        <v>3257</v>
      </c>
      <c r="D407" s="3000" t="s">
        <v>3259</v>
      </c>
      <c r="E407" s="3000">
        <v>102</v>
      </c>
      <c r="F407" s="3000">
        <v>69.56</v>
      </c>
      <c r="G407" s="3001" t="s">
        <v>3055</v>
      </c>
    </row>
    <row r="408" spans="1:7" ht="14.25" thickBot="1">
      <c r="A408" s="2999">
        <v>407</v>
      </c>
      <c r="B408" s="3000" t="s">
        <v>3277</v>
      </c>
      <c r="C408" s="3000" t="s">
        <v>3257</v>
      </c>
      <c r="D408" s="3000" t="s">
        <v>3259</v>
      </c>
      <c r="E408" s="3000">
        <v>103</v>
      </c>
      <c r="F408" s="3000">
        <v>69.72</v>
      </c>
      <c r="G408" s="3001" t="s">
        <v>3055</v>
      </c>
    </row>
    <row r="409" spans="1:7" ht="14.25" thickBot="1">
      <c r="A409" s="2999">
        <v>408</v>
      </c>
      <c r="B409" s="3000" t="s">
        <v>3277</v>
      </c>
      <c r="C409" s="3000" t="s">
        <v>3257</v>
      </c>
      <c r="D409" s="3000" t="s">
        <v>3259</v>
      </c>
      <c r="E409" s="3000">
        <v>105</v>
      </c>
      <c r="F409" s="3000">
        <v>69.56</v>
      </c>
      <c r="G409" s="3001" t="s">
        <v>3055</v>
      </c>
    </row>
    <row r="410" spans="1:7" ht="14.25" thickBot="1">
      <c r="A410" s="2999">
        <v>409</v>
      </c>
      <c r="B410" s="3000" t="s">
        <v>3277</v>
      </c>
      <c r="C410" s="3000" t="s">
        <v>3257</v>
      </c>
      <c r="D410" s="3000" t="s">
        <v>3259</v>
      </c>
      <c r="E410" s="3000">
        <v>106</v>
      </c>
      <c r="F410" s="3000">
        <v>66.069999999999993</v>
      </c>
      <c r="G410" s="3001" t="s">
        <v>3055</v>
      </c>
    </row>
    <row r="411" spans="1:7" ht="14.25" thickBot="1">
      <c r="A411" s="2999">
        <v>410</v>
      </c>
      <c r="B411" s="3000" t="s">
        <v>3277</v>
      </c>
      <c r="C411" s="3000" t="s">
        <v>3260</v>
      </c>
      <c r="D411" s="3000" t="s">
        <v>3258</v>
      </c>
      <c r="E411" s="3000">
        <v>201</v>
      </c>
      <c r="F411" s="3000">
        <v>66.069999999999993</v>
      </c>
      <c r="G411" s="3001" t="s">
        <v>3055</v>
      </c>
    </row>
    <row r="412" spans="1:7" ht="14.25" thickBot="1">
      <c r="A412" s="2999">
        <v>411</v>
      </c>
      <c r="B412" s="3000" t="s">
        <v>3277</v>
      </c>
      <c r="C412" s="3000" t="s">
        <v>3260</v>
      </c>
      <c r="D412" s="3000" t="s">
        <v>3258</v>
      </c>
      <c r="E412" s="3000">
        <v>207</v>
      </c>
      <c r="F412" s="3000">
        <v>94.74</v>
      </c>
      <c r="G412" s="3001" t="s">
        <v>3055</v>
      </c>
    </row>
    <row r="413" spans="1:7" ht="14.25" thickBot="1">
      <c r="A413" s="2999">
        <v>412</v>
      </c>
      <c r="B413" s="3000" t="s">
        <v>3277</v>
      </c>
      <c r="C413" s="3000" t="s">
        <v>3260</v>
      </c>
      <c r="D413" s="3000" t="s">
        <v>3259</v>
      </c>
      <c r="E413" s="3000">
        <v>206</v>
      </c>
      <c r="F413" s="3000">
        <v>69.56</v>
      </c>
      <c r="G413" s="3001" t="s">
        <v>3055</v>
      </c>
    </row>
    <row r="414" spans="1:7" ht="14.25" thickBot="1">
      <c r="A414" s="2999">
        <v>413</v>
      </c>
      <c r="B414" s="3000" t="s">
        <v>3277</v>
      </c>
      <c r="C414" s="3000" t="s">
        <v>3260</v>
      </c>
      <c r="D414" s="3000" t="s">
        <v>3259</v>
      </c>
      <c r="E414" s="3000">
        <v>207</v>
      </c>
      <c r="F414" s="3000">
        <v>66.069999999999993</v>
      </c>
      <c r="G414" s="3001" t="s">
        <v>3055</v>
      </c>
    </row>
    <row r="415" spans="1:7" ht="14.25" thickBot="1">
      <c r="A415" s="2999">
        <v>414</v>
      </c>
      <c r="B415" s="3000" t="s">
        <v>3277</v>
      </c>
      <c r="C415" s="3000" t="s">
        <v>3261</v>
      </c>
      <c r="D415" s="3000" t="s">
        <v>3258</v>
      </c>
      <c r="E415" s="3000">
        <v>301</v>
      </c>
      <c r="F415" s="3000">
        <v>66.069999999999993</v>
      </c>
      <c r="G415" s="3001" t="s">
        <v>3055</v>
      </c>
    </row>
    <row r="416" spans="1:7" ht="14.25" thickBot="1">
      <c r="A416" s="2999">
        <v>415</v>
      </c>
      <c r="B416" s="3000" t="s">
        <v>3277</v>
      </c>
      <c r="C416" s="3000" t="s">
        <v>3261</v>
      </c>
      <c r="D416" s="3000" t="s">
        <v>3258</v>
      </c>
      <c r="E416" s="3000">
        <v>306</v>
      </c>
      <c r="F416" s="3000">
        <v>69.56</v>
      </c>
      <c r="G416" s="3001" t="s">
        <v>3055</v>
      </c>
    </row>
    <row r="417" spans="1:7" ht="14.25" thickBot="1">
      <c r="A417" s="2999">
        <v>416</v>
      </c>
      <c r="B417" s="3000" t="s">
        <v>3277</v>
      </c>
      <c r="C417" s="3000" t="s">
        <v>3261</v>
      </c>
      <c r="D417" s="3000" t="s">
        <v>3258</v>
      </c>
      <c r="E417" s="3000">
        <v>307</v>
      </c>
      <c r="F417" s="3000">
        <v>94.74</v>
      </c>
      <c r="G417" s="3001" t="s">
        <v>3055</v>
      </c>
    </row>
    <row r="418" spans="1:7" ht="14.25" thickBot="1">
      <c r="A418" s="2999">
        <v>417</v>
      </c>
      <c r="B418" s="3000" t="s">
        <v>3277</v>
      </c>
      <c r="C418" s="3000" t="s">
        <v>3261</v>
      </c>
      <c r="D418" s="3000" t="s">
        <v>3259</v>
      </c>
      <c r="E418" s="3000">
        <v>301</v>
      </c>
      <c r="F418" s="3000">
        <v>94.74</v>
      </c>
      <c r="G418" s="3001" t="s">
        <v>3055</v>
      </c>
    </row>
    <row r="419" spans="1:7" ht="14.25" thickBot="1">
      <c r="A419" s="2999">
        <v>418</v>
      </c>
      <c r="B419" s="3000" t="s">
        <v>3277</v>
      </c>
      <c r="C419" s="3000" t="s">
        <v>3261</v>
      </c>
      <c r="D419" s="3000" t="s">
        <v>3259</v>
      </c>
      <c r="E419" s="3000">
        <v>302</v>
      </c>
      <c r="F419" s="3000">
        <v>69.56</v>
      </c>
      <c r="G419" s="3001" t="s">
        <v>3055</v>
      </c>
    </row>
    <row r="420" spans="1:7" ht="14.25" thickBot="1">
      <c r="A420" s="2999">
        <v>419</v>
      </c>
      <c r="B420" s="3000" t="s">
        <v>3277</v>
      </c>
      <c r="C420" s="3000" t="s">
        <v>3261</v>
      </c>
      <c r="D420" s="3000" t="s">
        <v>3259</v>
      </c>
      <c r="E420" s="3000">
        <v>306</v>
      </c>
      <c r="F420" s="3000">
        <v>69.56</v>
      </c>
      <c r="G420" s="3001" t="s">
        <v>3055</v>
      </c>
    </row>
    <row r="421" spans="1:7" ht="14.25" thickBot="1">
      <c r="A421" s="2999">
        <v>420</v>
      </c>
      <c r="B421" s="3000" t="s">
        <v>3277</v>
      </c>
      <c r="C421" s="3000" t="s">
        <v>3262</v>
      </c>
      <c r="D421" s="3000" t="s">
        <v>3258</v>
      </c>
      <c r="E421" s="3000" t="s">
        <v>3145</v>
      </c>
      <c r="F421" s="3000">
        <v>66.069999999999993</v>
      </c>
      <c r="G421" s="3001" t="s">
        <v>3055</v>
      </c>
    </row>
    <row r="422" spans="1:7" ht="14.25" thickBot="1">
      <c r="A422" s="2999">
        <v>421</v>
      </c>
      <c r="B422" s="3000" t="s">
        <v>3277</v>
      </c>
      <c r="C422" s="3000" t="s">
        <v>3262</v>
      </c>
      <c r="D422" s="3000" t="s">
        <v>3258</v>
      </c>
      <c r="E422" s="3000" t="s">
        <v>3150</v>
      </c>
      <c r="F422" s="3000">
        <v>94.74</v>
      </c>
      <c r="G422" s="3001" t="s">
        <v>3055</v>
      </c>
    </row>
    <row r="423" spans="1:7" ht="14.25" thickBot="1">
      <c r="A423" s="2999">
        <v>422</v>
      </c>
      <c r="B423" s="3000" t="s">
        <v>3277</v>
      </c>
      <c r="C423" s="3000" t="s">
        <v>3262</v>
      </c>
      <c r="D423" s="3000" t="s">
        <v>3259</v>
      </c>
      <c r="E423" s="3000" t="s">
        <v>3145</v>
      </c>
      <c r="F423" s="3000">
        <v>94.74</v>
      </c>
      <c r="G423" s="3001" t="s">
        <v>3055</v>
      </c>
    </row>
    <row r="424" spans="1:7" ht="14.25" thickBot="1">
      <c r="A424" s="2999">
        <v>423</v>
      </c>
      <c r="B424" s="3000" t="s">
        <v>3277</v>
      </c>
      <c r="C424" s="3000" t="s">
        <v>3262</v>
      </c>
      <c r="D424" s="3000" t="s">
        <v>3259</v>
      </c>
      <c r="E424" s="3000" t="s">
        <v>3146</v>
      </c>
      <c r="F424" s="3000">
        <v>69.56</v>
      </c>
      <c r="G424" s="3001" t="s">
        <v>3055</v>
      </c>
    </row>
    <row r="425" spans="1:7" ht="14.25" thickBot="1">
      <c r="A425" s="2999">
        <v>424</v>
      </c>
      <c r="B425" s="3000" t="s">
        <v>3277</v>
      </c>
      <c r="C425" s="3000" t="s">
        <v>3262</v>
      </c>
      <c r="D425" s="3000" t="s">
        <v>3259</v>
      </c>
      <c r="E425" s="3000" t="s">
        <v>3149</v>
      </c>
      <c r="F425" s="3000">
        <v>69.56</v>
      </c>
      <c r="G425" s="3001" t="s">
        <v>3055</v>
      </c>
    </row>
    <row r="426" spans="1:7" ht="14.25" thickBot="1">
      <c r="A426" s="2999">
        <v>425</v>
      </c>
      <c r="B426" s="3000" t="s">
        <v>3277</v>
      </c>
      <c r="C426" s="3000" t="s">
        <v>3263</v>
      </c>
      <c r="D426" s="3000" t="s">
        <v>3258</v>
      </c>
      <c r="E426" s="3000">
        <v>501</v>
      </c>
      <c r="F426" s="3000">
        <v>66.069999999999993</v>
      </c>
      <c r="G426" s="3001" t="s">
        <v>3055</v>
      </c>
    </row>
    <row r="427" spans="1:7" ht="14.25" thickBot="1">
      <c r="A427" s="2999">
        <v>426</v>
      </c>
      <c r="B427" s="3000" t="s">
        <v>3277</v>
      </c>
      <c r="C427" s="3000" t="s">
        <v>3263</v>
      </c>
      <c r="D427" s="3000" t="s">
        <v>3258</v>
      </c>
      <c r="E427" s="3000">
        <v>507</v>
      </c>
      <c r="F427" s="3000">
        <v>94.74</v>
      </c>
      <c r="G427" s="3001" t="s">
        <v>3055</v>
      </c>
    </row>
    <row r="428" spans="1:7" ht="14.25" thickBot="1">
      <c r="A428" s="2999">
        <v>427</v>
      </c>
      <c r="B428" s="3000" t="s">
        <v>3277</v>
      </c>
      <c r="C428" s="3000" t="s">
        <v>3263</v>
      </c>
      <c r="D428" s="3000" t="s">
        <v>3259</v>
      </c>
      <c r="E428" s="3000">
        <v>501</v>
      </c>
      <c r="F428" s="3000">
        <v>94.74</v>
      </c>
      <c r="G428" s="3001" t="s">
        <v>3055</v>
      </c>
    </row>
    <row r="429" spans="1:7" ht="14.25" thickBot="1">
      <c r="A429" s="2999">
        <v>428</v>
      </c>
      <c r="B429" s="3000" t="s">
        <v>3277</v>
      </c>
      <c r="C429" s="3000" t="s">
        <v>3263</v>
      </c>
      <c r="D429" s="3000" t="s">
        <v>3259</v>
      </c>
      <c r="E429" s="3000">
        <v>502</v>
      </c>
      <c r="F429" s="3000">
        <v>69.56</v>
      </c>
      <c r="G429" s="3001" t="s">
        <v>3055</v>
      </c>
    </row>
    <row r="430" spans="1:7" ht="14.25" thickBot="1">
      <c r="A430" s="2999">
        <v>429</v>
      </c>
      <c r="B430" s="3000" t="s">
        <v>3277</v>
      </c>
      <c r="C430" s="3000" t="s">
        <v>3263</v>
      </c>
      <c r="D430" s="3000" t="s">
        <v>3259</v>
      </c>
      <c r="E430" s="3000">
        <v>507</v>
      </c>
      <c r="F430" s="3000">
        <v>66.069999999999993</v>
      </c>
      <c r="G430" s="3001" t="s">
        <v>3055</v>
      </c>
    </row>
    <row r="431" spans="1:7" ht="14.25" thickBot="1">
      <c r="A431" s="2999">
        <v>430</v>
      </c>
      <c r="B431" s="3000" t="s">
        <v>3277</v>
      </c>
      <c r="C431" s="3000" t="s">
        <v>3264</v>
      </c>
      <c r="D431" s="3000" t="s">
        <v>3258</v>
      </c>
      <c r="E431" s="3000">
        <v>601</v>
      </c>
      <c r="F431" s="3000">
        <v>66.069999999999993</v>
      </c>
      <c r="G431" s="3001" t="s">
        <v>3055</v>
      </c>
    </row>
    <row r="432" spans="1:7" ht="14.25" thickBot="1">
      <c r="A432" s="2999">
        <v>431</v>
      </c>
      <c r="B432" s="3000" t="s">
        <v>3277</v>
      </c>
      <c r="C432" s="3000" t="s">
        <v>3264</v>
      </c>
      <c r="D432" s="3000" t="s">
        <v>3258</v>
      </c>
      <c r="E432" s="3000">
        <v>602</v>
      </c>
      <c r="F432" s="3000">
        <v>69.56</v>
      </c>
      <c r="G432" s="3001" t="s">
        <v>3055</v>
      </c>
    </row>
    <row r="433" spans="1:7" ht="14.25" thickBot="1">
      <c r="A433" s="2999">
        <v>432</v>
      </c>
      <c r="B433" s="3000" t="s">
        <v>3277</v>
      </c>
      <c r="C433" s="3000" t="s">
        <v>3264</v>
      </c>
      <c r="D433" s="3000" t="s">
        <v>3258</v>
      </c>
      <c r="E433" s="3000">
        <v>603</v>
      </c>
      <c r="F433" s="3000">
        <v>69.75</v>
      </c>
      <c r="G433" s="3001" t="s">
        <v>3055</v>
      </c>
    </row>
    <row r="434" spans="1:7" ht="14.25" thickBot="1">
      <c r="A434" s="2999">
        <v>433</v>
      </c>
      <c r="B434" s="3000" t="s">
        <v>3277</v>
      </c>
      <c r="C434" s="3000" t="s">
        <v>3264</v>
      </c>
      <c r="D434" s="3000" t="s">
        <v>3258</v>
      </c>
      <c r="E434" s="3000">
        <v>605</v>
      </c>
      <c r="F434" s="3000">
        <v>69.75</v>
      </c>
      <c r="G434" s="3001" t="s">
        <v>3055</v>
      </c>
    </row>
    <row r="435" spans="1:7" ht="14.25" thickBot="1">
      <c r="A435" s="2999">
        <v>434</v>
      </c>
      <c r="B435" s="3000" t="s">
        <v>3277</v>
      </c>
      <c r="C435" s="3000" t="s">
        <v>3264</v>
      </c>
      <c r="D435" s="3000" t="s">
        <v>3258</v>
      </c>
      <c r="E435" s="3000">
        <v>606</v>
      </c>
      <c r="F435" s="3000">
        <v>69.56</v>
      </c>
      <c r="G435" s="3001" t="s">
        <v>3055</v>
      </c>
    </row>
    <row r="436" spans="1:7" ht="14.25" thickBot="1">
      <c r="A436" s="2999">
        <v>435</v>
      </c>
      <c r="B436" s="3000" t="s">
        <v>3277</v>
      </c>
      <c r="C436" s="3000" t="s">
        <v>3264</v>
      </c>
      <c r="D436" s="3000" t="s">
        <v>3259</v>
      </c>
      <c r="E436" s="3000">
        <v>602</v>
      </c>
      <c r="F436" s="3000">
        <v>69.56</v>
      </c>
      <c r="G436" s="3001" t="s">
        <v>3055</v>
      </c>
    </row>
    <row r="437" spans="1:7" ht="14.25" thickBot="1">
      <c r="A437" s="2999">
        <v>436</v>
      </c>
      <c r="B437" s="3000" t="s">
        <v>3277</v>
      </c>
      <c r="C437" s="3000" t="s">
        <v>3264</v>
      </c>
      <c r="D437" s="3000" t="s">
        <v>3259</v>
      </c>
      <c r="E437" s="3000">
        <v>603</v>
      </c>
      <c r="F437" s="3000">
        <v>69.75</v>
      </c>
      <c r="G437" s="3001" t="s">
        <v>3055</v>
      </c>
    </row>
    <row r="438" spans="1:7" ht="14.25" thickBot="1">
      <c r="A438" s="2999">
        <v>437</v>
      </c>
      <c r="B438" s="3000" t="s">
        <v>3277</v>
      </c>
      <c r="C438" s="3000" t="s">
        <v>3264</v>
      </c>
      <c r="D438" s="3000" t="s">
        <v>3259</v>
      </c>
      <c r="E438" s="3000">
        <v>605</v>
      </c>
      <c r="F438" s="3000">
        <v>69.75</v>
      </c>
      <c r="G438" s="3001" t="s">
        <v>3055</v>
      </c>
    </row>
    <row r="439" spans="1:7" ht="14.25" thickBot="1">
      <c r="A439" s="2999">
        <v>438</v>
      </c>
      <c r="B439" s="3000" t="s">
        <v>3277</v>
      </c>
      <c r="C439" s="3000" t="s">
        <v>3264</v>
      </c>
      <c r="D439" s="3000" t="s">
        <v>3259</v>
      </c>
      <c r="E439" s="3000">
        <v>606</v>
      </c>
      <c r="F439" s="3000">
        <v>69.56</v>
      </c>
      <c r="G439" s="3001" t="s">
        <v>3055</v>
      </c>
    </row>
    <row r="440" spans="1:7" ht="14.25" thickBot="1">
      <c r="A440" s="2999">
        <v>439</v>
      </c>
      <c r="B440" s="3000" t="s">
        <v>3278</v>
      </c>
      <c r="C440" s="3002" t="s">
        <v>3257</v>
      </c>
      <c r="D440" s="3000" t="s">
        <v>70</v>
      </c>
      <c r="E440" s="3002">
        <v>102</v>
      </c>
      <c r="F440" s="3000">
        <v>94.78</v>
      </c>
      <c r="G440" s="3001" t="s">
        <v>3055</v>
      </c>
    </row>
    <row r="441" spans="1:7" ht="14.25" thickBot="1">
      <c r="A441" s="2999">
        <v>440</v>
      </c>
      <c r="B441" s="3000" t="s">
        <v>3278</v>
      </c>
      <c r="C441" s="3002" t="s">
        <v>3257</v>
      </c>
      <c r="D441" s="3000" t="s">
        <v>70</v>
      </c>
      <c r="E441" s="3002">
        <v>103</v>
      </c>
      <c r="F441" s="3000">
        <v>89.72</v>
      </c>
      <c r="G441" s="3001" t="s">
        <v>3055</v>
      </c>
    </row>
    <row r="442" spans="1:7" ht="14.25" thickBot="1">
      <c r="A442" s="2999">
        <v>441</v>
      </c>
      <c r="B442" s="3000" t="s">
        <v>3278</v>
      </c>
      <c r="C442" s="3002" t="s">
        <v>3257</v>
      </c>
      <c r="D442" s="3000" t="s">
        <v>70</v>
      </c>
      <c r="E442" s="3002">
        <v>106</v>
      </c>
      <c r="F442" s="3000">
        <v>95.5</v>
      </c>
      <c r="G442" s="3001" t="s">
        <v>3055</v>
      </c>
    </row>
    <row r="443" spans="1:7" ht="14.25" thickBot="1">
      <c r="A443" s="2999">
        <v>442</v>
      </c>
      <c r="B443" s="3000" t="s">
        <v>3278</v>
      </c>
      <c r="C443" s="3002" t="s">
        <v>3260</v>
      </c>
      <c r="D443" s="3000" t="s">
        <v>70</v>
      </c>
      <c r="E443" s="3002">
        <v>201</v>
      </c>
      <c r="F443" s="3000">
        <v>69.2</v>
      </c>
      <c r="G443" s="3001" t="s">
        <v>3055</v>
      </c>
    </row>
    <row r="444" spans="1:7" ht="14.25" thickBot="1">
      <c r="A444" s="2999">
        <v>443</v>
      </c>
      <c r="B444" s="3000" t="s">
        <v>3278</v>
      </c>
      <c r="C444" s="3002" t="s">
        <v>3260</v>
      </c>
      <c r="D444" s="3000" t="s">
        <v>70</v>
      </c>
      <c r="E444" s="3002">
        <v>202</v>
      </c>
      <c r="F444" s="3000">
        <v>94.76</v>
      </c>
      <c r="G444" s="3001" t="s">
        <v>3055</v>
      </c>
    </row>
    <row r="445" spans="1:7" ht="14.25" thickBot="1">
      <c r="A445" s="2999">
        <v>444</v>
      </c>
      <c r="B445" s="3000" t="s">
        <v>3278</v>
      </c>
      <c r="C445" s="3002" t="s">
        <v>3260</v>
      </c>
      <c r="D445" s="3000" t="s">
        <v>70</v>
      </c>
      <c r="E445" s="3002">
        <v>203</v>
      </c>
      <c r="F445" s="3000">
        <v>93.64</v>
      </c>
      <c r="G445" s="3001" t="s">
        <v>3055</v>
      </c>
    </row>
    <row r="446" spans="1:7" ht="14.25" thickBot="1">
      <c r="A446" s="2999">
        <v>445</v>
      </c>
      <c r="B446" s="3000" t="s">
        <v>3278</v>
      </c>
      <c r="C446" s="3002" t="s">
        <v>3260</v>
      </c>
      <c r="D446" s="3000" t="s">
        <v>70</v>
      </c>
      <c r="E446" s="3002">
        <v>205</v>
      </c>
      <c r="F446" s="3000">
        <v>93.64</v>
      </c>
      <c r="G446" s="3001" t="s">
        <v>3055</v>
      </c>
    </row>
    <row r="447" spans="1:7" ht="14.25" thickBot="1">
      <c r="A447" s="2999">
        <v>446</v>
      </c>
      <c r="B447" s="3000" t="s">
        <v>3278</v>
      </c>
      <c r="C447" s="3002" t="s">
        <v>3260</v>
      </c>
      <c r="D447" s="3000" t="s">
        <v>70</v>
      </c>
      <c r="E447" s="3002">
        <v>206</v>
      </c>
      <c r="F447" s="3000">
        <v>95.5</v>
      </c>
      <c r="G447" s="3001" t="s">
        <v>3055</v>
      </c>
    </row>
    <row r="448" spans="1:7" ht="14.25" thickBot="1">
      <c r="A448" s="2999">
        <v>447</v>
      </c>
      <c r="B448" s="3000" t="s">
        <v>3278</v>
      </c>
      <c r="C448" s="3002" t="s">
        <v>3260</v>
      </c>
      <c r="D448" s="3000" t="s">
        <v>70</v>
      </c>
      <c r="E448" s="3002">
        <v>207</v>
      </c>
      <c r="F448" s="3000">
        <v>69.2</v>
      </c>
      <c r="G448" s="3001" t="s">
        <v>3055</v>
      </c>
    </row>
    <row r="449" spans="1:7" ht="14.25" thickBot="1">
      <c r="A449" s="2999">
        <v>448</v>
      </c>
      <c r="B449" s="3000" t="s">
        <v>3278</v>
      </c>
      <c r="C449" s="3002" t="s">
        <v>3261</v>
      </c>
      <c r="D449" s="3000" t="s">
        <v>70</v>
      </c>
      <c r="E449" s="3002">
        <v>301</v>
      </c>
      <c r="F449" s="3000">
        <v>69.2</v>
      </c>
      <c r="G449" s="3001" t="s">
        <v>3055</v>
      </c>
    </row>
    <row r="450" spans="1:7" ht="14.25" thickBot="1">
      <c r="A450" s="2999">
        <v>449</v>
      </c>
      <c r="B450" s="3000" t="s">
        <v>3278</v>
      </c>
      <c r="C450" s="3002" t="s">
        <v>3261</v>
      </c>
      <c r="D450" s="3000" t="s">
        <v>70</v>
      </c>
      <c r="E450" s="3002">
        <v>302</v>
      </c>
      <c r="F450" s="3000">
        <v>94.76</v>
      </c>
      <c r="G450" s="3001" t="s">
        <v>3055</v>
      </c>
    </row>
    <row r="451" spans="1:7" ht="14.25" thickBot="1">
      <c r="A451" s="2999">
        <v>450</v>
      </c>
      <c r="B451" s="3000" t="s">
        <v>3278</v>
      </c>
      <c r="C451" s="3002" t="s">
        <v>3261</v>
      </c>
      <c r="D451" s="3000" t="s">
        <v>70</v>
      </c>
      <c r="E451" s="3002">
        <v>303</v>
      </c>
      <c r="F451" s="3000">
        <v>93.64</v>
      </c>
      <c r="G451" s="3001" t="s">
        <v>3055</v>
      </c>
    </row>
    <row r="452" spans="1:7" ht="14.25" thickBot="1">
      <c r="A452" s="2999">
        <v>451</v>
      </c>
      <c r="B452" s="3000" t="s">
        <v>3278</v>
      </c>
      <c r="C452" s="3002" t="s">
        <v>3261</v>
      </c>
      <c r="D452" s="3000" t="s">
        <v>70</v>
      </c>
      <c r="E452" s="3002">
        <v>305</v>
      </c>
      <c r="F452" s="3000">
        <v>93.64</v>
      </c>
      <c r="G452" s="3001" t="s">
        <v>3055</v>
      </c>
    </row>
    <row r="453" spans="1:7" ht="14.25" thickBot="1">
      <c r="A453" s="2999">
        <v>452</v>
      </c>
      <c r="B453" s="3000" t="s">
        <v>3278</v>
      </c>
      <c r="C453" s="3002" t="s">
        <v>3261</v>
      </c>
      <c r="D453" s="3000" t="s">
        <v>70</v>
      </c>
      <c r="E453" s="3002">
        <v>306</v>
      </c>
      <c r="F453" s="3000">
        <v>95.5</v>
      </c>
      <c r="G453" s="3001" t="s">
        <v>3055</v>
      </c>
    </row>
    <row r="454" spans="1:7" ht="14.25" thickBot="1">
      <c r="A454" s="2999">
        <v>453</v>
      </c>
      <c r="B454" s="3000" t="s">
        <v>3278</v>
      </c>
      <c r="C454" s="3002" t="s">
        <v>3261</v>
      </c>
      <c r="D454" s="3000" t="s">
        <v>70</v>
      </c>
      <c r="E454" s="3002">
        <v>307</v>
      </c>
      <c r="F454" s="3000">
        <v>69.2</v>
      </c>
      <c r="G454" s="3001" t="s">
        <v>3055</v>
      </c>
    </row>
    <row r="455" spans="1:7" ht="14.25" thickBot="1">
      <c r="A455" s="2999">
        <v>454</v>
      </c>
      <c r="B455" s="3000" t="s">
        <v>3278</v>
      </c>
      <c r="C455" s="3002" t="s">
        <v>3262</v>
      </c>
      <c r="D455" s="3000" t="s">
        <v>70</v>
      </c>
      <c r="E455" s="3002" t="s">
        <v>3145</v>
      </c>
      <c r="F455" s="3000">
        <v>69.2</v>
      </c>
      <c r="G455" s="3001" t="s">
        <v>3055</v>
      </c>
    </row>
    <row r="456" spans="1:7" ht="14.25" thickBot="1">
      <c r="A456" s="2999">
        <v>455</v>
      </c>
      <c r="B456" s="3000" t="s">
        <v>3278</v>
      </c>
      <c r="C456" s="3002" t="s">
        <v>3262</v>
      </c>
      <c r="D456" s="3000" t="s">
        <v>70</v>
      </c>
      <c r="E456" s="3002" t="s">
        <v>3146</v>
      </c>
      <c r="F456" s="3000">
        <v>94.76</v>
      </c>
      <c r="G456" s="3001" t="s">
        <v>3055</v>
      </c>
    </row>
    <row r="457" spans="1:7" ht="14.25" thickBot="1">
      <c r="A457" s="2999">
        <v>456</v>
      </c>
      <c r="B457" s="3000" t="s">
        <v>3278</v>
      </c>
      <c r="C457" s="3002" t="s">
        <v>3262</v>
      </c>
      <c r="D457" s="3000" t="s">
        <v>70</v>
      </c>
      <c r="E457" s="3002" t="s">
        <v>3147</v>
      </c>
      <c r="F457" s="3000">
        <v>93.64</v>
      </c>
      <c r="G457" s="3001" t="s">
        <v>3055</v>
      </c>
    </row>
    <row r="458" spans="1:7" ht="14.25" thickBot="1">
      <c r="A458" s="2999">
        <v>457</v>
      </c>
      <c r="B458" s="3000" t="s">
        <v>3278</v>
      </c>
      <c r="C458" s="3002" t="s">
        <v>3262</v>
      </c>
      <c r="D458" s="3000" t="s">
        <v>70</v>
      </c>
      <c r="E458" s="3002" t="s">
        <v>3148</v>
      </c>
      <c r="F458" s="3000">
        <v>93.64</v>
      </c>
      <c r="G458" s="3001" t="s">
        <v>3055</v>
      </c>
    </row>
    <row r="459" spans="1:7" ht="14.25" thickBot="1">
      <c r="A459" s="2999">
        <v>458</v>
      </c>
      <c r="B459" s="3000" t="s">
        <v>3278</v>
      </c>
      <c r="C459" s="3002" t="s">
        <v>3262</v>
      </c>
      <c r="D459" s="3000" t="s">
        <v>70</v>
      </c>
      <c r="E459" s="3002" t="s">
        <v>3149</v>
      </c>
      <c r="F459" s="3000">
        <v>95.5</v>
      </c>
      <c r="G459" s="3001" t="s">
        <v>3055</v>
      </c>
    </row>
    <row r="460" spans="1:7" ht="14.25" thickBot="1">
      <c r="A460" s="2999">
        <v>459</v>
      </c>
      <c r="B460" s="3000" t="s">
        <v>3278</v>
      </c>
      <c r="C460" s="3002" t="s">
        <v>3262</v>
      </c>
      <c r="D460" s="3000" t="s">
        <v>70</v>
      </c>
      <c r="E460" s="3002" t="s">
        <v>3150</v>
      </c>
      <c r="F460" s="3000">
        <v>69.2</v>
      </c>
      <c r="G460" s="3001" t="s">
        <v>3055</v>
      </c>
    </row>
    <row r="461" spans="1:7" ht="14.25" thickBot="1">
      <c r="A461" s="2999">
        <v>460</v>
      </c>
      <c r="B461" s="3000" t="s">
        <v>3278</v>
      </c>
      <c r="C461" s="3002" t="s">
        <v>3263</v>
      </c>
      <c r="D461" s="3000" t="s">
        <v>70</v>
      </c>
      <c r="E461" s="3002">
        <v>501</v>
      </c>
      <c r="F461" s="3000">
        <v>69.2</v>
      </c>
      <c r="G461" s="3001" t="s">
        <v>3055</v>
      </c>
    </row>
    <row r="462" spans="1:7" ht="14.25" thickBot="1">
      <c r="A462" s="2999">
        <v>461</v>
      </c>
      <c r="B462" s="3000" t="s">
        <v>3278</v>
      </c>
      <c r="C462" s="3002" t="s">
        <v>3263</v>
      </c>
      <c r="D462" s="3000" t="s">
        <v>70</v>
      </c>
      <c r="E462" s="3002">
        <v>502</v>
      </c>
      <c r="F462" s="3000">
        <v>94.76</v>
      </c>
      <c r="G462" s="3001" t="s">
        <v>3055</v>
      </c>
    </row>
    <row r="463" spans="1:7" ht="14.25" thickBot="1">
      <c r="A463" s="2999">
        <v>462</v>
      </c>
      <c r="B463" s="3000" t="s">
        <v>3278</v>
      </c>
      <c r="C463" s="3002" t="s">
        <v>3263</v>
      </c>
      <c r="D463" s="3000" t="s">
        <v>70</v>
      </c>
      <c r="E463" s="3002">
        <v>503</v>
      </c>
      <c r="F463" s="3000">
        <v>93.64</v>
      </c>
      <c r="G463" s="3001" t="s">
        <v>3055</v>
      </c>
    </row>
    <row r="464" spans="1:7" ht="14.25" thickBot="1">
      <c r="A464" s="2999">
        <v>463</v>
      </c>
      <c r="B464" s="3000" t="s">
        <v>3278</v>
      </c>
      <c r="C464" s="3002" t="s">
        <v>3263</v>
      </c>
      <c r="D464" s="3000" t="s">
        <v>70</v>
      </c>
      <c r="E464" s="3002">
        <v>505</v>
      </c>
      <c r="F464" s="3000">
        <v>93.64</v>
      </c>
      <c r="G464" s="3001" t="s">
        <v>3055</v>
      </c>
    </row>
    <row r="465" spans="1:7" ht="14.25" thickBot="1">
      <c r="A465" s="2999">
        <v>464</v>
      </c>
      <c r="B465" s="3000" t="s">
        <v>3278</v>
      </c>
      <c r="C465" s="3002" t="s">
        <v>3263</v>
      </c>
      <c r="D465" s="3000" t="s">
        <v>70</v>
      </c>
      <c r="E465" s="3002">
        <v>506</v>
      </c>
      <c r="F465" s="3000">
        <v>95.5</v>
      </c>
      <c r="G465" s="3001" t="s">
        <v>3055</v>
      </c>
    </row>
    <row r="466" spans="1:7" ht="14.25" thickBot="1">
      <c r="A466" s="2999">
        <v>465</v>
      </c>
      <c r="B466" s="3000" t="s">
        <v>3278</v>
      </c>
      <c r="C466" s="3002" t="s">
        <v>3263</v>
      </c>
      <c r="D466" s="3000" t="s">
        <v>70</v>
      </c>
      <c r="E466" s="3002">
        <v>507</v>
      </c>
      <c r="F466" s="3000">
        <v>69.2</v>
      </c>
      <c r="G466" s="3001" t="s">
        <v>3055</v>
      </c>
    </row>
    <row r="467" spans="1:7" ht="14.25" thickBot="1">
      <c r="A467" s="2999">
        <v>466</v>
      </c>
      <c r="B467" s="3000" t="s">
        <v>3278</v>
      </c>
      <c r="C467" s="3002" t="s">
        <v>3264</v>
      </c>
      <c r="D467" s="3000" t="s">
        <v>70</v>
      </c>
      <c r="E467" s="3002">
        <v>601</v>
      </c>
      <c r="F467" s="3000">
        <v>69.2</v>
      </c>
      <c r="G467" s="3001" t="s">
        <v>3055</v>
      </c>
    </row>
    <row r="468" spans="1:7" ht="14.25" thickBot="1">
      <c r="A468" s="2999">
        <v>467</v>
      </c>
      <c r="B468" s="3000" t="s">
        <v>3278</v>
      </c>
      <c r="C468" s="3002" t="s">
        <v>3264</v>
      </c>
      <c r="D468" s="3000" t="s">
        <v>70</v>
      </c>
      <c r="E468" s="3002">
        <v>602</v>
      </c>
      <c r="F468" s="3000">
        <v>94.76</v>
      </c>
      <c r="G468" s="3001" t="s">
        <v>3055</v>
      </c>
    </row>
    <row r="469" spans="1:7" ht="14.25" thickBot="1">
      <c r="A469" s="2999">
        <v>468</v>
      </c>
      <c r="B469" s="3000" t="s">
        <v>3278</v>
      </c>
      <c r="C469" s="3002" t="s">
        <v>3264</v>
      </c>
      <c r="D469" s="3000" t="s">
        <v>70</v>
      </c>
      <c r="E469" s="3002">
        <v>603</v>
      </c>
      <c r="F469" s="3000">
        <v>93.64</v>
      </c>
      <c r="G469" s="3001" t="s">
        <v>3055</v>
      </c>
    </row>
    <row r="470" spans="1:7" ht="14.25" thickBot="1">
      <c r="A470" s="2999">
        <v>469</v>
      </c>
      <c r="B470" s="3000" t="s">
        <v>3278</v>
      </c>
      <c r="C470" s="3002" t="s">
        <v>3264</v>
      </c>
      <c r="D470" s="3000" t="s">
        <v>70</v>
      </c>
      <c r="E470" s="3002">
        <v>605</v>
      </c>
      <c r="F470" s="3000">
        <v>93.64</v>
      </c>
      <c r="G470" s="3001" t="s">
        <v>3055</v>
      </c>
    </row>
    <row r="471" spans="1:7" ht="14.25" thickBot="1">
      <c r="A471" s="2999">
        <v>470</v>
      </c>
      <c r="B471" s="3000" t="s">
        <v>3278</v>
      </c>
      <c r="C471" s="3002" t="s">
        <v>3264</v>
      </c>
      <c r="D471" s="3000" t="s">
        <v>70</v>
      </c>
      <c r="E471" s="3002">
        <v>606</v>
      </c>
      <c r="F471" s="3000">
        <v>95.5</v>
      </c>
      <c r="G471" s="3001" t="s">
        <v>3055</v>
      </c>
    </row>
    <row r="472" spans="1:7" ht="14.25" thickBot="1">
      <c r="A472" s="2999">
        <v>471</v>
      </c>
      <c r="B472" s="3000" t="s">
        <v>3278</v>
      </c>
      <c r="C472" s="3002" t="s">
        <v>3264</v>
      </c>
      <c r="D472" s="3000" t="s">
        <v>70</v>
      </c>
      <c r="E472" s="3002">
        <v>607</v>
      </c>
      <c r="F472" s="3000">
        <v>69.2</v>
      </c>
      <c r="G472" s="3001" t="s">
        <v>3055</v>
      </c>
    </row>
    <row r="473" spans="1:7" ht="14.25" thickBot="1">
      <c r="A473" s="2999">
        <v>472</v>
      </c>
      <c r="B473" s="3000" t="s">
        <v>3279</v>
      </c>
      <c r="C473" s="3002" t="s">
        <v>3257</v>
      </c>
      <c r="D473" s="3000" t="s">
        <v>70</v>
      </c>
      <c r="E473" s="3002">
        <v>102</v>
      </c>
      <c r="F473" s="3000">
        <v>94.84</v>
      </c>
      <c r="G473" s="3001" t="s">
        <v>3055</v>
      </c>
    </row>
    <row r="474" spans="1:7" ht="14.25" thickBot="1">
      <c r="A474" s="2999">
        <v>473</v>
      </c>
      <c r="B474" s="3000" t="s">
        <v>3279</v>
      </c>
      <c r="C474" s="3002" t="s">
        <v>3257</v>
      </c>
      <c r="D474" s="3000" t="s">
        <v>70</v>
      </c>
      <c r="E474" s="3002">
        <v>103</v>
      </c>
      <c r="F474" s="3000">
        <v>89.78</v>
      </c>
      <c r="G474" s="3001" t="s">
        <v>3055</v>
      </c>
    </row>
    <row r="475" spans="1:7" ht="14.25" thickBot="1">
      <c r="A475" s="2999">
        <v>474</v>
      </c>
      <c r="B475" s="3000" t="s">
        <v>3279</v>
      </c>
      <c r="C475" s="3002" t="s">
        <v>3257</v>
      </c>
      <c r="D475" s="3000" t="s">
        <v>70</v>
      </c>
      <c r="E475" s="3002">
        <v>106</v>
      </c>
      <c r="F475" s="3000">
        <v>95.56</v>
      </c>
      <c r="G475" s="3001" t="s">
        <v>3055</v>
      </c>
    </row>
    <row r="476" spans="1:7" ht="14.25" thickBot="1">
      <c r="A476" s="2999">
        <v>475</v>
      </c>
      <c r="B476" s="3000" t="s">
        <v>3279</v>
      </c>
      <c r="C476" s="3002" t="s">
        <v>3260</v>
      </c>
      <c r="D476" s="3000" t="s">
        <v>70</v>
      </c>
      <c r="E476" s="3002">
        <v>201</v>
      </c>
      <c r="F476" s="3000">
        <v>69.25</v>
      </c>
      <c r="G476" s="3001" t="s">
        <v>3055</v>
      </c>
    </row>
    <row r="477" spans="1:7" ht="14.25" thickBot="1">
      <c r="A477" s="2999">
        <v>476</v>
      </c>
      <c r="B477" s="3000" t="s">
        <v>3279</v>
      </c>
      <c r="C477" s="3002" t="s">
        <v>3260</v>
      </c>
      <c r="D477" s="3000" t="s">
        <v>70</v>
      </c>
      <c r="E477" s="3002">
        <v>202</v>
      </c>
      <c r="F477" s="3000">
        <v>94.83</v>
      </c>
      <c r="G477" s="3001" t="s">
        <v>3055</v>
      </c>
    </row>
    <row r="478" spans="1:7" ht="14.25" thickBot="1">
      <c r="A478" s="2999">
        <v>477</v>
      </c>
      <c r="B478" s="3000" t="s">
        <v>3279</v>
      </c>
      <c r="C478" s="3002" t="s">
        <v>3260</v>
      </c>
      <c r="D478" s="3000" t="s">
        <v>70</v>
      </c>
      <c r="E478" s="3002">
        <v>203</v>
      </c>
      <c r="F478" s="3000">
        <v>93.7</v>
      </c>
      <c r="G478" s="3001" t="s">
        <v>3055</v>
      </c>
    </row>
    <row r="479" spans="1:7" ht="14.25" thickBot="1">
      <c r="A479" s="2999">
        <v>478</v>
      </c>
      <c r="B479" s="3000" t="s">
        <v>3279</v>
      </c>
      <c r="C479" s="3002" t="s">
        <v>3260</v>
      </c>
      <c r="D479" s="3000" t="s">
        <v>70</v>
      </c>
      <c r="E479" s="3002">
        <v>205</v>
      </c>
      <c r="F479" s="3000">
        <v>93.7</v>
      </c>
      <c r="G479" s="3001" t="s">
        <v>3055</v>
      </c>
    </row>
    <row r="480" spans="1:7" ht="14.25" thickBot="1">
      <c r="A480" s="2999">
        <v>479</v>
      </c>
      <c r="B480" s="3000" t="s">
        <v>3279</v>
      </c>
      <c r="C480" s="3002" t="s">
        <v>3260</v>
      </c>
      <c r="D480" s="3000" t="s">
        <v>70</v>
      </c>
      <c r="E480" s="3002">
        <v>206</v>
      </c>
      <c r="F480" s="3000">
        <v>95.56</v>
      </c>
      <c r="G480" s="3001" t="s">
        <v>3055</v>
      </c>
    </row>
    <row r="481" spans="1:7" ht="14.25" thickBot="1">
      <c r="A481" s="2999">
        <v>480</v>
      </c>
      <c r="B481" s="3000" t="s">
        <v>3279</v>
      </c>
      <c r="C481" s="3002" t="s">
        <v>3260</v>
      </c>
      <c r="D481" s="3000" t="s">
        <v>70</v>
      </c>
      <c r="E481" s="3002">
        <v>207</v>
      </c>
      <c r="F481" s="3000">
        <v>69.25</v>
      </c>
      <c r="G481" s="3001" t="s">
        <v>3055</v>
      </c>
    </row>
    <row r="482" spans="1:7" ht="14.25" thickBot="1">
      <c r="A482" s="2999">
        <v>481</v>
      </c>
      <c r="B482" s="3000" t="s">
        <v>3279</v>
      </c>
      <c r="C482" s="3002" t="s">
        <v>3261</v>
      </c>
      <c r="D482" s="3000" t="s">
        <v>70</v>
      </c>
      <c r="E482" s="3002">
        <v>301</v>
      </c>
      <c r="F482" s="3000">
        <v>69.25</v>
      </c>
      <c r="G482" s="3001" t="s">
        <v>3055</v>
      </c>
    </row>
    <row r="483" spans="1:7" ht="14.25" thickBot="1">
      <c r="A483" s="2999">
        <v>482</v>
      </c>
      <c r="B483" s="3000" t="s">
        <v>3279</v>
      </c>
      <c r="C483" s="3002" t="s">
        <v>3261</v>
      </c>
      <c r="D483" s="3000" t="s">
        <v>70</v>
      </c>
      <c r="E483" s="3002">
        <v>302</v>
      </c>
      <c r="F483" s="3000">
        <v>94.83</v>
      </c>
      <c r="G483" s="3001" t="s">
        <v>3055</v>
      </c>
    </row>
    <row r="484" spans="1:7" ht="14.25" thickBot="1">
      <c r="A484" s="2999">
        <v>483</v>
      </c>
      <c r="B484" s="3000" t="s">
        <v>3279</v>
      </c>
      <c r="C484" s="3002" t="s">
        <v>3261</v>
      </c>
      <c r="D484" s="3000" t="s">
        <v>70</v>
      </c>
      <c r="E484" s="3002">
        <v>303</v>
      </c>
      <c r="F484" s="3000">
        <v>93.7</v>
      </c>
      <c r="G484" s="3001" t="s">
        <v>3055</v>
      </c>
    </row>
    <row r="485" spans="1:7" ht="14.25" thickBot="1">
      <c r="A485" s="2999">
        <v>484</v>
      </c>
      <c r="B485" s="3000" t="s">
        <v>3279</v>
      </c>
      <c r="C485" s="3002" t="s">
        <v>3261</v>
      </c>
      <c r="D485" s="3000" t="s">
        <v>70</v>
      </c>
      <c r="E485" s="3002">
        <v>305</v>
      </c>
      <c r="F485" s="3000">
        <v>93.7</v>
      </c>
      <c r="G485" s="3001" t="s">
        <v>3055</v>
      </c>
    </row>
    <row r="486" spans="1:7" ht="14.25" thickBot="1">
      <c r="A486" s="2999">
        <v>485</v>
      </c>
      <c r="B486" s="3000" t="s">
        <v>3279</v>
      </c>
      <c r="C486" s="3002" t="s">
        <v>3261</v>
      </c>
      <c r="D486" s="3000" t="s">
        <v>70</v>
      </c>
      <c r="E486" s="3002">
        <v>306</v>
      </c>
      <c r="F486" s="3000">
        <v>95.56</v>
      </c>
      <c r="G486" s="3001" t="s">
        <v>3055</v>
      </c>
    </row>
    <row r="487" spans="1:7" ht="14.25" thickBot="1">
      <c r="A487" s="2999">
        <v>486</v>
      </c>
      <c r="B487" s="3000" t="s">
        <v>3279</v>
      </c>
      <c r="C487" s="3002" t="s">
        <v>3261</v>
      </c>
      <c r="D487" s="3000" t="s">
        <v>70</v>
      </c>
      <c r="E487" s="3002">
        <v>307</v>
      </c>
      <c r="F487" s="3000">
        <v>69.25</v>
      </c>
      <c r="G487" s="3001" t="s">
        <v>3055</v>
      </c>
    </row>
    <row r="488" spans="1:7" ht="14.25" thickBot="1">
      <c r="A488" s="2999">
        <v>487</v>
      </c>
      <c r="B488" s="3000" t="s">
        <v>3279</v>
      </c>
      <c r="C488" s="3002" t="s">
        <v>3262</v>
      </c>
      <c r="D488" s="3000" t="s">
        <v>70</v>
      </c>
      <c r="E488" s="3002" t="s">
        <v>3145</v>
      </c>
      <c r="F488" s="3000">
        <v>69.25</v>
      </c>
      <c r="G488" s="3001" t="s">
        <v>3055</v>
      </c>
    </row>
    <row r="489" spans="1:7" ht="14.25" thickBot="1">
      <c r="A489" s="2999">
        <v>488</v>
      </c>
      <c r="B489" s="3000" t="s">
        <v>3279</v>
      </c>
      <c r="C489" s="3002" t="s">
        <v>3262</v>
      </c>
      <c r="D489" s="3000" t="s">
        <v>70</v>
      </c>
      <c r="E489" s="3002" t="s">
        <v>3146</v>
      </c>
      <c r="F489" s="3000">
        <v>94.83</v>
      </c>
      <c r="G489" s="3001" t="s">
        <v>3055</v>
      </c>
    </row>
    <row r="490" spans="1:7" ht="14.25" thickBot="1">
      <c r="A490" s="2999">
        <v>489</v>
      </c>
      <c r="B490" s="3000" t="s">
        <v>3279</v>
      </c>
      <c r="C490" s="3002" t="s">
        <v>3262</v>
      </c>
      <c r="D490" s="3000" t="s">
        <v>70</v>
      </c>
      <c r="E490" s="3002" t="s">
        <v>3147</v>
      </c>
      <c r="F490" s="3000">
        <v>93.7</v>
      </c>
      <c r="G490" s="3001" t="s">
        <v>3055</v>
      </c>
    </row>
    <row r="491" spans="1:7" ht="14.25" thickBot="1">
      <c r="A491" s="2999">
        <v>490</v>
      </c>
      <c r="B491" s="3000" t="s">
        <v>3279</v>
      </c>
      <c r="C491" s="3002" t="s">
        <v>3262</v>
      </c>
      <c r="D491" s="3000" t="s">
        <v>70</v>
      </c>
      <c r="E491" s="3002" t="s">
        <v>3148</v>
      </c>
      <c r="F491" s="3000">
        <v>93.7</v>
      </c>
      <c r="G491" s="3001" t="s">
        <v>3055</v>
      </c>
    </row>
    <row r="492" spans="1:7" ht="14.25" thickBot="1">
      <c r="A492" s="2999">
        <v>491</v>
      </c>
      <c r="B492" s="3000" t="s">
        <v>3279</v>
      </c>
      <c r="C492" s="3002" t="s">
        <v>3262</v>
      </c>
      <c r="D492" s="3000" t="s">
        <v>70</v>
      </c>
      <c r="E492" s="3002" t="s">
        <v>3149</v>
      </c>
      <c r="F492" s="3000">
        <v>95.56</v>
      </c>
      <c r="G492" s="3001" t="s">
        <v>3055</v>
      </c>
    </row>
    <row r="493" spans="1:7" ht="14.25" thickBot="1">
      <c r="A493" s="2999">
        <v>492</v>
      </c>
      <c r="B493" s="3000" t="s">
        <v>3279</v>
      </c>
      <c r="C493" s="3002" t="s">
        <v>3262</v>
      </c>
      <c r="D493" s="3000" t="s">
        <v>70</v>
      </c>
      <c r="E493" s="3002" t="s">
        <v>3150</v>
      </c>
      <c r="F493" s="3000">
        <v>69.25</v>
      </c>
      <c r="G493" s="3001" t="s">
        <v>3055</v>
      </c>
    </row>
    <row r="494" spans="1:7" ht="14.25" thickBot="1">
      <c r="A494" s="2999">
        <v>493</v>
      </c>
      <c r="B494" s="3000" t="s">
        <v>3279</v>
      </c>
      <c r="C494" s="3002" t="s">
        <v>3263</v>
      </c>
      <c r="D494" s="3000" t="s">
        <v>70</v>
      </c>
      <c r="E494" s="3002">
        <v>501</v>
      </c>
      <c r="F494" s="3000">
        <v>69.25</v>
      </c>
      <c r="G494" s="3001" t="s">
        <v>3055</v>
      </c>
    </row>
    <row r="495" spans="1:7" ht="14.25" thickBot="1">
      <c r="A495" s="2999">
        <v>494</v>
      </c>
      <c r="B495" s="3000" t="s">
        <v>3279</v>
      </c>
      <c r="C495" s="3002" t="s">
        <v>3263</v>
      </c>
      <c r="D495" s="3000" t="s">
        <v>70</v>
      </c>
      <c r="E495" s="3002">
        <v>502</v>
      </c>
      <c r="F495" s="3000">
        <v>94.83</v>
      </c>
      <c r="G495" s="3001" t="s">
        <v>3055</v>
      </c>
    </row>
    <row r="496" spans="1:7" ht="14.25" thickBot="1">
      <c r="A496" s="2999">
        <v>495</v>
      </c>
      <c r="B496" s="3000" t="s">
        <v>3279</v>
      </c>
      <c r="C496" s="3002" t="s">
        <v>3263</v>
      </c>
      <c r="D496" s="3000" t="s">
        <v>70</v>
      </c>
      <c r="E496" s="3002">
        <v>503</v>
      </c>
      <c r="F496" s="3000">
        <v>93.7</v>
      </c>
      <c r="G496" s="3001" t="s">
        <v>3055</v>
      </c>
    </row>
    <row r="497" spans="1:7" ht="14.25" thickBot="1">
      <c r="A497" s="2999">
        <v>496</v>
      </c>
      <c r="B497" s="3000" t="s">
        <v>3279</v>
      </c>
      <c r="C497" s="3002" t="s">
        <v>3263</v>
      </c>
      <c r="D497" s="3000" t="s">
        <v>70</v>
      </c>
      <c r="E497" s="3002">
        <v>505</v>
      </c>
      <c r="F497" s="3000">
        <v>93.7</v>
      </c>
      <c r="G497" s="3001" t="s">
        <v>3055</v>
      </c>
    </row>
    <row r="498" spans="1:7" ht="14.25" thickBot="1">
      <c r="A498" s="2999">
        <v>497</v>
      </c>
      <c r="B498" s="3000" t="s">
        <v>3279</v>
      </c>
      <c r="C498" s="3002" t="s">
        <v>3263</v>
      </c>
      <c r="D498" s="3000" t="s">
        <v>70</v>
      </c>
      <c r="E498" s="3002">
        <v>506</v>
      </c>
      <c r="F498" s="3000">
        <v>95.56</v>
      </c>
      <c r="G498" s="3001" t="s">
        <v>3055</v>
      </c>
    </row>
    <row r="499" spans="1:7" ht="14.25" thickBot="1">
      <c r="A499" s="2999">
        <v>498</v>
      </c>
      <c r="B499" s="3000" t="s">
        <v>3279</v>
      </c>
      <c r="C499" s="3002" t="s">
        <v>3263</v>
      </c>
      <c r="D499" s="3000" t="s">
        <v>70</v>
      </c>
      <c r="E499" s="3002">
        <v>507</v>
      </c>
      <c r="F499" s="3000">
        <v>69.25</v>
      </c>
      <c r="G499" s="3001" t="s">
        <v>3055</v>
      </c>
    </row>
    <row r="500" spans="1:7" ht="14.25" thickBot="1">
      <c r="A500" s="2999">
        <v>499</v>
      </c>
      <c r="B500" s="3000" t="s">
        <v>3279</v>
      </c>
      <c r="C500" s="3002" t="s">
        <v>3264</v>
      </c>
      <c r="D500" s="3000" t="s">
        <v>70</v>
      </c>
      <c r="E500" s="3002">
        <v>601</v>
      </c>
      <c r="F500" s="3000">
        <v>69.25</v>
      </c>
      <c r="G500" s="3001" t="s">
        <v>3055</v>
      </c>
    </row>
    <row r="501" spans="1:7" ht="14.25" thickBot="1">
      <c r="A501" s="2999">
        <v>500</v>
      </c>
      <c r="B501" s="3000" t="s">
        <v>3279</v>
      </c>
      <c r="C501" s="3002" t="s">
        <v>3264</v>
      </c>
      <c r="D501" s="3000" t="s">
        <v>70</v>
      </c>
      <c r="E501" s="3002">
        <v>602</v>
      </c>
      <c r="F501" s="3000">
        <v>94.83</v>
      </c>
      <c r="G501" s="3001" t="s">
        <v>3055</v>
      </c>
    </row>
    <row r="502" spans="1:7" ht="14.25" thickBot="1">
      <c r="A502" s="2999">
        <v>501</v>
      </c>
      <c r="B502" s="3000" t="s">
        <v>3279</v>
      </c>
      <c r="C502" s="3002" t="s">
        <v>3264</v>
      </c>
      <c r="D502" s="3000" t="s">
        <v>70</v>
      </c>
      <c r="E502" s="3002">
        <v>603</v>
      </c>
      <c r="F502" s="3000">
        <v>93.7</v>
      </c>
      <c r="G502" s="3001" t="s">
        <v>3055</v>
      </c>
    </row>
    <row r="503" spans="1:7" ht="14.25" thickBot="1">
      <c r="A503" s="2999">
        <v>502</v>
      </c>
      <c r="B503" s="3000" t="s">
        <v>3279</v>
      </c>
      <c r="C503" s="3002" t="s">
        <v>3264</v>
      </c>
      <c r="D503" s="3000" t="s">
        <v>70</v>
      </c>
      <c r="E503" s="3002">
        <v>605</v>
      </c>
      <c r="F503" s="3000">
        <v>93.7</v>
      </c>
      <c r="G503" s="3001" t="s">
        <v>3055</v>
      </c>
    </row>
    <row r="504" spans="1:7" ht="14.25" thickBot="1">
      <c r="A504" s="2999">
        <v>503</v>
      </c>
      <c r="B504" s="3000" t="s">
        <v>3279</v>
      </c>
      <c r="C504" s="3002" t="s">
        <v>3264</v>
      </c>
      <c r="D504" s="3000" t="s">
        <v>70</v>
      </c>
      <c r="E504" s="3002">
        <v>606</v>
      </c>
      <c r="F504" s="3000">
        <v>95.56</v>
      </c>
      <c r="G504" s="3001" t="s">
        <v>3055</v>
      </c>
    </row>
    <row r="505" spans="1:7" ht="14.25" thickBot="1">
      <c r="A505" s="2999">
        <v>504</v>
      </c>
      <c r="B505" s="3000" t="s">
        <v>3279</v>
      </c>
      <c r="C505" s="3002" t="s">
        <v>3264</v>
      </c>
      <c r="D505" s="3000" t="s">
        <v>70</v>
      </c>
      <c r="E505" s="3002">
        <v>607</v>
      </c>
      <c r="F505" s="3000">
        <v>69.25</v>
      </c>
      <c r="G505" s="3001" t="s">
        <v>3055</v>
      </c>
    </row>
    <row r="506" spans="1:7" ht="14.25" thickBot="1">
      <c r="A506" s="2999">
        <v>505</v>
      </c>
      <c r="B506" s="3000" t="s">
        <v>3280</v>
      </c>
      <c r="C506" s="3000" t="s">
        <v>3257</v>
      </c>
      <c r="D506" s="3000" t="s">
        <v>70</v>
      </c>
      <c r="E506" s="3000">
        <v>102</v>
      </c>
      <c r="F506" s="3000">
        <v>69.5</v>
      </c>
      <c r="G506" s="3001" t="s">
        <v>3055</v>
      </c>
    </row>
    <row r="507" spans="1:7" ht="14.25" thickBot="1">
      <c r="A507" s="2999">
        <v>506</v>
      </c>
      <c r="B507" s="3000" t="s">
        <v>3280</v>
      </c>
      <c r="C507" s="3000" t="s">
        <v>3257</v>
      </c>
      <c r="D507" s="3000" t="s">
        <v>70</v>
      </c>
      <c r="E507" s="3000">
        <v>105</v>
      </c>
      <c r="F507" s="3000">
        <v>69.55</v>
      </c>
      <c r="G507" s="3001" t="s">
        <v>3055</v>
      </c>
    </row>
    <row r="508" spans="1:7" ht="14.25" thickBot="1">
      <c r="A508" s="2999">
        <v>507</v>
      </c>
      <c r="B508" s="3000" t="s">
        <v>3280</v>
      </c>
      <c r="C508" s="3000" t="s">
        <v>3260</v>
      </c>
      <c r="D508" s="3000" t="s">
        <v>70</v>
      </c>
      <c r="E508" s="3000">
        <v>201</v>
      </c>
      <c r="F508" s="3000">
        <v>68.23</v>
      </c>
      <c r="G508" s="3001" t="s">
        <v>3055</v>
      </c>
    </row>
    <row r="509" spans="1:7" ht="14.25" thickBot="1">
      <c r="A509" s="2999">
        <v>508</v>
      </c>
      <c r="B509" s="3000" t="s">
        <v>3280</v>
      </c>
      <c r="C509" s="3000" t="s">
        <v>3260</v>
      </c>
      <c r="D509" s="3000" t="s">
        <v>70</v>
      </c>
      <c r="E509" s="3000">
        <v>202</v>
      </c>
      <c r="F509" s="3000">
        <v>69.5</v>
      </c>
      <c r="G509" s="3001" t="s">
        <v>3055</v>
      </c>
    </row>
    <row r="510" spans="1:7" ht="14.25" thickBot="1">
      <c r="A510" s="2999">
        <v>509</v>
      </c>
      <c r="B510" s="3000" t="s">
        <v>3280</v>
      </c>
      <c r="C510" s="3000" t="s">
        <v>3260</v>
      </c>
      <c r="D510" s="3000" t="s">
        <v>70</v>
      </c>
      <c r="E510" s="3000">
        <v>203</v>
      </c>
      <c r="F510" s="3000">
        <v>69.55</v>
      </c>
      <c r="G510" s="3001" t="s">
        <v>3055</v>
      </c>
    </row>
    <row r="511" spans="1:7" ht="14.25" thickBot="1">
      <c r="A511" s="2999">
        <v>510</v>
      </c>
      <c r="B511" s="3000" t="s">
        <v>3280</v>
      </c>
      <c r="C511" s="3000" t="s">
        <v>3260</v>
      </c>
      <c r="D511" s="3000" t="s">
        <v>70</v>
      </c>
      <c r="E511" s="3000">
        <v>205</v>
      </c>
      <c r="F511" s="3000">
        <v>69.55</v>
      </c>
      <c r="G511" s="3001" t="s">
        <v>3055</v>
      </c>
    </row>
    <row r="512" spans="1:7" ht="14.25" thickBot="1">
      <c r="A512" s="2999">
        <v>511</v>
      </c>
      <c r="B512" s="3000" t="s">
        <v>3280</v>
      </c>
      <c r="C512" s="3000" t="s">
        <v>3260</v>
      </c>
      <c r="D512" s="3000" t="s">
        <v>70</v>
      </c>
      <c r="E512" s="3000">
        <v>206</v>
      </c>
      <c r="F512" s="3000">
        <v>69.739999999999995</v>
      </c>
      <c r="G512" s="3001" t="s">
        <v>3055</v>
      </c>
    </row>
    <row r="513" spans="1:7" ht="14.25" thickBot="1">
      <c r="A513" s="2999">
        <v>512</v>
      </c>
      <c r="B513" s="3000" t="s">
        <v>3280</v>
      </c>
      <c r="C513" s="3000" t="s">
        <v>3261</v>
      </c>
      <c r="D513" s="3000" t="s">
        <v>70</v>
      </c>
      <c r="E513" s="3000">
        <v>302</v>
      </c>
      <c r="F513" s="3000">
        <v>69.5</v>
      </c>
      <c r="G513" s="3001" t="s">
        <v>3055</v>
      </c>
    </row>
    <row r="514" spans="1:7" ht="14.25" thickBot="1">
      <c r="A514" s="2999">
        <v>513</v>
      </c>
      <c r="B514" s="3000" t="s">
        <v>3280</v>
      </c>
      <c r="C514" s="3000" t="s">
        <v>3261</v>
      </c>
      <c r="D514" s="3000" t="s">
        <v>70</v>
      </c>
      <c r="E514" s="3000">
        <v>303</v>
      </c>
      <c r="F514" s="3000">
        <v>69.55</v>
      </c>
      <c r="G514" s="3001" t="s">
        <v>3055</v>
      </c>
    </row>
    <row r="515" spans="1:7" ht="14.25" thickBot="1">
      <c r="A515" s="2999">
        <v>514</v>
      </c>
      <c r="B515" s="3000" t="s">
        <v>3280</v>
      </c>
      <c r="C515" s="3000" t="s">
        <v>3261</v>
      </c>
      <c r="D515" s="3000" t="s">
        <v>70</v>
      </c>
      <c r="E515" s="3000">
        <v>306</v>
      </c>
      <c r="F515" s="3000">
        <v>69.739999999999995</v>
      </c>
      <c r="G515" s="3001" t="s">
        <v>3055</v>
      </c>
    </row>
    <row r="516" spans="1:7" ht="14.25" thickBot="1">
      <c r="A516" s="2999">
        <v>515</v>
      </c>
      <c r="B516" s="3000" t="s">
        <v>3280</v>
      </c>
      <c r="C516" s="3000" t="s">
        <v>3261</v>
      </c>
      <c r="D516" s="3000" t="s">
        <v>70</v>
      </c>
      <c r="E516" s="3000">
        <v>307</v>
      </c>
      <c r="F516" s="3000">
        <v>68.37</v>
      </c>
      <c r="G516" s="3001" t="s">
        <v>3055</v>
      </c>
    </row>
    <row r="517" spans="1:7" ht="14.25" thickBot="1">
      <c r="A517" s="2999">
        <v>516</v>
      </c>
      <c r="B517" s="3000" t="s">
        <v>3280</v>
      </c>
      <c r="C517" s="3000" t="s">
        <v>3261</v>
      </c>
      <c r="D517" s="3000" t="s">
        <v>70</v>
      </c>
      <c r="E517" s="3000">
        <v>308</v>
      </c>
      <c r="F517" s="3000">
        <v>64.430000000000007</v>
      </c>
      <c r="G517" s="3001" t="s">
        <v>3055</v>
      </c>
    </row>
    <row r="518" spans="1:7" ht="14.25" thickBot="1">
      <c r="A518" s="2999">
        <v>517</v>
      </c>
      <c r="B518" s="3000" t="s">
        <v>3280</v>
      </c>
      <c r="C518" s="3000" t="s">
        <v>3262</v>
      </c>
      <c r="D518" s="3000" t="s">
        <v>70</v>
      </c>
      <c r="E518" s="3000" t="s">
        <v>3145</v>
      </c>
      <c r="F518" s="3000">
        <v>68.23</v>
      </c>
      <c r="G518" s="3001" t="s">
        <v>3055</v>
      </c>
    </row>
    <row r="519" spans="1:7" ht="14.25" thickBot="1">
      <c r="A519" s="2999">
        <v>518</v>
      </c>
      <c r="B519" s="3000" t="s">
        <v>3280</v>
      </c>
      <c r="C519" s="3000" t="s">
        <v>3262</v>
      </c>
      <c r="D519" s="3000" t="s">
        <v>70</v>
      </c>
      <c r="E519" s="3000" t="s">
        <v>3146</v>
      </c>
      <c r="F519" s="3000">
        <v>69.5</v>
      </c>
      <c r="G519" s="3001" t="s">
        <v>3055</v>
      </c>
    </row>
    <row r="520" spans="1:7" ht="14.25" thickBot="1">
      <c r="A520" s="2999">
        <v>519</v>
      </c>
      <c r="B520" s="3000" t="s">
        <v>3280</v>
      </c>
      <c r="C520" s="3000" t="s">
        <v>3262</v>
      </c>
      <c r="D520" s="3000" t="s">
        <v>70</v>
      </c>
      <c r="E520" s="3000" t="s">
        <v>3147</v>
      </c>
      <c r="F520" s="3000">
        <v>69.55</v>
      </c>
      <c r="G520" s="3001" t="s">
        <v>3055</v>
      </c>
    </row>
    <row r="521" spans="1:7" ht="14.25" thickBot="1">
      <c r="A521" s="2999">
        <v>520</v>
      </c>
      <c r="B521" s="3000" t="s">
        <v>3280</v>
      </c>
      <c r="C521" s="3000" t="s">
        <v>3262</v>
      </c>
      <c r="D521" s="3000" t="s">
        <v>70</v>
      </c>
      <c r="E521" s="3000" t="s">
        <v>3148</v>
      </c>
      <c r="F521" s="3000">
        <v>69.55</v>
      </c>
      <c r="G521" s="3001" t="s">
        <v>3055</v>
      </c>
    </row>
    <row r="522" spans="1:7" ht="14.25" thickBot="1">
      <c r="A522" s="2999">
        <v>521</v>
      </c>
      <c r="B522" s="3000" t="s">
        <v>3280</v>
      </c>
      <c r="C522" s="3000" t="s">
        <v>3262</v>
      </c>
      <c r="D522" s="3000" t="s">
        <v>70</v>
      </c>
      <c r="E522" s="3000" t="s">
        <v>3149</v>
      </c>
      <c r="F522" s="3000">
        <v>69.739999999999995</v>
      </c>
      <c r="G522" s="3001" t="s">
        <v>3055</v>
      </c>
    </row>
    <row r="523" spans="1:7" ht="14.25" thickBot="1">
      <c r="A523" s="2999">
        <v>522</v>
      </c>
      <c r="B523" s="3000" t="s">
        <v>3280</v>
      </c>
      <c r="C523" s="3000" t="s">
        <v>3263</v>
      </c>
      <c r="D523" s="3000" t="s">
        <v>70</v>
      </c>
      <c r="E523" s="3000">
        <v>501</v>
      </c>
      <c r="F523" s="3000">
        <v>68.23</v>
      </c>
      <c r="G523" s="3001" t="s">
        <v>3055</v>
      </c>
    </row>
    <row r="524" spans="1:7" ht="14.25" thickBot="1">
      <c r="A524" s="2999">
        <v>523</v>
      </c>
      <c r="B524" s="3000" t="s">
        <v>3280</v>
      </c>
      <c r="C524" s="3000" t="s">
        <v>3263</v>
      </c>
      <c r="D524" s="3000" t="s">
        <v>70</v>
      </c>
      <c r="E524" s="3000">
        <v>503</v>
      </c>
      <c r="F524" s="3000">
        <v>69.55</v>
      </c>
      <c r="G524" s="3001" t="s">
        <v>3055</v>
      </c>
    </row>
    <row r="525" spans="1:7" ht="14.25" thickBot="1">
      <c r="A525" s="2999">
        <v>524</v>
      </c>
      <c r="B525" s="3000" t="s">
        <v>3280</v>
      </c>
      <c r="C525" s="3000" t="s">
        <v>3263</v>
      </c>
      <c r="D525" s="3000" t="s">
        <v>70</v>
      </c>
      <c r="E525" s="3000">
        <v>505</v>
      </c>
      <c r="F525" s="3000">
        <v>69.55</v>
      </c>
      <c r="G525" s="3001" t="s">
        <v>3055</v>
      </c>
    </row>
    <row r="526" spans="1:7" ht="14.25" thickBot="1">
      <c r="A526" s="2999">
        <v>525</v>
      </c>
      <c r="B526" s="3000" t="s">
        <v>3280</v>
      </c>
      <c r="C526" s="3000" t="s">
        <v>3263</v>
      </c>
      <c r="D526" s="3000" t="s">
        <v>70</v>
      </c>
      <c r="E526" s="3000">
        <v>506</v>
      </c>
      <c r="F526" s="3000">
        <v>69.739999999999995</v>
      </c>
      <c r="G526" s="3001" t="s">
        <v>3055</v>
      </c>
    </row>
    <row r="527" spans="1:7" ht="14.25" thickBot="1">
      <c r="A527" s="2999">
        <v>526</v>
      </c>
      <c r="B527" s="3000" t="s">
        <v>3280</v>
      </c>
      <c r="C527" s="3000" t="s">
        <v>3263</v>
      </c>
      <c r="D527" s="3000" t="s">
        <v>70</v>
      </c>
      <c r="E527" s="3000">
        <v>507</v>
      </c>
      <c r="F527" s="3000">
        <v>68.37</v>
      </c>
      <c r="G527" s="3001" t="s">
        <v>3055</v>
      </c>
    </row>
    <row r="528" spans="1:7" ht="14.25" thickBot="1">
      <c r="A528" s="2999">
        <v>527</v>
      </c>
      <c r="B528" s="3000" t="s">
        <v>3280</v>
      </c>
      <c r="C528" s="3000" t="s">
        <v>3264</v>
      </c>
      <c r="D528" s="3000" t="s">
        <v>70</v>
      </c>
      <c r="E528" s="3000">
        <v>602</v>
      </c>
      <c r="F528" s="3000">
        <v>69.5</v>
      </c>
      <c r="G528" s="3001" t="s">
        <v>3055</v>
      </c>
    </row>
    <row r="529" spans="1:7" ht="14.25" thickBot="1">
      <c r="A529" s="2999">
        <v>528</v>
      </c>
      <c r="B529" s="3000" t="s">
        <v>3280</v>
      </c>
      <c r="C529" s="3000" t="s">
        <v>3264</v>
      </c>
      <c r="D529" s="3000" t="s">
        <v>70</v>
      </c>
      <c r="E529" s="3000">
        <v>603</v>
      </c>
      <c r="F529" s="3000">
        <v>69.55</v>
      </c>
      <c r="G529" s="3001" t="s">
        <v>3055</v>
      </c>
    </row>
    <row r="530" spans="1:7" ht="14.25" thickBot="1">
      <c r="A530" s="2999">
        <v>529</v>
      </c>
      <c r="B530" s="3000" t="s">
        <v>3281</v>
      </c>
      <c r="C530" s="3002" t="s">
        <v>3261</v>
      </c>
      <c r="D530" s="3000" t="s">
        <v>70</v>
      </c>
      <c r="E530" s="3000">
        <v>301</v>
      </c>
      <c r="F530" s="3000">
        <v>68.92</v>
      </c>
      <c r="G530" s="3001" t="s">
        <v>3055</v>
      </c>
    </row>
    <row r="531" spans="1:7" ht="14.25" thickBot="1">
      <c r="A531" s="2999">
        <v>530</v>
      </c>
      <c r="B531" s="3000" t="s">
        <v>3281</v>
      </c>
      <c r="C531" s="3002" t="s">
        <v>3261</v>
      </c>
      <c r="D531" s="3000" t="s">
        <v>70</v>
      </c>
      <c r="E531" s="3000">
        <v>302</v>
      </c>
      <c r="F531" s="3000">
        <v>72.41</v>
      </c>
      <c r="G531" s="3001" t="s">
        <v>3055</v>
      </c>
    </row>
    <row r="532" spans="1:7" ht="14.25" thickBot="1">
      <c r="A532" s="2999">
        <v>531</v>
      </c>
      <c r="B532" s="3000" t="s">
        <v>3281</v>
      </c>
      <c r="C532" s="3002" t="s">
        <v>3261</v>
      </c>
      <c r="D532" s="3000" t="s">
        <v>70</v>
      </c>
      <c r="E532" s="3000">
        <v>303</v>
      </c>
      <c r="F532" s="3000">
        <v>72.45</v>
      </c>
      <c r="G532" s="3001" t="s">
        <v>3055</v>
      </c>
    </row>
    <row r="533" spans="1:7" ht="14.25" thickBot="1">
      <c r="A533" s="2999">
        <v>532</v>
      </c>
      <c r="B533" s="3000" t="s">
        <v>3281</v>
      </c>
      <c r="C533" s="3002" t="s">
        <v>3261</v>
      </c>
      <c r="D533" s="3000" t="s">
        <v>70</v>
      </c>
      <c r="E533" s="3000">
        <v>305</v>
      </c>
      <c r="F533" s="3000">
        <v>72.45</v>
      </c>
      <c r="G533" s="3001" t="s">
        <v>3055</v>
      </c>
    </row>
    <row r="534" spans="1:7" ht="14.25" thickBot="1">
      <c r="A534" s="2999">
        <v>533</v>
      </c>
      <c r="B534" s="3000" t="s">
        <v>3281</v>
      </c>
      <c r="C534" s="3002" t="s">
        <v>3261</v>
      </c>
      <c r="D534" s="3000" t="s">
        <v>70</v>
      </c>
      <c r="E534" s="3000">
        <v>306</v>
      </c>
      <c r="F534" s="3000">
        <v>72.41</v>
      </c>
      <c r="G534" s="3001" t="s">
        <v>3055</v>
      </c>
    </row>
    <row r="535" spans="1:7" ht="14.25" thickBot="1">
      <c r="A535" s="2999">
        <v>534</v>
      </c>
      <c r="B535" s="3000" t="s">
        <v>3281</v>
      </c>
      <c r="C535" s="3002" t="s">
        <v>3261</v>
      </c>
      <c r="D535" s="3000" t="s">
        <v>70</v>
      </c>
      <c r="E535" s="3000">
        <v>307</v>
      </c>
      <c r="F535" s="3000">
        <v>68.92</v>
      </c>
      <c r="G535" s="3001" t="s">
        <v>3055</v>
      </c>
    </row>
    <row r="536" spans="1:7" ht="14.25" thickBot="1">
      <c r="A536" s="2999">
        <v>535</v>
      </c>
      <c r="B536" s="3000" t="s">
        <v>3281</v>
      </c>
      <c r="C536" s="3002" t="s">
        <v>3262</v>
      </c>
      <c r="D536" s="3000" t="s">
        <v>70</v>
      </c>
      <c r="E536" s="3000" t="s">
        <v>3145</v>
      </c>
      <c r="F536" s="3000">
        <v>68.92</v>
      </c>
      <c r="G536" s="3001" t="s">
        <v>3055</v>
      </c>
    </row>
    <row r="537" spans="1:7" ht="14.25" thickBot="1">
      <c r="A537" s="2999">
        <v>536</v>
      </c>
      <c r="B537" s="3000" t="s">
        <v>3281</v>
      </c>
      <c r="C537" s="3002" t="s">
        <v>3262</v>
      </c>
      <c r="D537" s="3000" t="s">
        <v>70</v>
      </c>
      <c r="E537" s="3000" t="s">
        <v>3146</v>
      </c>
      <c r="F537" s="3000">
        <v>72.41</v>
      </c>
      <c r="G537" s="3001" t="s">
        <v>3055</v>
      </c>
    </row>
    <row r="538" spans="1:7" ht="14.25" thickBot="1">
      <c r="A538" s="2999">
        <v>537</v>
      </c>
      <c r="B538" s="3000" t="s">
        <v>3281</v>
      </c>
      <c r="C538" s="3002" t="s">
        <v>3262</v>
      </c>
      <c r="D538" s="3000" t="s">
        <v>70</v>
      </c>
      <c r="E538" s="3000" t="s">
        <v>3147</v>
      </c>
      <c r="F538" s="3000">
        <v>72.45</v>
      </c>
      <c r="G538" s="3001" t="s">
        <v>3055</v>
      </c>
    </row>
    <row r="539" spans="1:7" ht="14.25" thickBot="1">
      <c r="A539" s="2999">
        <v>538</v>
      </c>
      <c r="B539" s="3000" t="s">
        <v>3281</v>
      </c>
      <c r="C539" s="3002" t="s">
        <v>3262</v>
      </c>
      <c r="D539" s="3000" t="s">
        <v>70</v>
      </c>
      <c r="E539" s="3000" t="s">
        <v>3148</v>
      </c>
      <c r="F539" s="3000">
        <v>72.45</v>
      </c>
      <c r="G539" s="3001" t="s">
        <v>3055</v>
      </c>
    </row>
    <row r="540" spans="1:7" ht="14.25" thickBot="1">
      <c r="A540" s="2999">
        <v>539</v>
      </c>
      <c r="B540" s="3000" t="s">
        <v>3281</v>
      </c>
      <c r="C540" s="3002" t="s">
        <v>3262</v>
      </c>
      <c r="D540" s="3000" t="s">
        <v>70</v>
      </c>
      <c r="E540" s="3000" t="s">
        <v>3149</v>
      </c>
      <c r="F540" s="3000">
        <v>72.41</v>
      </c>
      <c r="G540" s="3001" t="s">
        <v>3055</v>
      </c>
    </row>
    <row r="541" spans="1:7" ht="14.25" thickBot="1">
      <c r="A541" s="2999">
        <v>540</v>
      </c>
      <c r="B541" s="3000" t="s">
        <v>3281</v>
      </c>
      <c r="C541" s="3002" t="s">
        <v>3262</v>
      </c>
      <c r="D541" s="3000" t="s">
        <v>70</v>
      </c>
      <c r="E541" s="3000" t="s">
        <v>3150</v>
      </c>
      <c r="F541" s="3000">
        <v>68.92</v>
      </c>
      <c r="G541" s="3001" t="s">
        <v>3055</v>
      </c>
    </row>
    <row r="542" spans="1:7" ht="14.25" thickBot="1">
      <c r="A542" s="2999">
        <v>541</v>
      </c>
      <c r="B542" s="3000" t="s">
        <v>3281</v>
      </c>
      <c r="C542" s="3002" t="s">
        <v>3263</v>
      </c>
      <c r="D542" s="3000" t="s">
        <v>70</v>
      </c>
      <c r="E542" s="3000">
        <v>501</v>
      </c>
      <c r="F542" s="3000">
        <v>68.92</v>
      </c>
      <c r="G542" s="3001" t="s">
        <v>3055</v>
      </c>
    </row>
    <row r="543" spans="1:7" ht="14.25" thickBot="1">
      <c r="A543" s="2999">
        <v>542</v>
      </c>
      <c r="B543" s="3000" t="s">
        <v>3281</v>
      </c>
      <c r="C543" s="3002" t="s">
        <v>3263</v>
      </c>
      <c r="D543" s="3000" t="s">
        <v>70</v>
      </c>
      <c r="E543" s="3000">
        <v>502</v>
      </c>
      <c r="F543" s="3000">
        <v>72.41</v>
      </c>
      <c r="G543" s="3001" t="s">
        <v>3055</v>
      </c>
    </row>
    <row r="544" spans="1:7" ht="14.25" thickBot="1">
      <c r="A544" s="2999">
        <v>543</v>
      </c>
      <c r="B544" s="3000" t="s">
        <v>3281</v>
      </c>
      <c r="C544" s="3002" t="s">
        <v>3263</v>
      </c>
      <c r="D544" s="3000" t="s">
        <v>70</v>
      </c>
      <c r="E544" s="3000">
        <v>503</v>
      </c>
      <c r="F544" s="3000">
        <v>72.45</v>
      </c>
      <c r="G544" s="3001" t="s">
        <v>3055</v>
      </c>
    </row>
    <row r="545" spans="1:7" ht="14.25" thickBot="1">
      <c r="A545" s="2999">
        <v>544</v>
      </c>
      <c r="B545" s="3000" t="s">
        <v>3281</v>
      </c>
      <c r="C545" s="3002" t="s">
        <v>3263</v>
      </c>
      <c r="D545" s="3000" t="s">
        <v>70</v>
      </c>
      <c r="E545" s="3000">
        <v>505</v>
      </c>
      <c r="F545" s="3000">
        <v>72.45</v>
      </c>
      <c r="G545" s="3001" t="s">
        <v>3055</v>
      </c>
    </row>
    <row r="546" spans="1:7" ht="14.25" thickBot="1">
      <c r="A546" s="2999">
        <v>545</v>
      </c>
      <c r="B546" s="3000" t="s">
        <v>3281</v>
      </c>
      <c r="C546" s="3002" t="s">
        <v>3263</v>
      </c>
      <c r="D546" s="3000" t="s">
        <v>70</v>
      </c>
      <c r="E546" s="3000">
        <v>506</v>
      </c>
      <c r="F546" s="3000">
        <v>72.41</v>
      </c>
      <c r="G546" s="3001" t="s">
        <v>3055</v>
      </c>
    </row>
    <row r="547" spans="1:7" ht="14.25" thickBot="1">
      <c r="A547" s="2999">
        <v>546</v>
      </c>
      <c r="B547" s="3000" t="s">
        <v>3281</v>
      </c>
      <c r="C547" s="3002" t="s">
        <v>3263</v>
      </c>
      <c r="D547" s="3000" t="s">
        <v>70</v>
      </c>
      <c r="E547" s="3000">
        <v>507</v>
      </c>
      <c r="F547" s="3000">
        <v>68.92</v>
      </c>
      <c r="G547" s="3001" t="s">
        <v>3055</v>
      </c>
    </row>
    <row r="548" spans="1:7" ht="14.25" thickBot="1">
      <c r="A548" s="2999">
        <v>547</v>
      </c>
      <c r="B548" s="3000" t="s">
        <v>3281</v>
      </c>
      <c r="C548" s="3002" t="s">
        <v>3264</v>
      </c>
      <c r="D548" s="3000" t="s">
        <v>70</v>
      </c>
      <c r="E548" s="3000">
        <v>601</v>
      </c>
      <c r="F548" s="3000">
        <v>68.92</v>
      </c>
      <c r="G548" s="3001" t="s">
        <v>3055</v>
      </c>
    </row>
    <row r="549" spans="1:7" ht="14.25" thickBot="1">
      <c r="A549" s="2999">
        <v>548</v>
      </c>
      <c r="B549" s="3000" t="s">
        <v>3281</v>
      </c>
      <c r="C549" s="3002" t="s">
        <v>3264</v>
      </c>
      <c r="D549" s="3000" t="s">
        <v>70</v>
      </c>
      <c r="E549" s="3000">
        <v>602</v>
      </c>
      <c r="F549" s="3000">
        <v>72.41</v>
      </c>
      <c r="G549" s="3001" t="s">
        <v>3055</v>
      </c>
    </row>
    <row r="550" spans="1:7" ht="14.25" thickBot="1">
      <c r="A550" s="2999">
        <v>549</v>
      </c>
      <c r="B550" s="3000" t="s">
        <v>3281</v>
      </c>
      <c r="C550" s="3002" t="s">
        <v>3264</v>
      </c>
      <c r="D550" s="3000" t="s">
        <v>70</v>
      </c>
      <c r="E550" s="3000">
        <v>603</v>
      </c>
      <c r="F550" s="3000">
        <v>72.45</v>
      </c>
      <c r="G550" s="3001" t="s">
        <v>3055</v>
      </c>
    </row>
    <row r="551" spans="1:7" ht="14.25" thickBot="1">
      <c r="A551" s="2999">
        <v>550</v>
      </c>
      <c r="B551" s="3000" t="s">
        <v>3281</v>
      </c>
      <c r="C551" s="3002" t="s">
        <v>3264</v>
      </c>
      <c r="D551" s="3000" t="s">
        <v>70</v>
      </c>
      <c r="E551" s="3000">
        <v>605</v>
      </c>
      <c r="F551" s="3000">
        <v>72.45</v>
      </c>
      <c r="G551" s="3001" t="s">
        <v>3055</v>
      </c>
    </row>
    <row r="552" spans="1:7" ht="14.25" thickBot="1">
      <c r="A552" s="2999">
        <v>551</v>
      </c>
      <c r="B552" s="3000" t="s">
        <v>3281</v>
      </c>
      <c r="C552" s="3002" t="s">
        <v>3264</v>
      </c>
      <c r="D552" s="3000" t="s">
        <v>70</v>
      </c>
      <c r="E552" s="3000">
        <v>606</v>
      </c>
      <c r="F552" s="3000">
        <v>72.41</v>
      </c>
      <c r="G552" s="3001" t="s">
        <v>3055</v>
      </c>
    </row>
    <row r="553" spans="1:7" ht="14.25" thickBot="1">
      <c r="A553" s="2999">
        <v>552</v>
      </c>
      <c r="B553" s="3000" t="s">
        <v>3281</v>
      </c>
      <c r="C553" s="3002" t="s">
        <v>3264</v>
      </c>
      <c r="D553" s="3000" t="s">
        <v>70</v>
      </c>
      <c r="E553" s="3000">
        <v>607</v>
      </c>
      <c r="F553" s="3000">
        <v>68.92</v>
      </c>
      <c r="G553" s="3001" t="s">
        <v>3055</v>
      </c>
    </row>
    <row r="554" spans="1:7" ht="14.25" thickBot="1">
      <c r="A554" s="2999">
        <v>553</v>
      </c>
      <c r="B554" s="3000" t="s">
        <v>3282</v>
      </c>
      <c r="C554" s="3002" t="s">
        <v>3261</v>
      </c>
      <c r="D554" s="3000" t="s">
        <v>70</v>
      </c>
      <c r="E554" s="3002">
        <v>301</v>
      </c>
      <c r="F554" s="3000">
        <v>69.680000000000007</v>
      </c>
      <c r="G554" s="3001" t="s">
        <v>3055</v>
      </c>
    </row>
    <row r="555" spans="1:7" ht="14.25" thickBot="1">
      <c r="A555" s="2999">
        <v>554</v>
      </c>
      <c r="B555" s="3000" t="s">
        <v>3282</v>
      </c>
      <c r="C555" s="3002" t="s">
        <v>3261</v>
      </c>
      <c r="D555" s="3000" t="s">
        <v>70</v>
      </c>
      <c r="E555" s="3002">
        <v>302</v>
      </c>
      <c r="F555" s="3000">
        <v>71.23</v>
      </c>
      <c r="G555" s="3001" t="s">
        <v>3055</v>
      </c>
    </row>
    <row r="556" spans="1:7" ht="14.25" thickBot="1">
      <c r="A556" s="2999">
        <v>555</v>
      </c>
      <c r="B556" s="3000" t="s">
        <v>3282</v>
      </c>
      <c r="C556" s="3002" t="s">
        <v>3261</v>
      </c>
      <c r="D556" s="3000" t="s">
        <v>70</v>
      </c>
      <c r="E556" s="3002">
        <v>303</v>
      </c>
      <c r="F556" s="3000">
        <v>71.27</v>
      </c>
      <c r="G556" s="3001" t="s">
        <v>3055</v>
      </c>
    </row>
    <row r="557" spans="1:7" ht="14.25" thickBot="1">
      <c r="A557" s="2999">
        <v>556</v>
      </c>
      <c r="B557" s="3000" t="s">
        <v>3282</v>
      </c>
      <c r="C557" s="3002" t="s">
        <v>3261</v>
      </c>
      <c r="D557" s="3000" t="s">
        <v>70</v>
      </c>
      <c r="E557" s="3002">
        <v>305</v>
      </c>
      <c r="F557" s="3000">
        <v>71.27</v>
      </c>
      <c r="G557" s="3001" t="s">
        <v>3055</v>
      </c>
    </row>
    <row r="558" spans="1:7" ht="14.25" thickBot="1">
      <c r="A558" s="2999">
        <v>557</v>
      </c>
      <c r="B558" s="3000" t="s">
        <v>3282</v>
      </c>
      <c r="C558" s="3002" t="s">
        <v>3261</v>
      </c>
      <c r="D558" s="3000" t="s">
        <v>70</v>
      </c>
      <c r="E558" s="3002">
        <v>306</v>
      </c>
      <c r="F558" s="3000">
        <v>71.27</v>
      </c>
      <c r="G558" s="3001" t="s">
        <v>3055</v>
      </c>
    </row>
    <row r="559" spans="1:7" ht="14.25" thickBot="1">
      <c r="A559" s="2999">
        <v>558</v>
      </c>
      <c r="B559" s="3000" t="s">
        <v>3282</v>
      </c>
      <c r="C559" s="3002" t="s">
        <v>3261</v>
      </c>
      <c r="D559" s="3000" t="s">
        <v>70</v>
      </c>
      <c r="E559" s="3002">
        <v>307</v>
      </c>
      <c r="F559" s="3000">
        <v>69.87</v>
      </c>
      <c r="G559" s="3001" t="s">
        <v>3055</v>
      </c>
    </row>
    <row r="560" spans="1:7" ht="14.25" thickBot="1">
      <c r="A560" s="2999">
        <v>559</v>
      </c>
      <c r="B560" s="3000" t="s">
        <v>3282</v>
      </c>
      <c r="C560" s="3002" t="s">
        <v>3261</v>
      </c>
      <c r="D560" s="3000" t="s">
        <v>70</v>
      </c>
      <c r="E560" s="3002">
        <v>308</v>
      </c>
      <c r="F560" s="3000">
        <v>66.13</v>
      </c>
      <c r="G560" s="3001" t="s">
        <v>3055</v>
      </c>
    </row>
    <row r="561" spans="1:7" ht="14.25" thickBot="1">
      <c r="A561" s="2999">
        <v>560</v>
      </c>
      <c r="B561" s="3000" t="s">
        <v>3282</v>
      </c>
      <c r="C561" s="3002" t="s">
        <v>3262</v>
      </c>
      <c r="D561" s="3000" t="s">
        <v>70</v>
      </c>
      <c r="E561" s="3002" t="s">
        <v>3145</v>
      </c>
      <c r="F561" s="3000">
        <v>69.680000000000007</v>
      </c>
      <c r="G561" s="3001" t="s">
        <v>3055</v>
      </c>
    </row>
    <row r="562" spans="1:7" ht="14.25" thickBot="1">
      <c r="A562" s="2999">
        <v>561</v>
      </c>
      <c r="B562" s="3000" t="s">
        <v>3282</v>
      </c>
      <c r="C562" s="3002" t="s">
        <v>3262</v>
      </c>
      <c r="D562" s="3000" t="s">
        <v>70</v>
      </c>
      <c r="E562" s="3002" t="s">
        <v>3146</v>
      </c>
      <c r="F562" s="3000">
        <v>71.23</v>
      </c>
      <c r="G562" s="3001" t="s">
        <v>3055</v>
      </c>
    </row>
    <row r="563" spans="1:7" ht="14.25" thickBot="1">
      <c r="A563" s="2999">
        <v>562</v>
      </c>
      <c r="B563" s="3000" t="s">
        <v>3282</v>
      </c>
      <c r="C563" s="3002" t="s">
        <v>3262</v>
      </c>
      <c r="D563" s="3000" t="s">
        <v>70</v>
      </c>
      <c r="E563" s="3002" t="s">
        <v>3147</v>
      </c>
      <c r="F563" s="3000">
        <v>71.27</v>
      </c>
      <c r="G563" s="3001" t="s">
        <v>3055</v>
      </c>
    </row>
    <row r="564" spans="1:7" ht="14.25" thickBot="1">
      <c r="A564" s="2999">
        <v>563</v>
      </c>
      <c r="B564" s="3000" t="s">
        <v>3282</v>
      </c>
      <c r="C564" s="3002" t="s">
        <v>3262</v>
      </c>
      <c r="D564" s="3000" t="s">
        <v>70</v>
      </c>
      <c r="E564" s="3002" t="s">
        <v>3148</v>
      </c>
      <c r="F564" s="3000">
        <v>71.27</v>
      </c>
      <c r="G564" s="3001" t="s">
        <v>3055</v>
      </c>
    </row>
    <row r="565" spans="1:7" ht="14.25" thickBot="1">
      <c r="A565" s="2999">
        <v>564</v>
      </c>
      <c r="B565" s="3000" t="s">
        <v>3282</v>
      </c>
      <c r="C565" s="3002" t="s">
        <v>3262</v>
      </c>
      <c r="D565" s="3000" t="s">
        <v>70</v>
      </c>
      <c r="E565" s="3002" t="s">
        <v>3149</v>
      </c>
      <c r="F565" s="3000">
        <v>71.27</v>
      </c>
      <c r="G565" s="3001" t="s">
        <v>3055</v>
      </c>
    </row>
    <row r="566" spans="1:7" ht="14.25" thickBot="1">
      <c r="A566" s="2999">
        <v>565</v>
      </c>
      <c r="B566" s="3000" t="s">
        <v>3282</v>
      </c>
      <c r="C566" s="3002" t="s">
        <v>3262</v>
      </c>
      <c r="D566" s="3000" t="s">
        <v>70</v>
      </c>
      <c r="E566" s="3002" t="s">
        <v>3150</v>
      </c>
      <c r="F566" s="3000">
        <v>69.87</v>
      </c>
      <c r="G566" s="3001" t="s">
        <v>3055</v>
      </c>
    </row>
    <row r="567" spans="1:7" ht="14.25" thickBot="1">
      <c r="A567" s="2999">
        <v>566</v>
      </c>
      <c r="B567" s="3000" t="s">
        <v>3282</v>
      </c>
      <c r="C567" s="3002" t="s">
        <v>3262</v>
      </c>
      <c r="D567" s="3000" t="s">
        <v>70</v>
      </c>
      <c r="E567" s="3002" t="s">
        <v>3151</v>
      </c>
      <c r="F567" s="3000">
        <v>66.13</v>
      </c>
      <c r="G567" s="3001" t="s">
        <v>3055</v>
      </c>
    </row>
    <row r="568" spans="1:7" ht="14.25" thickBot="1">
      <c r="A568" s="2999">
        <v>567</v>
      </c>
      <c r="B568" s="3000" t="s">
        <v>3282</v>
      </c>
      <c r="C568" s="3002" t="s">
        <v>3263</v>
      </c>
      <c r="D568" s="3000" t="s">
        <v>70</v>
      </c>
      <c r="E568" s="3002">
        <v>501</v>
      </c>
      <c r="F568" s="3000">
        <v>69.680000000000007</v>
      </c>
      <c r="G568" s="3001" t="s">
        <v>3055</v>
      </c>
    </row>
    <row r="569" spans="1:7" ht="14.25" thickBot="1">
      <c r="A569" s="2999">
        <v>568</v>
      </c>
      <c r="B569" s="3000" t="s">
        <v>3282</v>
      </c>
      <c r="C569" s="3002" t="s">
        <v>3263</v>
      </c>
      <c r="D569" s="3000" t="s">
        <v>70</v>
      </c>
      <c r="E569" s="3002">
        <v>502</v>
      </c>
      <c r="F569" s="3000">
        <v>71.23</v>
      </c>
      <c r="G569" s="3001" t="s">
        <v>3055</v>
      </c>
    </row>
    <row r="570" spans="1:7" ht="14.25" thickBot="1">
      <c r="A570" s="2999">
        <v>569</v>
      </c>
      <c r="B570" s="3000" t="s">
        <v>3282</v>
      </c>
      <c r="C570" s="3002" t="s">
        <v>3263</v>
      </c>
      <c r="D570" s="3000" t="s">
        <v>70</v>
      </c>
      <c r="E570" s="3002">
        <v>503</v>
      </c>
      <c r="F570" s="3000">
        <v>71.27</v>
      </c>
      <c r="G570" s="3001" t="s">
        <v>3055</v>
      </c>
    </row>
    <row r="571" spans="1:7" ht="14.25" thickBot="1">
      <c r="A571" s="2999">
        <v>570</v>
      </c>
      <c r="B571" s="3000" t="s">
        <v>3282</v>
      </c>
      <c r="C571" s="3002" t="s">
        <v>3263</v>
      </c>
      <c r="D571" s="3000" t="s">
        <v>70</v>
      </c>
      <c r="E571" s="3002">
        <v>505</v>
      </c>
      <c r="F571" s="3000">
        <v>71.27</v>
      </c>
      <c r="G571" s="3001" t="s">
        <v>3055</v>
      </c>
    </row>
    <row r="572" spans="1:7" ht="14.25" thickBot="1">
      <c r="A572" s="2999">
        <v>571</v>
      </c>
      <c r="B572" s="3000" t="s">
        <v>3282</v>
      </c>
      <c r="C572" s="3002" t="s">
        <v>3263</v>
      </c>
      <c r="D572" s="3000" t="s">
        <v>70</v>
      </c>
      <c r="E572" s="3002">
        <v>506</v>
      </c>
      <c r="F572" s="3000">
        <v>71.27</v>
      </c>
      <c r="G572" s="3001" t="s">
        <v>3055</v>
      </c>
    </row>
    <row r="573" spans="1:7" ht="14.25" thickBot="1">
      <c r="A573" s="2999">
        <v>572</v>
      </c>
      <c r="B573" s="3000" t="s">
        <v>3282</v>
      </c>
      <c r="C573" s="3002" t="s">
        <v>3263</v>
      </c>
      <c r="D573" s="3000" t="s">
        <v>70</v>
      </c>
      <c r="E573" s="3002">
        <v>507</v>
      </c>
      <c r="F573" s="3000">
        <v>69.87</v>
      </c>
      <c r="G573" s="3001" t="s">
        <v>3055</v>
      </c>
    </row>
    <row r="574" spans="1:7" ht="14.25" thickBot="1">
      <c r="A574" s="2999">
        <v>573</v>
      </c>
      <c r="B574" s="3000" t="s">
        <v>3282</v>
      </c>
      <c r="C574" s="3002" t="s">
        <v>3263</v>
      </c>
      <c r="D574" s="3000" t="s">
        <v>70</v>
      </c>
      <c r="E574" s="3002">
        <v>508</v>
      </c>
      <c r="F574" s="3000">
        <v>66.13</v>
      </c>
      <c r="G574" s="3001" t="s">
        <v>3055</v>
      </c>
    </row>
    <row r="575" spans="1:7" ht="14.25" thickBot="1">
      <c r="A575" s="2999">
        <v>574</v>
      </c>
      <c r="B575" s="3000" t="s">
        <v>3283</v>
      </c>
      <c r="C575" s="3002" t="s">
        <v>3257</v>
      </c>
      <c r="D575" s="3000" t="s">
        <v>70</v>
      </c>
      <c r="E575" s="3002">
        <v>101</v>
      </c>
      <c r="F575" s="3000">
        <v>67</v>
      </c>
      <c r="G575" s="3001" t="s">
        <v>3055</v>
      </c>
    </row>
    <row r="576" spans="1:7" ht="14.25" thickBot="1">
      <c r="A576" s="2999">
        <v>575</v>
      </c>
      <c r="B576" s="3000" t="s">
        <v>3283</v>
      </c>
      <c r="C576" s="3002" t="s">
        <v>3257</v>
      </c>
      <c r="D576" s="3000" t="s">
        <v>70</v>
      </c>
      <c r="E576" s="3002">
        <v>102</v>
      </c>
      <c r="F576" s="3000">
        <v>70.400000000000006</v>
      </c>
      <c r="G576" s="3001" t="s">
        <v>3055</v>
      </c>
    </row>
    <row r="577" spans="1:7" ht="14.25" thickBot="1">
      <c r="A577" s="2999">
        <v>576</v>
      </c>
      <c r="B577" s="3000" t="s">
        <v>3283</v>
      </c>
      <c r="C577" s="3002" t="s">
        <v>3257</v>
      </c>
      <c r="D577" s="3000" t="s">
        <v>70</v>
      </c>
      <c r="E577" s="3002">
        <v>103</v>
      </c>
      <c r="F577" s="3000">
        <v>70.44</v>
      </c>
      <c r="G577" s="3001" t="s">
        <v>3055</v>
      </c>
    </row>
    <row r="578" spans="1:7" ht="14.25" thickBot="1">
      <c r="A578" s="2999">
        <v>577</v>
      </c>
      <c r="B578" s="3000" t="s">
        <v>3283</v>
      </c>
      <c r="C578" s="3002" t="s">
        <v>3257</v>
      </c>
      <c r="D578" s="3000" t="s">
        <v>70</v>
      </c>
      <c r="E578" s="3002">
        <v>105</v>
      </c>
      <c r="F578" s="3000">
        <v>70.400000000000006</v>
      </c>
      <c r="G578" s="3001" t="s">
        <v>3055</v>
      </c>
    </row>
    <row r="579" spans="1:7" ht="14.25" thickBot="1">
      <c r="A579" s="2999">
        <v>578</v>
      </c>
      <c r="B579" s="3000" t="s">
        <v>3283</v>
      </c>
      <c r="C579" s="3002" t="s">
        <v>3260</v>
      </c>
      <c r="D579" s="3000" t="s">
        <v>70</v>
      </c>
      <c r="E579" s="3002">
        <v>201</v>
      </c>
      <c r="F579" s="3000">
        <v>67</v>
      </c>
      <c r="G579" s="3001" t="s">
        <v>3055</v>
      </c>
    </row>
    <row r="580" spans="1:7" ht="14.25" thickBot="1">
      <c r="A580" s="2999">
        <v>579</v>
      </c>
      <c r="B580" s="3000" t="s">
        <v>3283</v>
      </c>
      <c r="C580" s="3002" t="s">
        <v>3260</v>
      </c>
      <c r="D580" s="3000" t="s">
        <v>70</v>
      </c>
      <c r="E580" s="3002">
        <v>202</v>
      </c>
      <c r="F580" s="3000">
        <v>70.400000000000006</v>
      </c>
      <c r="G580" s="3001" t="s">
        <v>3055</v>
      </c>
    </row>
    <row r="581" spans="1:7" ht="14.25" thickBot="1">
      <c r="A581" s="2999">
        <v>580</v>
      </c>
      <c r="B581" s="3000" t="s">
        <v>3283</v>
      </c>
      <c r="C581" s="3002" t="s">
        <v>3260</v>
      </c>
      <c r="D581" s="3000" t="s">
        <v>70</v>
      </c>
      <c r="E581" s="3002">
        <v>203</v>
      </c>
      <c r="F581" s="3000">
        <v>70.44</v>
      </c>
      <c r="G581" s="3001" t="s">
        <v>3055</v>
      </c>
    </row>
    <row r="582" spans="1:7" ht="14.25" thickBot="1">
      <c r="A582" s="2999">
        <v>581</v>
      </c>
      <c r="B582" s="3000" t="s">
        <v>3283</v>
      </c>
      <c r="C582" s="3002" t="s">
        <v>3260</v>
      </c>
      <c r="D582" s="3000" t="s">
        <v>70</v>
      </c>
      <c r="E582" s="3002">
        <v>205</v>
      </c>
      <c r="F582" s="3000">
        <v>70.44</v>
      </c>
      <c r="G582" s="3001" t="s">
        <v>3055</v>
      </c>
    </row>
    <row r="583" spans="1:7" ht="14.25" thickBot="1">
      <c r="A583" s="2999">
        <v>582</v>
      </c>
      <c r="B583" s="3000" t="s">
        <v>3283</v>
      </c>
      <c r="C583" s="3002" t="s">
        <v>3260</v>
      </c>
      <c r="D583" s="3000" t="s">
        <v>70</v>
      </c>
      <c r="E583" s="3002">
        <v>206</v>
      </c>
      <c r="F583" s="3000">
        <v>70.400000000000006</v>
      </c>
      <c r="G583" s="3001" t="s">
        <v>3055</v>
      </c>
    </row>
    <row r="584" spans="1:7" ht="14.25" thickBot="1">
      <c r="A584" s="2999">
        <v>583</v>
      </c>
      <c r="B584" s="3000" t="s">
        <v>3283</v>
      </c>
      <c r="C584" s="3002" t="s">
        <v>3261</v>
      </c>
      <c r="D584" s="3000" t="s">
        <v>70</v>
      </c>
      <c r="E584" s="3002">
        <v>301</v>
      </c>
      <c r="F584" s="3000">
        <v>67</v>
      </c>
      <c r="G584" s="3001" t="s">
        <v>3055</v>
      </c>
    </row>
    <row r="585" spans="1:7" ht="14.25" thickBot="1">
      <c r="A585" s="2999">
        <v>584</v>
      </c>
      <c r="B585" s="3000" t="s">
        <v>3283</v>
      </c>
      <c r="C585" s="3002" t="s">
        <v>3261</v>
      </c>
      <c r="D585" s="3000" t="s">
        <v>70</v>
      </c>
      <c r="E585" s="3002">
        <v>302</v>
      </c>
      <c r="F585" s="3000">
        <v>70.400000000000006</v>
      </c>
      <c r="G585" s="3001" t="s">
        <v>3055</v>
      </c>
    </row>
    <row r="586" spans="1:7" ht="14.25" thickBot="1">
      <c r="A586" s="2999">
        <v>585</v>
      </c>
      <c r="B586" s="3000" t="s">
        <v>3283</v>
      </c>
      <c r="C586" s="3002" t="s">
        <v>3261</v>
      </c>
      <c r="D586" s="3000" t="s">
        <v>70</v>
      </c>
      <c r="E586" s="3002">
        <v>303</v>
      </c>
      <c r="F586" s="3000">
        <v>70.44</v>
      </c>
      <c r="G586" s="3001" t="s">
        <v>3055</v>
      </c>
    </row>
    <row r="587" spans="1:7" ht="14.25" thickBot="1">
      <c r="A587" s="2999">
        <v>586</v>
      </c>
      <c r="B587" s="3000" t="s">
        <v>3283</v>
      </c>
      <c r="C587" s="3002" t="s">
        <v>3261</v>
      </c>
      <c r="D587" s="3000" t="s">
        <v>70</v>
      </c>
      <c r="E587" s="3002">
        <v>305</v>
      </c>
      <c r="F587" s="3000">
        <v>70.44</v>
      </c>
      <c r="G587" s="3001" t="s">
        <v>3055</v>
      </c>
    </row>
    <row r="588" spans="1:7" ht="14.25" thickBot="1">
      <c r="A588" s="2999">
        <v>587</v>
      </c>
      <c r="B588" s="3000" t="s">
        <v>3283</v>
      </c>
      <c r="C588" s="3002" t="s">
        <v>3261</v>
      </c>
      <c r="D588" s="3000" t="s">
        <v>70</v>
      </c>
      <c r="E588" s="3002">
        <v>306</v>
      </c>
      <c r="F588" s="3000">
        <v>70.400000000000006</v>
      </c>
      <c r="G588" s="3001" t="s">
        <v>3055</v>
      </c>
    </row>
    <row r="589" spans="1:7" ht="14.25" thickBot="1">
      <c r="A589" s="2999">
        <v>588</v>
      </c>
      <c r="B589" s="3000" t="s">
        <v>3283</v>
      </c>
      <c r="C589" s="3002" t="s">
        <v>3261</v>
      </c>
      <c r="D589" s="3000" t="s">
        <v>70</v>
      </c>
      <c r="E589" s="3002">
        <v>307</v>
      </c>
      <c r="F589" s="3000">
        <v>67</v>
      </c>
      <c r="G589" s="3001" t="s">
        <v>3055</v>
      </c>
    </row>
    <row r="590" spans="1:7" ht="14.25" thickBot="1">
      <c r="A590" s="2999">
        <v>589</v>
      </c>
      <c r="B590" s="3000" t="s">
        <v>3283</v>
      </c>
      <c r="C590" s="3002" t="s">
        <v>3262</v>
      </c>
      <c r="D590" s="3000" t="s">
        <v>70</v>
      </c>
      <c r="E590" s="3002" t="s">
        <v>3145</v>
      </c>
      <c r="F590" s="3000">
        <v>67</v>
      </c>
      <c r="G590" s="3001" t="s">
        <v>3055</v>
      </c>
    </row>
    <row r="591" spans="1:7" ht="14.25" thickBot="1">
      <c r="A591" s="2999">
        <v>590</v>
      </c>
      <c r="B591" s="3000" t="s">
        <v>3283</v>
      </c>
      <c r="C591" s="3002" t="s">
        <v>3262</v>
      </c>
      <c r="D591" s="3000" t="s">
        <v>70</v>
      </c>
      <c r="E591" s="3002" t="s">
        <v>3146</v>
      </c>
      <c r="F591" s="3000">
        <v>70.400000000000006</v>
      </c>
      <c r="G591" s="3001" t="s">
        <v>3055</v>
      </c>
    </row>
    <row r="592" spans="1:7" ht="14.25" thickBot="1">
      <c r="A592" s="2999">
        <v>591</v>
      </c>
      <c r="B592" s="3000" t="s">
        <v>3283</v>
      </c>
      <c r="C592" s="3002" t="s">
        <v>3262</v>
      </c>
      <c r="D592" s="3000" t="s">
        <v>70</v>
      </c>
      <c r="E592" s="3002" t="s">
        <v>3147</v>
      </c>
      <c r="F592" s="3000">
        <v>70.44</v>
      </c>
      <c r="G592" s="3001" t="s">
        <v>3055</v>
      </c>
    </row>
    <row r="593" spans="1:7" ht="14.25" thickBot="1">
      <c r="A593" s="2999">
        <v>592</v>
      </c>
      <c r="B593" s="3000" t="s">
        <v>3283</v>
      </c>
      <c r="C593" s="3002" t="s">
        <v>3262</v>
      </c>
      <c r="D593" s="3000" t="s">
        <v>70</v>
      </c>
      <c r="E593" s="3002" t="s">
        <v>3148</v>
      </c>
      <c r="F593" s="3000">
        <v>70.44</v>
      </c>
      <c r="G593" s="3001" t="s">
        <v>3055</v>
      </c>
    </row>
    <row r="594" spans="1:7" ht="14.25" thickBot="1">
      <c r="A594" s="2999">
        <v>593</v>
      </c>
      <c r="B594" s="3000" t="s">
        <v>3283</v>
      </c>
      <c r="C594" s="3002" t="s">
        <v>3262</v>
      </c>
      <c r="D594" s="3000" t="s">
        <v>70</v>
      </c>
      <c r="E594" s="3002" t="s">
        <v>3149</v>
      </c>
      <c r="F594" s="3000">
        <v>70.400000000000006</v>
      </c>
      <c r="G594" s="3001" t="s">
        <v>3055</v>
      </c>
    </row>
    <row r="595" spans="1:7" ht="14.25" thickBot="1">
      <c r="A595" s="2999">
        <v>594</v>
      </c>
      <c r="B595" s="3000" t="s">
        <v>3283</v>
      </c>
      <c r="C595" s="3002" t="s">
        <v>3262</v>
      </c>
      <c r="D595" s="3000" t="s">
        <v>70</v>
      </c>
      <c r="E595" s="3002" t="s">
        <v>3150</v>
      </c>
      <c r="F595" s="3000">
        <v>67</v>
      </c>
      <c r="G595" s="3001" t="s">
        <v>3055</v>
      </c>
    </row>
    <row r="596" spans="1:7" ht="14.25" thickBot="1">
      <c r="A596" s="2999">
        <v>595</v>
      </c>
      <c r="B596" s="3000" t="s">
        <v>3283</v>
      </c>
      <c r="C596" s="3002" t="s">
        <v>3263</v>
      </c>
      <c r="D596" s="3000" t="s">
        <v>70</v>
      </c>
      <c r="E596" s="3002">
        <v>501</v>
      </c>
      <c r="F596" s="3000">
        <v>67</v>
      </c>
      <c r="G596" s="3001" t="s">
        <v>3055</v>
      </c>
    </row>
    <row r="597" spans="1:7" ht="14.25" thickBot="1">
      <c r="A597" s="2999">
        <v>596</v>
      </c>
      <c r="B597" s="3000" t="s">
        <v>3283</v>
      </c>
      <c r="C597" s="3002" t="s">
        <v>3263</v>
      </c>
      <c r="D597" s="3000" t="s">
        <v>70</v>
      </c>
      <c r="E597" s="3002">
        <v>502</v>
      </c>
      <c r="F597" s="3000">
        <v>70.400000000000006</v>
      </c>
      <c r="G597" s="3001" t="s">
        <v>3055</v>
      </c>
    </row>
    <row r="598" spans="1:7" ht="14.25" thickBot="1">
      <c r="A598" s="2999">
        <v>597</v>
      </c>
      <c r="B598" s="3000" t="s">
        <v>3283</v>
      </c>
      <c r="C598" s="3002" t="s">
        <v>3263</v>
      </c>
      <c r="D598" s="3000" t="s">
        <v>70</v>
      </c>
      <c r="E598" s="3002">
        <v>503</v>
      </c>
      <c r="F598" s="3000">
        <v>70.44</v>
      </c>
      <c r="G598" s="3001" t="s">
        <v>3055</v>
      </c>
    </row>
    <row r="599" spans="1:7" ht="14.25" thickBot="1">
      <c r="A599" s="2999">
        <v>598</v>
      </c>
      <c r="B599" s="3000" t="s">
        <v>3283</v>
      </c>
      <c r="C599" s="3002" t="s">
        <v>3263</v>
      </c>
      <c r="D599" s="3000" t="s">
        <v>70</v>
      </c>
      <c r="E599" s="3002">
        <v>505</v>
      </c>
      <c r="F599" s="3000">
        <v>70.44</v>
      </c>
      <c r="G599" s="3001" t="s">
        <v>3055</v>
      </c>
    </row>
    <row r="600" spans="1:7" ht="14.25" thickBot="1">
      <c r="A600" s="2999">
        <v>599</v>
      </c>
      <c r="B600" s="3000" t="s">
        <v>3283</v>
      </c>
      <c r="C600" s="3002" t="s">
        <v>3263</v>
      </c>
      <c r="D600" s="3000" t="s">
        <v>70</v>
      </c>
      <c r="E600" s="3002">
        <v>506</v>
      </c>
      <c r="F600" s="3000">
        <v>70.400000000000006</v>
      </c>
      <c r="G600" s="3001" t="s">
        <v>3055</v>
      </c>
    </row>
    <row r="601" spans="1:7" ht="14.25" thickBot="1">
      <c r="A601" s="2999">
        <v>600</v>
      </c>
      <c r="B601" s="3000" t="s">
        <v>3283</v>
      </c>
      <c r="C601" s="3002" t="s">
        <v>3263</v>
      </c>
      <c r="D601" s="3000" t="s">
        <v>70</v>
      </c>
      <c r="E601" s="3002">
        <v>507</v>
      </c>
      <c r="F601" s="3000">
        <v>67</v>
      </c>
      <c r="G601" s="3001" t="s">
        <v>3055</v>
      </c>
    </row>
    <row r="602" spans="1:7" ht="14.25" thickBot="1">
      <c r="A602" s="2999">
        <v>601</v>
      </c>
      <c r="B602" s="3000" t="s">
        <v>3284</v>
      </c>
      <c r="C602" s="3000" t="s">
        <v>3260</v>
      </c>
      <c r="D602" s="3000" t="s">
        <v>70</v>
      </c>
      <c r="E602" s="3002">
        <v>201</v>
      </c>
      <c r="F602" s="3000">
        <v>69.23</v>
      </c>
      <c r="G602" s="3001" t="s">
        <v>3055</v>
      </c>
    </row>
    <row r="603" spans="1:7" ht="14.25" thickBot="1">
      <c r="A603" s="2999">
        <v>602</v>
      </c>
      <c r="B603" s="3000" t="s">
        <v>3284</v>
      </c>
      <c r="C603" s="3000" t="s">
        <v>3260</v>
      </c>
      <c r="D603" s="3000" t="s">
        <v>70</v>
      </c>
      <c r="E603" s="3002">
        <v>202</v>
      </c>
      <c r="F603" s="3000">
        <v>70.77</v>
      </c>
      <c r="G603" s="3001" t="s">
        <v>3055</v>
      </c>
    </row>
    <row r="604" spans="1:7" ht="14.25" thickBot="1">
      <c r="A604" s="2999">
        <v>603</v>
      </c>
      <c r="B604" s="3000" t="s">
        <v>3284</v>
      </c>
      <c r="C604" s="3000" t="s">
        <v>3260</v>
      </c>
      <c r="D604" s="3000" t="s">
        <v>70</v>
      </c>
      <c r="E604" s="3002">
        <v>203</v>
      </c>
      <c r="F604" s="3000">
        <v>70.81</v>
      </c>
      <c r="G604" s="3001" t="s">
        <v>3055</v>
      </c>
    </row>
    <row r="605" spans="1:7" ht="14.25" thickBot="1">
      <c r="A605" s="2999">
        <v>604</v>
      </c>
      <c r="B605" s="3000" t="s">
        <v>3284</v>
      </c>
      <c r="C605" s="3000" t="s">
        <v>3260</v>
      </c>
      <c r="D605" s="3000" t="s">
        <v>70</v>
      </c>
      <c r="E605" s="3002">
        <v>205</v>
      </c>
      <c r="F605" s="3000">
        <v>70.81</v>
      </c>
      <c r="G605" s="3001" t="s">
        <v>3055</v>
      </c>
    </row>
    <row r="606" spans="1:7" ht="14.25" thickBot="1">
      <c r="A606" s="2999">
        <v>605</v>
      </c>
      <c r="B606" s="3000" t="s">
        <v>3284</v>
      </c>
      <c r="C606" s="3000" t="s">
        <v>3260</v>
      </c>
      <c r="D606" s="3000" t="s">
        <v>70</v>
      </c>
      <c r="E606" s="3002">
        <v>206</v>
      </c>
      <c r="F606" s="3000">
        <v>70.81</v>
      </c>
      <c r="G606" s="3001" t="s">
        <v>3055</v>
      </c>
    </row>
    <row r="607" spans="1:7" ht="14.25" thickBot="1">
      <c r="A607" s="2999">
        <v>606</v>
      </c>
      <c r="B607" s="3000" t="s">
        <v>3284</v>
      </c>
      <c r="C607" s="3000" t="s">
        <v>3261</v>
      </c>
      <c r="D607" s="3000" t="s">
        <v>70</v>
      </c>
      <c r="E607" s="3002">
        <v>301</v>
      </c>
      <c r="F607" s="3000">
        <v>69.23</v>
      </c>
      <c r="G607" s="3001" t="s">
        <v>3055</v>
      </c>
    </row>
    <row r="608" spans="1:7" ht="14.25" thickBot="1">
      <c r="A608" s="2999">
        <v>607</v>
      </c>
      <c r="B608" s="3000" t="s">
        <v>3284</v>
      </c>
      <c r="C608" s="3000" t="s">
        <v>3261</v>
      </c>
      <c r="D608" s="3000" t="s">
        <v>70</v>
      </c>
      <c r="E608" s="3002">
        <v>302</v>
      </c>
      <c r="F608" s="3000">
        <v>70.77</v>
      </c>
      <c r="G608" s="3001" t="s">
        <v>3055</v>
      </c>
    </row>
    <row r="609" spans="1:7" ht="14.25" thickBot="1">
      <c r="A609" s="2999">
        <v>608</v>
      </c>
      <c r="B609" s="3000" t="s">
        <v>3284</v>
      </c>
      <c r="C609" s="3000" t="s">
        <v>3261</v>
      </c>
      <c r="D609" s="3000" t="s">
        <v>70</v>
      </c>
      <c r="E609" s="3002">
        <v>303</v>
      </c>
      <c r="F609" s="3000">
        <v>70.81</v>
      </c>
      <c r="G609" s="3001" t="s">
        <v>3055</v>
      </c>
    </row>
    <row r="610" spans="1:7" ht="14.25" thickBot="1">
      <c r="A610" s="2999">
        <v>609</v>
      </c>
      <c r="B610" s="3000" t="s">
        <v>3284</v>
      </c>
      <c r="C610" s="3000" t="s">
        <v>3261</v>
      </c>
      <c r="D610" s="3000" t="s">
        <v>70</v>
      </c>
      <c r="E610" s="3002">
        <v>305</v>
      </c>
      <c r="F610" s="3000">
        <v>70.81</v>
      </c>
      <c r="G610" s="3001" t="s">
        <v>3055</v>
      </c>
    </row>
    <row r="611" spans="1:7" ht="14.25" thickBot="1">
      <c r="A611" s="2999">
        <v>610</v>
      </c>
      <c r="B611" s="3000" t="s">
        <v>3284</v>
      </c>
      <c r="C611" s="3000" t="s">
        <v>3261</v>
      </c>
      <c r="D611" s="3000" t="s">
        <v>70</v>
      </c>
      <c r="E611" s="3002">
        <v>306</v>
      </c>
      <c r="F611" s="3000">
        <v>70.81</v>
      </c>
      <c r="G611" s="3001" t="s">
        <v>3055</v>
      </c>
    </row>
    <row r="612" spans="1:7" ht="14.25" thickBot="1">
      <c r="A612" s="2999">
        <v>611</v>
      </c>
      <c r="B612" s="3000" t="s">
        <v>3284</v>
      </c>
      <c r="C612" s="3000" t="s">
        <v>3261</v>
      </c>
      <c r="D612" s="3000" t="s">
        <v>70</v>
      </c>
      <c r="E612" s="3002">
        <v>307</v>
      </c>
      <c r="F612" s="3000">
        <v>69.41</v>
      </c>
      <c r="G612" s="3001" t="s">
        <v>3055</v>
      </c>
    </row>
    <row r="613" spans="1:7" ht="14.25" thickBot="1">
      <c r="A613" s="2999">
        <v>612</v>
      </c>
      <c r="B613" s="3000" t="s">
        <v>3284</v>
      </c>
      <c r="C613" s="3000" t="s">
        <v>3261</v>
      </c>
      <c r="D613" s="3000" t="s">
        <v>70</v>
      </c>
      <c r="E613" s="3002">
        <v>308</v>
      </c>
      <c r="F613" s="3000">
        <v>65.7</v>
      </c>
      <c r="G613" s="3001" t="s">
        <v>3055</v>
      </c>
    </row>
    <row r="614" spans="1:7" ht="14.25" thickBot="1">
      <c r="A614" s="2999">
        <v>613</v>
      </c>
      <c r="B614" s="3000" t="s">
        <v>3285</v>
      </c>
      <c r="C614" s="3000" t="s">
        <v>3257</v>
      </c>
      <c r="D614" s="3000" t="s">
        <v>3258</v>
      </c>
      <c r="E614" s="3000">
        <v>101</v>
      </c>
      <c r="F614" s="3000">
        <v>66.28</v>
      </c>
      <c r="G614" s="3001" t="s">
        <v>3055</v>
      </c>
    </row>
    <row r="615" spans="1:7" ht="14.25" thickBot="1">
      <c r="A615" s="2999">
        <v>614</v>
      </c>
      <c r="B615" s="3000" t="s">
        <v>3285</v>
      </c>
      <c r="C615" s="3000" t="s">
        <v>3257</v>
      </c>
      <c r="D615" s="3000" t="s">
        <v>3258</v>
      </c>
      <c r="E615" s="3000">
        <v>102</v>
      </c>
      <c r="F615" s="3000">
        <v>69.77</v>
      </c>
      <c r="G615" s="3001" t="s">
        <v>3055</v>
      </c>
    </row>
    <row r="616" spans="1:7" ht="14.25" thickBot="1">
      <c r="A616" s="2999">
        <v>615</v>
      </c>
      <c r="B616" s="3000" t="s">
        <v>3285</v>
      </c>
      <c r="C616" s="3000" t="s">
        <v>3257</v>
      </c>
      <c r="D616" s="3000" t="s">
        <v>3258</v>
      </c>
      <c r="E616" s="3000">
        <v>103</v>
      </c>
      <c r="F616" s="3000">
        <v>69.94</v>
      </c>
      <c r="G616" s="3001" t="s">
        <v>3055</v>
      </c>
    </row>
    <row r="617" spans="1:7" ht="14.25" thickBot="1">
      <c r="A617" s="2999">
        <v>616</v>
      </c>
      <c r="B617" s="3000" t="s">
        <v>3285</v>
      </c>
      <c r="C617" s="3000" t="s">
        <v>3257</v>
      </c>
      <c r="D617" s="3000" t="s">
        <v>3258</v>
      </c>
      <c r="E617" s="3000">
        <v>105</v>
      </c>
      <c r="F617" s="3000">
        <v>69.94</v>
      </c>
      <c r="G617" s="3001" t="s">
        <v>3055</v>
      </c>
    </row>
    <row r="618" spans="1:7" ht="14.25" thickBot="1">
      <c r="A618" s="2999">
        <v>617</v>
      </c>
      <c r="B618" s="3000" t="s">
        <v>3285</v>
      </c>
      <c r="C618" s="3000" t="s">
        <v>3257</v>
      </c>
      <c r="D618" s="3000" t="s">
        <v>3258</v>
      </c>
      <c r="E618" s="3000">
        <v>106</v>
      </c>
      <c r="F618" s="3000">
        <v>69.77</v>
      </c>
      <c r="G618" s="3001" t="s">
        <v>3055</v>
      </c>
    </row>
    <row r="619" spans="1:7" ht="14.25" thickBot="1">
      <c r="A619" s="2999">
        <v>618</v>
      </c>
      <c r="B619" s="3000" t="s">
        <v>3285</v>
      </c>
      <c r="C619" s="3000" t="s">
        <v>3257</v>
      </c>
      <c r="D619" s="3000" t="s">
        <v>3258</v>
      </c>
      <c r="E619" s="3000">
        <v>107</v>
      </c>
      <c r="F619" s="3000">
        <v>66.28</v>
      </c>
      <c r="G619" s="3001" t="s">
        <v>3055</v>
      </c>
    </row>
    <row r="620" spans="1:7" ht="14.25" thickBot="1">
      <c r="A620" s="2999">
        <v>619</v>
      </c>
      <c r="B620" s="3000" t="s">
        <v>3285</v>
      </c>
      <c r="C620" s="3000" t="s">
        <v>3257</v>
      </c>
      <c r="D620" s="3000" t="s">
        <v>3259</v>
      </c>
      <c r="E620" s="3000">
        <v>101</v>
      </c>
      <c r="F620" s="3000">
        <v>66.28</v>
      </c>
      <c r="G620" s="3001" t="s">
        <v>3055</v>
      </c>
    </row>
    <row r="621" spans="1:7" ht="14.25" thickBot="1">
      <c r="A621" s="2999">
        <v>620</v>
      </c>
      <c r="B621" s="3000" t="s">
        <v>3285</v>
      </c>
      <c r="C621" s="3000" t="s">
        <v>3257</v>
      </c>
      <c r="D621" s="3000" t="s">
        <v>3259</v>
      </c>
      <c r="E621" s="3000">
        <v>102</v>
      </c>
      <c r="F621" s="3000">
        <v>69.77</v>
      </c>
      <c r="G621" s="3001" t="s">
        <v>3055</v>
      </c>
    </row>
    <row r="622" spans="1:7" ht="14.25" thickBot="1">
      <c r="A622" s="2999">
        <v>621</v>
      </c>
      <c r="B622" s="3000" t="s">
        <v>3285</v>
      </c>
      <c r="C622" s="3000" t="s">
        <v>3257</v>
      </c>
      <c r="D622" s="3000" t="s">
        <v>3259</v>
      </c>
      <c r="E622" s="3000">
        <v>103</v>
      </c>
      <c r="F622" s="3000">
        <v>69.94</v>
      </c>
      <c r="G622" s="3001" t="s">
        <v>3055</v>
      </c>
    </row>
    <row r="623" spans="1:7" ht="14.25" thickBot="1">
      <c r="A623" s="2999">
        <v>622</v>
      </c>
      <c r="B623" s="3000" t="s">
        <v>3285</v>
      </c>
      <c r="C623" s="3000" t="s">
        <v>3257</v>
      </c>
      <c r="D623" s="3000" t="s">
        <v>3259</v>
      </c>
      <c r="E623" s="3000">
        <v>105</v>
      </c>
      <c r="F623" s="3000">
        <v>69.94</v>
      </c>
      <c r="G623" s="3001" t="s">
        <v>3055</v>
      </c>
    </row>
    <row r="624" spans="1:7" ht="14.25" thickBot="1">
      <c r="A624" s="2999">
        <v>623</v>
      </c>
      <c r="B624" s="3000" t="s">
        <v>3285</v>
      </c>
      <c r="C624" s="3000" t="s">
        <v>3257</v>
      </c>
      <c r="D624" s="3000" t="s">
        <v>3259</v>
      </c>
      <c r="E624" s="3000">
        <v>106</v>
      </c>
      <c r="F624" s="3000">
        <v>69.77</v>
      </c>
      <c r="G624" s="3001" t="s">
        <v>3055</v>
      </c>
    </row>
    <row r="625" spans="1:7" ht="14.25" thickBot="1">
      <c r="A625" s="2999">
        <v>624</v>
      </c>
      <c r="B625" s="3000" t="s">
        <v>3285</v>
      </c>
      <c r="C625" s="3000" t="s">
        <v>3257</v>
      </c>
      <c r="D625" s="3000" t="s">
        <v>3259</v>
      </c>
      <c r="E625" s="3000">
        <v>107</v>
      </c>
      <c r="F625" s="3000">
        <v>66.28</v>
      </c>
      <c r="G625" s="3001" t="s">
        <v>3055</v>
      </c>
    </row>
    <row r="626" spans="1:7" ht="14.25" thickBot="1">
      <c r="A626" s="2999">
        <v>625</v>
      </c>
      <c r="B626" s="3000" t="s">
        <v>3285</v>
      </c>
      <c r="C626" s="3000" t="s">
        <v>3260</v>
      </c>
      <c r="D626" s="3000" t="s">
        <v>3258</v>
      </c>
      <c r="E626" s="3000">
        <v>206</v>
      </c>
      <c r="F626" s="3000">
        <v>69.77</v>
      </c>
      <c r="G626" s="3001" t="s">
        <v>3055</v>
      </c>
    </row>
    <row r="627" spans="1:7" ht="14.25" thickBot="1">
      <c r="A627" s="2999">
        <v>626</v>
      </c>
      <c r="B627" s="3000" t="s">
        <v>3285</v>
      </c>
      <c r="C627" s="3000" t="s">
        <v>3260</v>
      </c>
      <c r="D627" s="3000" t="s">
        <v>3258</v>
      </c>
      <c r="E627" s="3000">
        <v>207</v>
      </c>
      <c r="F627" s="3000">
        <v>66.28</v>
      </c>
      <c r="G627" s="3001" t="s">
        <v>3055</v>
      </c>
    </row>
    <row r="628" spans="1:7" ht="14.25" thickBot="1">
      <c r="A628" s="2999">
        <v>627</v>
      </c>
      <c r="B628" s="3000" t="s">
        <v>3285</v>
      </c>
      <c r="C628" s="3000" t="s">
        <v>3262</v>
      </c>
      <c r="D628" s="3000" t="s">
        <v>3258</v>
      </c>
      <c r="E628" s="3000" t="s">
        <v>3145</v>
      </c>
      <c r="F628" s="3000">
        <v>66.28</v>
      </c>
      <c r="G628" s="3001" t="s">
        <v>3055</v>
      </c>
    </row>
    <row r="629" spans="1:7" ht="14.25" thickBot="1">
      <c r="A629" s="2999">
        <v>628</v>
      </c>
      <c r="B629" s="3000" t="s">
        <v>3285</v>
      </c>
      <c r="C629" s="3000" t="s">
        <v>3262</v>
      </c>
      <c r="D629" s="3000" t="s">
        <v>3258</v>
      </c>
      <c r="E629" s="3000" t="s">
        <v>3150</v>
      </c>
      <c r="F629" s="3000">
        <v>66.28</v>
      </c>
      <c r="G629" s="3001" t="s">
        <v>3055</v>
      </c>
    </row>
    <row r="630" spans="1:7" ht="14.25" thickBot="1">
      <c r="A630" s="2999">
        <v>629</v>
      </c>
      <c r="B630" s="3000" t="s">
        <v>3285</v>
      </c>
      <c r="C630" s="3000" t="s">
        <v>3263</v>
      </c>
      <c r="D630" s="3000" t="s">
        <v>3258</v>
      </c>
      <c r="E630" s="3000">
        <v>506</v>
      </c>
      <c r="F630" s="3000">
        <v>69.77</v>
      </c>
      <c r="G630" s="3001" t="s">
        <v>3055</v>
      </c>
    </row>
    <row r="631" spans="1:7" ht="14.25" thickBot="1">
      <c r="A631" s="2999">
        <v>630</v>
      </c>
      <c r="B631" s="3000" t="s">
        <v>3285</v>
      </c>
      <c r="C631" s="3000" t="s">
        <v>3263</v>
      </c>
      <c r="D631" s="3000" t="s">
        <v>3258</v>
      </c>
      <c r="E631" s="3000">
        <v>507</v>
      </c>
      <c r="F631" s="3000">
        <v>66.28</v>
      </c>
      <c r="G631" s="3001" t="s">
        <v>3055</v>
      </c>
    </row>
    <row r="632" spans="1:7" ht="14.25" thickBot="1">
      <c r="A632" s="2999">
        <v>631</v>
      </c>
      <c r="B632" s="3000" t="s">
        <v>3285</v>
      </c>
      <c r="C632" s="3000" t="s">
        <v>3263</v>
      </c>
      <c r="D632" s="3000" t="s">
        <v>3259</v>
      </c>
      <c r="E632" s="3000">
        <v>507</v>
      </c>
      <c r="F632" s="3000">
        <v>66.28</v>
      </c>
      <c r="G632" s="3001" t="s">
        <v>3055</v>
      </c>
    </row>
    <row r="633" spans="1:7" ht="14.25" thickBot="1">
      <c r="A633" s="2999">
        <v>632</v>
      </c>
      <c r="B633" s="3000" t="s">
        <v>3285</v>
      </c>
      <c r="C633" s="3000" t="s">
        <v>3264</v>
      </c>
      <c r="D633" s="3000" t="s">
        <v>3258</v>
      </c>
      <c r="E633" s="3000">
        <v>602</v>
      </c>
      <c r="F633" s="3000">
        <v>69.77</v>
      </c>
      <c r="G633" s="3001" t="s">
        <v>3055</v>
      </c>
    </row>
    <row r="634" spans="1:7" ht="14.25" thickBot="1">
      <c r="A634" s="2999">
        <v>633</v>
      </c>
      <c r="B634" s="3000" t="s">
        <v>3285</v>
      </c>
      <c r="C634" s="3000" t="s">
        <v>3264</v>
      </c>
      <c r="D634" s="3000" t="s">
        <v>3258</v>
      </c>
      <c r="E634" s="3000">
        <v>603</v>
      </c>
      <c r="F634" s="3000">
        <v>69.94</v>
      </c>
      <c r="G634" s="3001" t="s">
        <v>3055</v>
      </c>
    </row>
    <row r="635" spans="1:7" ht="14.25" thickBot="1">
      <c r="A635" s="2999">
        <v>634</v>
      </c>
      <c r="B635" s="3000" t="s">
        <v>3285</v>
      </c>
      <c r="C635" s="3000" t="s">
        <v>3264</v>
      </c>
      <c r="D635" s="3000" t="s">
        <v>3258</v>
      </c>
      <c r="E635" s="3000">
        <v>606</v>
      </c>
      <c r="F635" s="3000">
        <v>69.77</v>
      </c>
      <c r="G635" s="3001" t="s">
        <v>3055</v>
      </c>
    </row>
    <row r="636" spans="1:7" ht="14.25" thickBot="1">
      <c r="A636" s="2999">
        <v>635</v>
      </c>
      <c r="B636" s="3000" t="s">
        <v>3285</v>
      </c>
      <c r="C636" s="3000" t="s">
        <v>3264</v>
      </c>
      <c r="D636" s="3000" t="s">
        <v>3259</v>
      </c>
      <c r="E636" s="3000">
        <v>603</v>
      </c>
      <c r="F636" s="3000">
        <v>69.94</v>
      </c>
      <c r="G636" s="3001" t="s">
        <v>3055</v>
      </c>
    </row>
    <row r="637" spans="1:7" ht="14.25" thickBot="1">
      <c r="A637" s="2999">
        <v>636</v>
      </c>
      <c r="B637" s="3000" t="s">
        <v>3285</v>
      </c>
      <c r="C637" s="3000" t="s">
        <v>3264</v>
      </c>
      <c r="D637" s="3000" t="s">
        <v>3259</v>
      </c>
      <c r="E637" s="3000">
        <v>605</v>
      </c>
      <c r="F637" s="3000">
        <v>69.94</v>
      </c>
      <c r="G637" s="3001" t="s">
        <v>3055</v>
      </c>
    </row>
    <row r="638" spans="1:7" ht="14.25" thickBot="1">
      <c r="A638" s="2999">
        <v>637</v>
      </c>
      <c r="B638" s="3000" t="s">
        <v>3285</v>
      </c>
      <c r="C638" s="3000" t="s">
        <v>3264</v>
      </c>
      <c r="D638" s="3000" t="s">
        <v>3259</v>
      </c>
      <c r="E638" s="3000">
        <v>606</v>
      </c>
      <c r="F638" s="3000">
        <v>69.77</v>
      </c>
      <c r="G638" s="3001" t="s">
        <v>3055</v>
      </c>
    </row>
    <row r="639" spans="1:7" ht="14.25" thickBot="1">
      <c r="A639" s="2999">
        <v>638</v>
      </c>
      <c r="B639" s="3007" t="s">
        <v>3301</v>
      </c>
      <c r="C639" s="3007" t="s">
        <v>3302</v>
      </c>
      <c r="D639" s="3008" t="s">
        <v>70</v>
      </c>
      <c r="E639" s="3007">
        <v>601</v>
      </c>
      <c r="F639" s="3007">
        <v>69.679999999999993</v>
      </c>
      <c r="G639" s="3007" t="s">
        <v>3303</v>
      </c>
    </row>
    <row r="640" spans="1:7" ht="14.25" thickBot="1">
      <c r="A640" s="2999">
        <v>639</v>
      </c>
      <c r="B640" s="3007" t="s">
        <v>3301</v>
      </c>
      <c r="C640" s="3007" t="s">
        <v>3302</v>
      </c>
      <c r="D640" s="3008" t="s">
        <v>70</v>
      </c>
      <c r="E640" s="3007">
        <v>602</v>
      </c>
      <c r="F640" s="3007">
        <v>71.23</v>
      </c>
      <c r="G640" s="3007" t="s">
        <v>3303</v>
      </c>
    </row>
    <row r="641" spans="1:7" ht="14.25" thickBot="1">
      <c r="A641" s="2999">
        <v>640</v>
      </c>
      <c r="B641" s="3007" t="s">
        <v>3301</v>
      </c>
      <c r="C641" s="3007" t="s">
        <v>3302</v>
      </c>
      <c r="D641" s="3008" t="s">
        <v>70</v>
      </c>
      <c r="E641" s="3007">
        <v>605</v>
      </c>
      <c r="F641" s="3007">
        <v>71.27</v>
      </c>
      <c r="G641" s="3007" t="s">
        <v>3303</v>
      </c>
    </row>
    <row r="642" spans="1:7" ht="14.25" thickBot="1">
      <c r="A642" s="2999">
        <v>641</v>
      </c>
      <c r="B642" s="3007" t="s">
        <v>3301</v>
      </c>
      <c r="C642" s="3007" t="s">
        <v>3302</v>
      </c>
      <c r="D642" s="3008" t="s">
        <v>70</v>
      </c>
      <c r="E642" s="3007">
        <v>606</v>
      </c>
      <c r="F642" s="3007">
        <v>71.27</v>
      </c>
      <c r="G642" s="3007" t="s">
        <v>3303</v>
      </c>
    </row>
    <row r="643" spans="1:7" ht="14.25" thickBot="1">
      <c r="A643" s="2999">
        <v>642</v>
      </c>
      <c r="B643" s="3007" t="s">
        <v>3301</v>
      </c>
      <c r="C643" s="3007" t="s">
        <v>3302</v>
      </c>
      <c r="D643" s="3008" t="s">
        <v>70</v>
      </c>
      <c r="E643" s="3007">
        <v>607</v>
      </c>
      <c r="F643" s="3007">
        <v>69.87</v>
      </c>
      <c r="G643" s="3007" t="s">
        <v>3303</v>
      </c>
    </row>
    <row r="644" spans="1:7" ht="14.25" thickBot="1">
      <c r="A644" s="2999">
        <v>643</v>
      </c>
      <c r="B644" s="3007" t="s">
        <v>3301</v>
      </c>
      <c r="C644" s="3007" t="s">
        <v>3302</v>
      </c>
      <c r="D644" s="3008" t="s">
        <v>70</v>
      </c>
      <c r="E644" s="3007">
        <v>608</v>
      </c>
      <c r="F644" s="3007">
        <v>66.13</v>
      </c>
      <c r="G644" s="3007" t="s">
        <v>3303</v>
      </c>
    </row>
    <row r="645" spans="1:7" ht="14.25" thickBot="1">
      <c r="A645" s="2999">
        <v>644</v>
      </c>
      <c r="B645" s="3007" t="s">
        <v>3304</v>
      </c>
      <c r="C645" s="3007" t="s">
        <v>3305</v>
      </c>
      <c r="D645" s="3008" t="s">
        <v>70</v>
      </c>
      <c r="E645" s="3007">
        <v>601</v>
      </c>
      <c r="F645" s="3009">
        <v>67</v>
      </c>
      <c r="G645" s="3007" t="s">
        <v>3306</v>
      </c>
    </row>
    <row r="646" spans="1:7" ht="14.25" thickBot="1">
      <c r="A646" s="2999">
        <v>645</v>
      </c>
      <c r="B646" s="3007" t="s">
        <v>3304</v>
      </c>
      <c r="C646" s="3007" t="s">
        <v>3305</v>
      </c>
      <c r="D646" s="3008" t="s">
        <v>70</v>
      </c>
      <c r="E646" s="3007">
        <v>602</v>
      </c>
      <c r="F646" s="3009">
        <v>70.400000000000006</v>
      </c>
      <c r="G646" s="3007" t="s">
        <v>3306</v>
      </c>
    </row>
    <row r="647" spans="1:7" ht="14.25" thickBot="1">
      <c r="A647" s="2999">
        <v>646</v>
      </c>
      <c r="B647" s="3007" t="s">
        <v>3304</v>
      </c>
      <c r="C647" s="3007" t="s">
        <v>3305</v>
      </c>
      <c r="D647" s="3008" t="s">
        <v>70</v>
      </c>
      <c r="E647" s="3007">
        <v>603</v>
      </c>
      <c r="F647" s="3009">
        <v>70.44</v>
      </c>
      <c r="G647" s="3007" t="s">
        <v>3306</v>
      </c>
    </row>
    <row r="648" spans="1:7" ht="14.25" thickBot="1">
      <c r="A648" s="2999">
        <v>647</v>
      </c>
      <c r="B648" s="3007" t="s">
        <v>3304</v>
      </c>
      <c r="C648" s="3007" t="s">
        <v>3305</v>
      </c>
      <c r="D648" s="3008" t="s">
        <v>70</v>
      </c>
      <c r="E648" s="3007">
        <v>605</v>
      </c>
      <c r="F648" s="3009">
        <v>70.44</v>
      </c>
      <c r="G648" s="3007" t="s">
        <v>3306</v>
      </c>
    </row>
    <row r="649" spans="1:7" ht="14.25" thickBot="1">
      <c r="A649" s="2999">
        <v>648</v>
      </c>
      <c r="B649" s="3007" t="s">
        <v>3304</v>
      </c>
      <c r="C649" s="3007" t="s">
        <v>3305</v>
      </c>
      <c r="D649" s="3008" t="s">
        <v>70</v>
      </c>
      <c r="E649" s="3007">
        <v>606</v>
      </c>
      <c r="F649" s="3009">
        <v>70.400000000000006</v>
      </c>
      <c r="G649" s="3007" t="s">
        <v>3306</v>
      </c>
    </row>
    <row r="650" spans="1:7" ht="14.25" thickBot="1">
      <c r="A650" s="2999">
        <v>649</v>
      </c>
      <c r="B650" s="3007" t="s">
        <v>3304</v>
      </c>
      <c r="C650" s="3007" t="s">
        <v>3305</v>
      </c>
      <c r="D650" s="3008" t="s">
        <v>70</v>
      </c>
      <c r="E650" s="3007">
        <v>607</v>
      </c>
      <c r="F650" s="3009">
        <v>67</v>
      </c>
      <c r="G650" s="3007" t="s">
        <v>3306</v>
      </c>
    </row>
    <row r="651" spans="1:7" ht="14.25" thickBot="1">
      <c r="A651" s="2999">
        <v>650</v>
      </c>
      <c r="B651" s="3007" t="s">
        <v>3307</v>
      </c>
      <c r="C651" s="3007" t="s">
        <v>3308</v>
      </c>
      <c r="D651" s="3008" t="s">
        <v>70</v>
      </c>
      <c r="E651" s="3007" t="s">
        <v>3145</v>
      </c>
      <c r="F651" s="3009">
        <v>69.150000000000006</v>
      </c>
      <c r="G651" s="3007" t="s">
        <v>3306</v>
      </c>
    </row>
    <row r="652" spans="1:7" ht="14.25" thickBot="1">
      <c r="A652" s="2999">
        <v>651</v>
      </c>
      <c r="B652" s="3007" t="s">
        <v>3307</v>
      </c>
      <c r="C652" s="3007" t="s">
        <v>3308</v>
      </c>
      <c r="D652" s="3008" t="s">
        <v>70</v>
      </c>
      <c r="E652" s="3007" t="s">
        <v>3146</v>
      </c>
      <c r="F652" s="3009">
        <v>70.7</v>
      </c>
      <c r="G652" s="3007" t="s">
        <v>3306</v>
      </c>
    </row>
    <row r="653" spans="1:7" ht="14.25" thickBot="1">
      <c r="A653" s="2999">
        <v>652</v>
      </c>
      <c r="B653" s="3007" t="s">
        <v>3307</v>
      </c>
      <c r="C653" s="3007" t="s">
        <v>3308</v>
      </c>
      <c r="D653" s="3008" t="s">
        <v>70</v>
      </c>
      <c r="E653" s="3007" t="s">
        <v>3148</v>
      </c>
      <c r="F653" s="3009">
        <v>70.73</v>
      </c>
      <c r="G653" s="3007" t="s">
        <v>3306</v>
      </c>
    </row>
    <row r="654" spans="1:7" ht="14.25" thickBot="1">
      <c r="A654" s="2999">
        <v>653</v>
      </c>
      <c r="B654" s="3007" t="s">
        <v>3307</v>
      </c>
      <c r="C654" s="3007" t="s">
        <v>3308</v>
      </c>
      <c r="D654" s="3008" t="s">
        <v>70</v>
      </c>
      <c r="E654" s="3007" t="s">
        <v>3149</v>
      </c>
      <c r="F654" s="3009">
        <v>70.73</v>
      </c>
      <c r="G654" s="3007" t="s">
        <v>3306</v>
      </c>
    </row>
    <row r="655" spans="1:7" ht="14.25" thickBot="1">
      <c r="A655" s="2999">
        <v>654</v>
      </c>
      <c r="B655" s="3007" t="s">
        <v>3307</v>
      </c>
      <c r="C655" s="3007" t="s">
        <v>3308</v>
      </c>
      <c r="D655" s="3008" t="s">
        <v>70</v>
      </c>
      <c r="E655" s="3007" t="s">
        <v>3151</v>
      </c>
      <c r="F655" s="3009">
        <v>65.63</v>
      </c>
      <c r="G655" s="3007" t="s">
        <v>3306</v>
      </c>
    </row>
    <row r="656" spans="1:7" ht="14.25" thickBot="1">
      <c r="A656" s="2999">
        <v>655</v>
      </c>
      <c r="B656" s="3007" t="s">
        <v>3307</v>
      </c>
      <c r="C656" s="3007" t="s">
        <v>3309</v>
      </c>
      <c r="D656" s="3008" t="s">
        <v>70</v>
      </c>
      <c r="E656" s="3007">
        <v>501</v>
      </c>
      <c r="F656" s="3009">
        <v>69.150000000000006</v>
      </c>
      <c r="G656" s="3007" t="s">
        <v>3306</v>
      </c>
    </row>
    <row r="657" spans="1:7" ht="14.25" thickBot="1">
      <c r="A657" s="2999">
        <v>656</v>
      </c>
      <c r="B657" s="3007" t="s">
        <v>3307</v>
      </c>
      <c r="C657" s="3007" t="s">
        <v>3309</v>
      </c>
      <c r="D657" s="3008" t="s">
        <v>70</v>
      </c>
      <c r="E657" s="3007">
        <v>502</v>
      </c>
      <c r="F657" s="3009">
        <v>70.7</v>
      </c>
      <c r="G657" s="3007" t="s">
        <v>3306</v>
      </c>
    </row>
    <row r="658" spans="1:7" ht="14.25" thickBot="1">
      <c r="A658" s="2999">
        <v>657</v>
      </c>
      <c r="B658" s="3007" t="s">
        <v>3307</v>
      </c>
      <c r="C658" s="3007" t="s">
        <v>3309</v>
      </c>
      <c r="D658" s="3008" t="s">
        <v>70</v>
      </c>
      <c r="E658" s="3007">
        <v>503</v>
      </c>
      <c r="F658" s="3009">
        <v>70.73</v>
      </c>
      <c r="G658" s="3007" t="s">
        <v>3306</v>
      </c>
    </row>
    <row r="659" spans="1:7" ht="14.25" thickBot="1">
      <c r="A659" s="2999">
        <v>658</v>
      </c>
      <c r="B659" s="3007" t="s">
        <v>3307</v>
      </c>
      <c r="C659" s="3007" t="s">
        <v>3309</v>
      </c>
      <c r="D659" s="3008" t="s">
        <v>70</v>
      </c>
      <c r="E659" s="3007">
        <v>505</v>
      </c>
      <c r="F659" s="3009">
        <v>70.73</v>
      </c>
      <c r="G659" s="3007" t="s">
        <v>3306</v>
      </c>
    </row>
    <row r="660" spans="1:7" ht="14.25" thickBot="1">
      <c r="A660" s="2999">
        <v>659</v>
      </c>
      <c r="B660" s="3007" t="s">
        <v>3307</v>
      </c>
      <c r="C660" s="3007" t="s">
        <v>3309</v>
      </c>
      <c r="D660" s="3008" t="s">
        <v>70</v>
      </c>
      <c r="E660" s="3007">
        <v>506</v>
      </c>
      <c r="F660" s="3009">
        <v>70.73</v>
      </c>
      <c r="G660" s="3007" t="s">
        <v>3306</v>
      </c>
    </row>
    <row r="661" spans="1:7" ht="14.25" thickBot="1">
      <c r="A661" s="2999">
        <v>660</v>
      </c>
      <c r="B661" s="3007" t="s">
        <v>3307</v>
      </c>
      <c r="C661" s="3007" t="s">
        <v>3309</v>
      </c>
      <c r="D661" s="3008" t="s">
        <v>70</v>
      </c>
      <c r="E661" s="3007">
        <v>507</v>
      </c>
      <c r="F661" s="3009">
        <v>69.34</v>
      </c>
      <c r="G661" s="3007" t="s">
        <v>3306</v>
      </c>
    </row>
    <row r="662" spans="1:7" ht="14.25" thickBot="1">
      <c r="A662" s="2999">
        <v>661</v>
      </c>
      <c r="B662" s="3007" t="s">
        <v>3307</v>
      </c>
      <c r="C662" s="3007" t="s">
        <v>3309</v>
      </c>
      <c r="D662" s="3008" t="s">
        <v>70</v>
      </c>
      <c r="E662" s="3007">
        <v>508</v>
      </c>
      <c r="F662" s="3009">
        <v>65.63</v>
      </c>
      <c r="G662" s="3007" t="s">
        <v>3306</v>
      </c>
    </row>
    <row r="663" spans="1:7" ht="14.25" thickBot="1">
      <c r="A663" s="2999">
        <v>662</v>
      </c>
      <c r="B663" s="3007" t="s">
        <v>3310</v>
      </c>
      <c r="C663" s="3007" t="s">
        <v>3311</v>
      </c>
      <c r="D663" s="3008" t="s">
        <v>3312</v>
      </c>
      <c r="E663" s="3007">
        <v>201</v>
      </c>
      <c r="F663" s="3009">
        <v>66.28</v>
      </c>
      <c r="G663" s="3007" t="s">
        <v>3306</v>
      </c>
    </row>
    <row r="664" spans="1:7" ht="14.25" thickBot="1">
      <c r="A664" s="2999">
        <v>663</v>
      </c>
      <c r="B664" s="3007" t="s">
        <v>3310</v>
      </c>
      <c r="C664" s="3007" t="s">
        <v>3311</v>
      </c>
      <c r="D664" s="3008" t="s">
        <v>3312</v>
      </c>
      <c r="E664" s="3007">
        <v>202</v>
      </c>
      <c r="F664" s="3009">
        <v>69.77</v>
      </c>
      <c r="G664" s="3007" t="s">
        <v>3306</v>
      </c>
    </row>
    <row r="665" spans="1:7" ht="14.25" thickBot="1">
      <c r="A665" s="2999">
        <v>664</v>
      </c>
      <c r="B665" s="3007" t="s">
        <v>3310</v>
      </c>
      <c r="C665" s="3007" t="s">
        <v>3311</v>
      </c>
      <c r="D665" s="3008" t="s">
        <v>3312</v>
      </c>
      <c r="E665" s="3007">
        <v>205</v>
      </c>
      <c r="F665" s="3009">
        <v>69.94</v>
      </c>
      <c r="G665" s="3007" t="s">
        <v>3306</v>
      </c>
    </row>
    <row r="666" spans="1:7" ht="14.25" thickBot="1">
      <c r="A666" s="2999">
        <v>665</v>
      </c>
      <c r="B666" s="3007" t="s">
        <v>3310</v>
      </c>
      <c r="C666" s="3007" t="s">
        <v>3311</v>
      </c>
      <c r="D666" s="3008" t="s">
        <v>3312</v>
      </c>
      <c r="E666" s="3007">
        <v>206</v>
      </c>
      <c r="F666" s="3009">
        <v>69.77</v>
      </c>
      <c r="G666" s="3007" t="s">
        <v>3306</v>
      </c>
    </row>
    <row r="667" spans="1:7" ht="14.25" thickBot="1">
      <c r="A667" s="2999">
        <v>666</v>
      </c>
      <c r="B667" s="3007" t="s">
        <v>3310</v>
      </c>
      <c r="C667" s="3007" t="s">
        <v>3311</v>
      </c>
      <c r="D667" s="3008" t="s">
        <v>3312</v>
      </c>
      <c r="E667" s="3007">
        <v>207</v>
      </c>
      <c r="F667" s="3009">
        <v>66.28</v>
      </c>
      <c r="G667" s="3007" t="s">
        <v>3306</v>
      </c>
    </row>
    <row r="668" spans="1:7" ht="14.25" thickBot="1">
      <c r="A668" s="2999">
        <v>667</v>
      </c>
      <c r="B668" s="3007" t="s">
        <v>3310</v>
      </c>
      <c r="C668" s="3007" t="s">
        <v>3313</v>
      </c>
      <c r="D668" s="3008" t="s">
        <v>3312</v>
      </c>
      <c r="E668" s="3007">
        <v>301</v>
      </c>
      <c r="F668" s="3009">
        <v>66.28</v>
      </c>
      <c r="G668" s="3007" t="s">
        <v>3306</v>
      </c>
    </row>
    <row r="669" spans="1:7" ht="14.25" thickBot="1">
      <c r="A669" s="2999">
        <v>668</v>
      </c>
      <c r="B669" s="3007" t="s">
        <v>3310</v>
      </c>
      <c r="C669" s="3007" t="s">
        <v>3313</v>
      </c>
      <c r="D669" s="3008" t="s">
        <v>3312</v>
      </c>
      <c r="E669" s="3007">
        <v>302</v>
      </c>
      <c r="F669" s="3009">
        <v>69.77</v>
      </c>
      <c r="G669" s="3007" t="s">
        <v>3306</v>
      </c>
    </row>
    <row r="670" spans="1:7" ht="14.25" thickBot="1">
      <c r="A670" s="2999">
        <v>669</v>
      </c>
      <c r="B670" s="3007" t="s">
        <v>3310</v>
      </c>
      <c r="C670" s="3007" t="s">
        <v>3313</v>
      </c>
      <c r="D670" s="3008" t="s">
        <v>3312</v>
      </c>
      <c r="E670" s="3007">
        <v>303</v>
      </c>
      <c r="F670" s="3009">
        <v>69.94</v>
      </c>
      <c r="G670" s="3007" t="s">
        <v>3306</v>
      </c>
    </row>
    <row r="671" spans="1:7" ht="14.25" thickBot="1">
      <c r="A671" s="2999">
        <v>670</v>
      </c>
      <c r="B671" s="3007" t="s">
        <v>3310</v>
      </c>
      <c r="C671" s="3007" t="s">
        <v>3313</v>
      </c>
      <c r="D671" s="3008" t="s">
        <v>3312</v>
      </c>
      <c r="E671" s="3007">
        <v>307</v>
      </c>
      <c r="F671" s="3009">
        <v>66.28</v>
      </c>
      <c r="G671" s="3007" t="s">
        <v>3306</v>
      </c>
    </row>
    <row r="672" spans="1:7" ht="14.25" thickBot="1">
      <c r="A672" s="2999">
        <v>671</v>
      </c>
      <c r="B672" s="3007" t="s">
        <v>3310</v>
      </c>
      <c r="C672" s="3007" t="s">
        <v>3308</v>
      </c>
      <c r="D672" s="3008" t="s">
        <v>3312</v>
      </c>
      <c r="E672" s="3007" t="s">
        <v>3145</v>
      </c>
      <c r="F672" s="3009">
        <v>66.28</v>
      </c>
      <c r="G672" s="3007" t="s">
        <v>3306</v>
      </c>
    </row>
    <row r="673" spans="1:7" ht="14.25" thickBot="1">
      <c r="A673" s="2999">
        <v>672</v>
      </c>
      <c r="B673" s="3007" t="s">
        <v>3310</v>
      </c>
      <c r="C673" s="3007" t="s">
        <v>3308</v>
      </c>
      <c r="D673" s="3008" t="s">
        <v>3312</v>
      </c>
      <c r="E673" s="3007" t="s">
        <v>3147</v>
      </c>
      <c r="F673" s="3009">
        <v>69.94</v>
      </c>
      <c r="G673" s="3007" t="s">
        <v>3306</v>
      </c>
    </row>
    <row r="674" spans="1:7" ht="14.25" thickBot="1">
      <c r="A674" s="2999">
        <v>673</v>
      </c>
      <c r="B674" s="3007" t="s">
        <v>3310</v>
      </c>
      <c r="C674" s="3007" t="s">
        <v>3308</v>
      </c>
      <c r="D674" s="3008" t="s">
        <v>3312</v>
      </c>
      <c r="E674" s="3007" t="s">
        <v>3148</v>
      </c>
      <c r="F674" s="3009">
        <v>69.94</v>
      </c>
      <c r="G674" s="3007" t="s">
        <v>3306</v>
      </c>
    </row>
    <row r="675" spans="1:7" ht="14.25" thickBot="1">
      <c r="A675" s="2999">
        <v>674</v>
      </c>
      <c r="B675" s="3007" t="s">
        <v>3310</v>
      </c>
      <c r="C675" s="3007" t="s">
        <v>3308</v>
      </c>
      <c r="D675" s="3008" t="s">
        <v>3312</v>
      </c>
      <c r="E675" s="3007" t="s">
        <v>3149</v>
      </c>
      <c r="F675" s="3009">
        <v>69.77</v>
      </c>
      <c r="G675" s="3007" t="s">
        <v>3306</v>
      </c>
    </row>
    <row r="676" spans="1:7" ht="14.25" thickBot="1">
      <c r="A676" s="2999">
        <v>675</v>
      </c>
      <c r="B676" s="3007" t="s">
        <v>3310</v>
      </c>
      <c r="C676" s="3007" t="s">
        <v>3308</v>
      </c>
      <c r="D676" s="3008" t="s">
        <v>3312</v>
      </c>
      <c r="E676" s="3007" t="s">
        <v>3150</v>
      </c>
      <c r="F676" s="3009">
        <v>66.28</v>
      </c>
      <c r="G676" s="3007" t="s">
        <v>3306</v>
      </c>
    </row>
    <row r="677" spans="1:7" ht="14.25" thickBot="1">
      <c r="A677" s="2999">
        <v>676</v>
      </c>
      <c r="B677" s="3000" t="s">
        <v>3267</v>
      </c>
      <c r="C677" s="3002" t="s">
        <v>3257</v>
      </c>
      <c r="D677" s="3000" t="s">
        <v>70</v>
      </c>
      <c r="E677" s="3002" t="s">
        <v>3132</v>
      </c>
      <c r="F677" s="3000">
        <v>98.4</v>
      </c>
      <c r="G677" s="3001" t="s">
        <v>1373</v>
      </c>
    </row>
    <row r="678" spans="1:7" ht="14.25" thickBot="1">
      <c r="A678" s="2999">
        <v>677</v>
      </c>
      <c r="B678" s="3000" t="s">
        <v>3267</v>
      </c>
      <c r="C678" s="3002" t="s">
        <v>3257</v>
      </c>
      <c r="D678" s="3000" t="s">
        <v>70</v>
      </c>
      <c r="E678" s="3002" t="s">
        <v>3134</v>
      </c>
      <c r="F678" s="3000">
        <v>104.81</v>
      </c>
      <c r="G678" s="3001" t="s">
        <v>1373</v>
      </c>
    </row>
    <row r="679" spans="1:7" ht="14.25" thickBot="1">
      <c r="A679" s="2999">
        <v>678</v>
      </c>
      <c r="B679" s="3000" t="s">
        <v>3267</v>
      </c>
      <c r="C679" s="3002" t="s">
        <v>3257</v>
      </c>
      <c r="D679" s="3000" t="s">
        <v>70</v>
      </c>
      <c r="E679" s="3002" t="s">
        <v>3135</v>
      </c>
      <c r="F679" s="3000">
        <v>103.82</v>
      </c>
      <c r="G679" s="3001" t="s">
        <v>1373</v>
      </c>
    </row>
    <row r="680" spans="1:7" ht="14.25" thickBot="1">
      <c r="A680" s="2999">
        <v>679</v>
      </c>
      <c r="B680" s="3000" t="s">
        <v>3267</v>
      </c>
      <c r="C680" s="3002" t="s">
        <v>3257</v>
      </c>
      <c r="D680" s="3000" t="s">
        <v>70</v>
      </c>
      <c r="E680" s="3002" t="s">
        <v>3136</v>
      </c>
      <c r="F680" s="3000">
        <v>53.71</v>
      </c>
      <c r="G680" s="3001" t="s">
        <v>1373</v>
      </c>
    </row>
    <row r="681" spans="1:7" ht="14.25" thickBot="1">
      <c r="A681" s="2999">
        <v>680</v>
      </c>
      <c r="B681" s="3000" t="s">
        <v>3267</v>
      </c>
      <c r="C681" s="3002" t="s">
        <v>3257</v>
      </c>
      <c r="D681" s="3000" t="s">
        <v>70</v>
      </c>
      <c r="E681" s="3002" t="s">
        <v>3137</v>
      </c>
      <c r="F681" s="3000">
        <v>104.82</v>
      </c>
      <c r="G681" s="3001" t="s">
        <v>1373</v>
      </c>
    </row>
    <row r="682" spans="1:7" ht="14.25" thickBot="1">
      <c r="A682" s="2999">
        <v>681</v>
      </c>
      <c r="B682" s="3000" t="s">
        <v>3267</v>
      </c>
      <c r="C682" s="3002" t="s">
        <v>3257</v>
      </c>
      <c r="D682" s="3000" t="s">
        <v>70</v>
      </c>
      <c r="E682" s="3002" t="s">
        <v>3138</v>
      </c>
      <c r="F682" s="3000">
        <v>89.47</v>
      </c>
      <c r="G682" s="3001" t="s">
        <v>1373</v>
      </c>
    </row>
    <row r="683" spans="1:7" ht="14.25" thickBot="1">
      <c r="A683" s="2999">
        <v>682</v>
      </c>
      <c r="B683" s="3000" t="s">
        <v>3267</v>
      </c>
      <c r="C683" s="3002" t="s">
        <v>3257</v>
      </c>
      <c r="D683" s="3000" t="s">
        <v>70</v>
      </c>
      <c r="E683" s="3002" t="s">
        <v>3139</v>
      </c>
      <c r="F683" s="3000">
        <v>89.47</v>
      </c>
      <c r="G683" s="3001" t="s">
        <v>1373</v>
      </c>
    </row>
    <row r="684" spans="1:7" ht="14.25" thickBot="1">
      <c r="A684" s="2999">
        <v>683</v>
      </c>
      <c r="B684" s="3000" t="s">
        <v>3267</v>
      </c>
      <c r="C684" s="3002" t="s">
        <v>3257</v>
      </c>
      <c r="D684" s="3000" t="s">
        <v>70</v>
      </c>
      <c r="E684" s="3002" t="s">
        <v>3140</v>
      </c>
      <c r="F684" s="3000">
        <v>104.82</v>
      </c>
      <c r="G684" s="3001" t="s">
        <v>1373</v>
      </c>
    </row>
    <row r="685" spans="1:7" ht="14.25" thickBot="1">
      <c r="A685" s="2999">
        <v>684</v>
      </c>
      <c r="B685" s="3000" t="s">
        <v>3267</v>
      </c>
      <c r="C685" s="3002" t="s">
        <v>3257</v>
      </c>
      <c r="D685" s="3000" t="s">
        <v>70</v>
      </c>
      <c r="E685" s="3002" t="s">
        <v>3141</v>
      </c>
      <c r="F685" s="3000">
        <v>53.71</v>
      </c>
      <c r="G685" s="3001" t="s">
        <v>1373</v>
      </c>
    </row>
    <row r="686" spans="1:7" ht="14.25" thickBot="1">
      <c r="A686" s="2999">
        <v>685</v>
      </c>
      <c r="B686" s="3000" t="s">
        <v>3267</v>
      </c>
      <c r="C686" s="3002" t="s">
        <v>3257</v>
      </c>
      <c r="D686" s="3000" t="s">
        <v>70</v>
      </c>
      <c r="E686" s="3002" t="s">
        <v>3142</v>
      </c>
      <c r="F686" s="3000">
        <v>103.82</v>
      </c>
      <c r="G686" s="3001" t="s">
        <v>1373</v>
      </c>
    </row>
    <row r="687" spans="1:7" ht="14.25" thickBot="1">
      <c r="A687" s="2999">
        <v>686</v>
      </c>
      <c r="B687" s="3000" t="s">
        <v>3267</v>
      </c>
      <c r="C687" s="3002" t="s">
        <v>3257</v>
      </c>
      <c r="D687" s="3000" t="s">
        <v>70</v>
      </c>
      <c r="E687" s="3002" t="s">
        <v>3164</v>
      </c>
      <c r="F687" s="3000">
        <v>104.81</v>
      </c>
      <c r="G687" s="3001" t="s">
        <v>1373</v>
      </c>
    </row>
    <row r="688" spans="1:7" ht="14.25" thickBot="1">
      <c r="A688" s="2999">
        <v>687</v>
      </c>
      <c r="B688" s="3000" t="s">
        <v>3267</v>
      </c>
      <c r="C688" s="3002" t="s">
        <v>3257</v>
      </c>
      <c r="D688" s="3000" t="s">
        <v>70</v>
      </c>
      <c r="E688" s="3002" t="s">
        <v>3165</v>
      </c>
      <c r="F688" s="3000">
        <v>89.47</v>
      </c>
      <c r="G688" s="3001" t="s">
        <v>1373</v>
      </c>
    </row>
    <row r="689" spans="1:7" ht="14.25" thickBot="1">
      <c r="A689" s="2999">
        <v>688</v>
      </c>
      <c r="B689" s="3000" t="s">
        <v>3268</v>
      </c>
      <c r="C689" s="3002" t="s">
        <v>3257</v>
      </c>
      <c r="D689" s="3000" t="s">
        <v>3258</v>
      </c>
      <c r="E689" s="3002" t="s">
        <v>3132</v>
      </c>
      <c r="F689" s="3000">
        <v>117.68</v>
      </c>
      <c r="G689" s="3001" t="s">
        <v>1373</v>
      </c>
    </row>
    <row r="690" spans="1:7" ht="14.25" thickBot="1">
      <c r="A690" s="2999">
        <v>689</v>
      </c>
      <c r="B690" s="3000" t="s">
        <v>3268</v>
      </c>
      <c r="C690" s="3002" t="s">
        <v>3257</v>
      </c>
      <c r="D690" s="3000" t="s">
        <v>3258</v>
      </c>
      <c r="E690" s="3002" t="s">
        <v>3134</v>
      </c>
      <c r="F690" s="3000">
        <v>87.15</v>
      </c>
      <c r="G690" s="3001" t="s">
        <v>1373</v>
      </c>
    </row>
    <row r="691" spans="1:7" ht="14.25" thickBot="1">
      <c r="A691" s="2999">
        <v>690</v>
      </c>
      <c r="B691" s="3000" t="s">
        <v>3268</v>
      </c>
      <c r="C691" s="3002" t="s">
        <v>3257</v>
      </c>
      <c r="D691" s="3000" t="s">
        <v>3258</v>
      </c>
      <c r="E691" s="3002" t="s">
        <v>3135</v>
      </c>
      <c r="F691" s="3000">
        <v>85.07</v>
      </c>
      <c r="G691" s="3001" t="s">
        <v>1373</v>
      </c>
    </row>
    <row r="692" spans="1:7" ht="14.25" thickBot="1">
      <c r="A692" s="2999">
        <v>691</v>
      </c>
      <c r="B692" s="3000" t="s">
        <v>3268</v>
      </c>
      <c r="C692" s="3002" t="s">
        <v>3257</v>
      </c>
      <c r="D692" s="3000" t="s">
        <v>3258</v>
      </c>
      <c r="E692" s="3002" t="s">
        <v>3136</v>
      </c>
      <c r="F692" s="3000">
        <v>86.32</v>
      </c>
      <c r="G692" s="3001" t="s">
        <v>1373</v>
      </c>
    </row>
    <row r="693" spans="1:7" ht="14.25" thickBot="1">
      <c r="A693" s="2999">
        <v>692</v>
      </c>
      <c r="B693" s="3000" t="s">
        <v>3268</v>
      </c>
      <c r="C693" s="3002" t="s">
        <v>3257</v>
      </c>
      <c r="D693" s="3000" t="s">
        <v>3258</v>
      </c>
      <c r="E693" s="3002" t="s">
        <v>3137</v>
      </c>
      <c r="F693" s="3000">
        <v>113.33</v>
      </c>
      <c r="G693" s="3001" t="s">
        <v>1373</v>
      </c>
    </row>
    <row r="694" spans="1:7" ht="14.25" thickBot="1">
      <c r="A694" s="2999">
        <v>693</v>
      </c>
      <c r="B694" s="3000" t="s">
        <v>3268</v>
      </c>
      <c r="C694" s="3002" t="s">
        <v>3257</v>
      </c>
      <c r="D694" s="3000" t="s">
        <v>3258</v>
      </c>
      <c r="E694" s="3002" t="s">
        <v>3138</v>
      </c>
      <c r="F694" s="3000">
        <v>113.33</v>
      </c>
      <c r="G694" s="3001" t="s">
        <v>1373</v>
      </c>
    </row>
    <row r="695" spans="1:7" ht="14.25" thickBot="1">
      <c r="A695" s="2999">
        <v>694</v>
      </c>
      <c r="B695" s="3000" t="s">
        <v>3268</v>
      </c>
      <c r="C695" s="3002" t="s">
        <v>3257</v>
      </c>
      <c r="D695" s="3000" t="s">
        <v>3258</v>
      </c>
      <c r="E695" s="3002" t="s">
        <v>3139</v>
      </c>
      <c r="F695" s="3000">
        <v>86.32</v>
      </c>
      <c r="G695" s="3001" t="s">
        <v>1373</v>
      </c>
    </row>
    <row r="696" spans="1:7" ht="14.25" thickBot="1">
      <c r="A696" s="2999">
        <v>695</v>
      </c>
      <c r="B696" s="3000" t="s">
        <v>3268</v>
      </c>
      <c r="C696" s="3002" t="s">
        <v>3257</v>
      </c>
      <c r="D696" s="3000" t="s">
        <v>3258</v>
      </c>
      <c r="E696" s="3002" t="s">
        <v>3140</v>
      </c>
      <c r="F696" s="3000">
        <v>85.07</v>
      </c>
      <c r="G696" s="3001" t="s">
        <v>1373</v>
      </c>
    </row>
    <row r="697" spans="1:7" ht="14.25" thickBot="1">
      <c r="A697" s="2999">
        <v>696</v>
      </c>
      <c r="B697" s="3000" t="s">
        <v>3268</v>
      </c>
      <c r="C697" s="3002" t="s">
        <v>3257</v>
      </c>
      <c r="D697" s="3000" t="s">
        <v>3258</v>
      </c>
      <c r="E697" s="3002" t="s">
        <v>3141</v>
      </c>
      <c r="F697" s="3000">
        <v>87.15</v>
      </c>
      <c r="G697" s="3001" t="s">
        <v>1373</v>
      </c>
    </row>
    <row r="698" spans="1:7" ht="14.25" thickBot="1">
      <c r="A698" s="2999">
        <v>697</v>
      </c>
      <c r="B698" s="3000" t="s">
        <v>3268</v>
      </c>
      <c r="C698" s="3002" t="s">
        <v>3257</v>
      </c>
      <c r="D698" s="3000" t="s">
        <v>3258</v>
      </c>
      <c r="E698" s="3002" t="s">
        <v>3142</v>
      </c>
      <c r="F698" s="3000">
        <v>117.68</v>
      </c>
      <c r="G698" s="3001" t="s">
        <v>1373</v>
      </c>
    </row>
    <row r="699" spans="1:7" ht="14.25" thickBot="1">
      <c r="A699" s="2999">
        <v>698</v>
      </c>
      <c r="B699" s="3000" t="s">
        <v>3290</v>
      </c>
      <c r="C699" s="3000" t="s">
        <v>3291</v>
      </c>
      <c r="D699" s="3000" t="s">
        <v>70</v>
      </c>
      <c r="E699" s="3000" t="s">
        <v>3130</v>
      </c>
      <c r="F699" s="3000">
        <v>1326.16</v>
      </c>
      <c r="G699" s="3001" t="s">
        <v>3292</v>
      </c>
    </row>
    <row r="700" spans="1:7" ht="14.25" thickBot="1">
      <c r="A700" s="2999">
        <v>699</v>
      </c>
      <c r="B700" s="3000" t="s">
        <v>3293</v>
      </c>
      <c r="C700" s="3000" t="s">
        <v>3291</v>
      </c>
      <c r="D700" s="3000" t="s">
        <v>70</v>
      </c>
      <c r="E700" s="3000" t="s">
        <v>3130</v>
      </c>
      <c r="F700" s="3000">
        <v>884.71</v>
      </c>
      <c r="G700" s="3001" t="s">
        <v>3292</v>
      </c>
    </row>
    <row r="701" spans="1:7" ht="14.25" thickBot="1">
      <c r="A701" s="2999">
        <v>700</v>
      </c>
      <c r="B701" s="3000" t="s">
        <v>3280</v>
      </c>
      <c r="C701" s="3000" t="s">
        <v>3257</v>
      </c>
      <c r="D701" s="3000" t="s">
        <v>70</v>
      </c>
      <c r="E701" s="3000" t="s">
        <v>3132</v>
      </c>
      <c r="F701" s="3000">
        <v>72.75</v>
      </c>
      <c r="G701" s="3001" t="s">
        <v>1373</v>
      </c>
    </row>
    <row r="702" spans="1:7" ht="14.25" thickBot="1">
      <c r="A702" s="2999">
        <v>701</v>
      </c>
      <c r="B702" s="3000" t="s">
        <v>3280</v>
      </c>
      <c r="C702" s="3000" t="s">
        <v>3257</v>
      </c>
      <c r="D702" s="3000" t="s">
        <v>70</v>
      </c>
      <c r="E702" s="3000" t="s">
        <v>3134</v>
      </c>
      <c r="F702" s="3000">
        <v>54.97</v>
      </c>
      <c r="G702" s="3001" t="s">
        <v>1373</v>
      </c>
    </row>
    <row r="703" spans="1:7" ht="14.25" thickBot="1">
      <c r="A703" s="2999">
        <v>702</v>
      </c>
      <c r="B703" s="3000" t="s">
        <v>3280</v>
      </c>
      <c r="C703" s="3000" t="s">
        <v>3257</v>
      </c>
      <c r="D703" s="3000" t="s">
        <v>70</v>
      </c>
      <c r="E703" s="3000" t="s">
        <v>3135</v>
      </c>
      <c r="F703" s="3000">
        <v>55.91</v>
      </c>
      <c r="G703" s="3001" t="s">
        <v>1373</v>
      </c>
    </row>
    <row r="704" spans="1:7" ht="14.25" thickBot="1">
      <c r="A704" s="2999">
        <v>703</v>
      </c>
      <c r="B704" s="3000" t="s">
        <v>3280</v>
      </c>
      <c r="C704" s="3000" t="s">
        <v>3257</v>
      </c>
      <c r="D704" s="3000" t="s">
        <v>70</v>
      </c>
      <c r="E704" s="3000" t="s">
        <v>3136</v>
      </c>
      <c r="F704" s="3000">
        <v>70.09</v>
      </c>
      <c r="G704" s="3001" t="s">
        <v>1373</v>
      </c>
    </row>
    <row r="705" spans="1:7" ht="14.25" thickBot="1">
      <c r="A705" s="2999">
        <v>704</v>
      </c>
      <c r="B705" s="3000" t="s">
        <v>3280</v>
      </c>
      <c r="C705" s="3000" t="s">
        <v>3257</v>
      </c>
      <c r="D705" s="3000" t="s">
        <v>70</v>
      </c>
      <c r="E705" s="3000" t="s">
        <v>3137</v>
      </c>
      <c r="F705" s="3000">
        <v>57.86</v>
      </c>
      <c r="G705" s="3001" t="s">
        <v>1373</v>
      </c>
    </row>
    <row r="706" spans="1:7" ht="14.25" thickBot="1">
      <c r="A706" s="2999">
        <v>705</v>
      </c>
      <c r="B706" s="3000" t="s">
        <v>3280</v>
      </c>
      <c r="C706" s="3000" t="s">
        <v>3257</v>
      </c>
      <c r="D706" s="3000" t="s">
        <v>70</v>
      </c>
      <c r="E706" s="3000" t="s">
        <v>3138</v>
      </c>
      <c r="F706" s="3000">
        <v>55.93</v>
      </c>
      <c r="G706" s="3001" t="s">
        <v>1373</v>
      </c>
    </row>
    <row r="707" spans="1:7" ht="14.25" thickBot="1">
      <c r="A707" s="2999">
        <v>706</v>
      </c>
      <c r="B707" s="3000" t="s">
        <v>3280</v>
      </c>
      <c r="C707" s="3000" t="s">
        <v>3257</v>
      </c>
      <c r="D707" s="3000" t="s">
        <v>70</v>
      </c>
      <c r="E707" s="3000" t="s">
        <v>3139</v>
      </c>
      <c r="F707" s="3000">
        <v>55.93</v>
      </c>
      <c r="G707" s="3001" t="s">
        <v>1373</v>
      </c>
    </row>
    <row r="708" spans="1:7" ht="14.25" thickBot="1">
      <c r="A708" s="2999">
        <v>707</v>
      </c>
      <c r="B708" s="3000" t="s">
        <v>3280</v>
      </c>
      <c r="C708" s="3000" t="s">
        <v>3257</v>
      </c>
      <c r="D708" s="3000" t="s">
        <v>70</v>
      </c>
      <c r="E708" s="3000" t="s">
        <v>3140</v>
      </c>
      <c r="F708" s="3000">
        <v>57.86</v>
      </c>
      <c r="G708" s="3001" t="s">
        <v>1373</v>
      </c>
    </row>
    <row r="709" spans="1:7" ht="14.25" thickBot="1">
      <c r="A709" s="2999">
        <v>708</v>
      </c>
      <c r="B709" s="3000" t="s">
        <v>3280</v>
      </c>
      <c r="C709" s="3000" t="s">
        <v>3257</v>
      </c>
      <c r="D709" s="3000" t="s">
        <v>70</v>
      </c>
      <c r="E709" s="3000" t="s">
        <v>3141</v>
      </c>
      <c r="F709" s="3000">
        <v>57.86</v>
      </c>
      <c r="G709" s="3001" t="s">
        <v>1373</v>
      </c>
    </row>
    <row r="710" spans="1:7" ht="14.25" thickBot="1">
      <c r="A710" s="2999">
        <v>709</v>
      </c>
      <c r="B710" s="3000" t="s">
        <v>3280</v>
      </c>
      <c r="C710" s="3000" t="s">
        <v>3257</v>
      </c>
      <c r="D710" s="3000" t="s">
        <v>70</v>
      </c>
      <c r="E710" s="3000" t="s">
        <v>3142</v>
      </c>
      <c r="F710" s="3000">
        <v>62.36</v>
      </c>
      <c r="G710" s="3001" t="s">
        <v>1373</v>
      </c>
    </row>
    <row r="711" spans="1:7" ht="14.25" thickBot="1">
      <c r="A711" s="2999">
        <v>710</v>
      </c>
      <c r="B711" s="3000" t="s">
        <v>3281</v>
      </c>
      <c r="C711" s="3002" t="s">
        <v>3257</v>
      </c>
      <c r="D711" s="3000" t="s">
        <v>70</v>
      </c>
      <c r="E711" s="3000" t="s">
        <v>3132</v>
      </c>
      <c r="F711" s="3000">
        <v>102.22</v>
      </c>
      <c r="G711" s="3001" t="s">
        <v>1373</v>
      </c>
    </row>
    <row r="712" spans="1:7" ht="14.25" thickBot="1">
      <c r="A712" s="2999">
        <v>711</v>
      </c>
      <c r="B712" s="3000" t="s">
        <v>3281</v>
      </c>
      <c r="C712" s="3002" t="s">
        <v>3257</v>
      </c>
      <c r="D712" s="3000" t="s">
        <v>70</v>
      </c>
      <c r="E712" s="3000" t="s">
        <v>3134</v>
      </c>
      <c r="F712" s="3000">
        <v>111.55</v>
      </c>
      <c r="G712" s="3001" t="s">
        <v>1373</v>
      </c>
    </row>
    <row r="713" spans="1:7" ht="14.25" thickBot="1">
      <c r="A713" s="2999">
        <v>712</v>
      </c>
      <c r="B713" s="3000" t="s">
        <v>3281</v>
      </c>
      <c r="C713" s="3002" t="s">
        <v>3257</v>
      </c>
      <c r="D713" s="3000" t="s">
        <v>70</v>
      </c>
      <c r="E713" s="3000" t="s">
        <v>3135</v>
      </c>
      <c r="F713" s="3000">
        <v>122.56</v>
      </c>
      <c r="G713" s="3001" t="s">
        <v>1373</v>
      </c>
    </row>
    <row r="714" spans="1:7" ht="14.25" thickBot="1">
      <c r="A714" s="2999">
        <v>713</v>
      </c>
      <c r="B714" s="3000" t="s">
        <v>3281</v>
      </c>
      <c r="C714" s="3002" t="s">
        <v>3257</v>
      </c>
      <c r="D714" s="3000" t="s">
        <v>70</v>
      </c>
      <c r="E714" s="3000" t="s">
        <v>3136</v>
      </c>
      <c r="F714" s="3000">
        <v>68</v>
      </c>
      <c r="G714" s="3001" t="s">
        <v>1373</v>
      </c>
    </row>
    <row r="715" spans="1:7" ht="14.25" thickBot="1">
      <c r="A715" s="2999">
        <v>714</v>
      </c>
      <c r="B715" s="3000" t="s">
        <v>3281</v>
      </c>
      <c r="C715" s="3002" t="s">
        <v>3257</v>
      </c>
      <c r="D715" s="3000" t="s">
        <v>70</v>
      </c>
      <c r="E715" s="3000" t="s">
        <v>3137</v>
      </c>
      <c r="F715" s="3000">
        <v>116.07</v>
      </c>
      <c r="G715" s="3001" t="s">
        <v>1373</v>
      </c>
    </row>
    <row r="716" spans="1:7" ht="14.25" thickBot="1">
      <c r="A716" s="2999">
        <v>715</v>
      </c>
      <c r="B716" s="3000" t="s">
        <v>3281</v>
      </c>
      <c r="C716" s="3002" t="s">
        <v>3257</v>
      </c>
      <c r="D716" s="3000" t="s">
        <v>70</v>
      </c>
      <c r="E716" s="3000" t="s">
        <v>3138</v>
      </c>
      <c r="F716" s="3000">
        <v>40.1</v>
      </c>
      <c r="G716" s="3001" t="s">
        <v>1373</v>
      </c>
    </row>
    <row r="717" spans="1:7" ht="14.25" thickBot="1">
      <c r="A717" s="2999">
        <v>716</v>
      </c>
      <c r="B717" s="3000" t="s">
        <v>3281</v>
      </c>
      <c r="C717" s="3002" t="s">
        <v>3257</v>
      </c>
      <c r="D717" s="3000" t="s">
        <v>70</v>
      </c>
      <c r="E717" s="3000" t="s">
        <v>3139</v>
      </c>
      <c r="F717" s="3000">
        <v>39.909999999999997</v>
      </c>
      <c r="G717" s="3001" t="s">
        <v>1373</v>
      </c>
    </row>
    <row r="718" spans="1:7" ht="14.25" thickBot="1">
      <c r="A718" s="2999">
        <v>717</v>
      </c>
      <c r="B718" s="3000" t="s">
        <v>3281</v>
      </c>
      <c r="C718" s="3002" t="s">
        <v>3257</v>
      </c>
      <c r="D718" s="3000" t="s">
        <v>70</v>
      </c>
      <c r="E718" s="3000" t="s">
        <v>3140</v>
      </c>
      <c r="F718" s="3000">
        <v>62.27</v>
      </c>
      <c r="G718" s="3001" t="s">
        <v>1373</v>
      </c>
    </row>
    <row r="719" spans="1:7" ht="14.25" thickBot="1">
      <c r="A719" s="2999">
        <v>718</v>
      </c>
      <c r="B719" s="3000" t="s">
        <v>3281</v>
      </c>
      <c r="C719" s="3002" t="s">
        <v>3257</v>
      </c>
      <c r="D719" s="3000" t="s">
        <v>70</v>
      </c>
      <c r="E719" s="3000" t="s">
        <v>3141</v>
      </c>
      <c r="F719" s="3000">
        <v>75.3</v>
      </c>
      <c r="G719" s="3001" t="s">
        <v>1373</v>
      </c>
    </row>
    <row r="720" spans="1:7" ht="14.25" thickBot="1">
      <c r="A720" s="2999">
        <v>719</v>
      </c>
      <c r="B720" s="3000" t="s">
        <v>3282</v>
      </c>
      <c r="C720" s="3002" t="s">
        <v>3257</v>
      </c>
      <c r="D720" s="3000" t="s">
        <v>70</v>
      </c>
      <c r="E720" s="3002" t="s">
        <v>3132</v>
      </c>
      <c r="F720" s="3000">
        <v>117.54</v>
      </c>
      <c r="G720" s="3001" t="s">
        <v>1373</v>
      </c>
    </row>
    <row r="721" spans="1:7" ht="14.25" thickBot="1">
      <c r="A721" s="2999">
        <v>720</v>
      </c>
      <c r="B721" s="3000" t="s">
        <v>3282</v>
      </c>
      <c r="C721" s="3002" t="s">
        <v>3257</v>
      </c>
      <c r="D721" s="3000" t="s">
        <v>70</v>
      </c>
      <c r="E721" s="3002" t="s">
        <v>3134</v>
      </c>
      <c r="F721" s="3000">
        <v>55.4</v>
      </c>
      <c r="G721" s="3001" t="s">
        <v>1373</v>
      </c>
    </row>
    <row r="722" spans="1:7" ht="14.25" thickBot="1">
      <c r="A722" s="2999">
        <v>721</v>
      </c>
      <c r="B722" s="3000" t="s">
        <v>3282</v>
      </c>
      <c r="C722" s="3002" t="s">
        <v>3257</v>
      </c>
      <c r="D722" s="3000" t="s">
        <v>70</v>
      </c>
      <c r="E722" s="3002" t="s">
        <v>3135</v>
      </c>
      <c r="F722" s="3000">
        <v>100.47</v>
      </c>
      <c r="G722" s="3001" t="s">
        <v>1373</v>
      </c>
    </row>
    <row r="723" spans="1:7" ht="14.25" thickBot="1">
      <c r="A723" s="2999">
        <v>722</v>
      </c>
      <c r="B723" s="3000" t="s">
        <v>3282</v>
      </c>
      <c r="C723" s="3002" t="s">
        <v>3257</v>
      </c>
      <c r="D723" s="3000" t="s">
        <v>70</v>
      </c>
      <c r="E723" s="3002" t="s">
        <v>3136</v>
      </c>
      <c r="F723" s="3000">
        <v>109.43</v>
      </c>
      <c r="G723" s="3001" t="s">
        <v>1373</v>
      </c>
    </row>
    <row r="724" spans="1:7" ht="14.25" thickBot="1">
      <c r="A724" s="2999">
        <v>723</v>
      </c>
      <c r="B724" s="3000" t="s">
        <v>3282</v>
      </c>
      <c r="C724" s="3002" t="s">
        <v>3257</v>
      </c>
      <c r="D724" s="3000" t="s">
        <v>70</v>
      </c>
      <c r="E724" s="3002" t="s">
        <v>3137</v>
      </c>
      <c r="F724" s="3000">
        <v>100.96</v>
      </c>
      <c r="G724" s="3001" t="s">
        <v>1373</v>
      </c>
    </row>
    <row r="725" spans="1:7" ht="14.25" thickBot="1">
      <c r="A725" s="2999">
        <v>724</v>
      </c>
      <c r="B725" s="3000" t="s">
        <v>3282</v>
      </c>
      <c r="C725" s="3002" t="s">
        <v>3257</v>
      </c>
      <c r="D725" s="3000" t="s">
        <v>70</v>
      </c>
      <c r="E725" s="3002" t="s">
        <v>3138</v>
      </c>
      <c r="F725" s="3000">
        <v>88.16</v>
      </c>
      <c r="G725" s="3001" t="s">
        <v>1373</v>
      </c>
    </row>
    <row r="726" spans="1:7" ht="14.25" thickBot="1">
      <c r="A726" s="2999">
        <v>725</v>
      </c>
      <c r="B726" s="3000" t="s">
        <v>3282</v>
      </c>
      <c r="C726" s="3002" t="s">
        <v>3257</v>
      </c>
      <c r="D726" s="3000" t="s">
        <v>70</v>
      </c>
      <c r="E726" s="3002" t="s">
        <v>3139</v>
      </c>
      <c r="F726" s="3000">
        <v>69.19</v>
      </c>
      <c r="G726" s="3001" t="s">
        <v>1373</v>
      </c>
    </row>
    <row r="727" spans="1:7" ht="14.25" thickBot="1">
      <c r="A727" s="2999">
        <v>726</v>
      </c>
      <c r="B727" s="3000" t="s">
        <v>3282</v>
      </c>
      <c r="C727" s="3002" t="s">
        <v>3257</v>
      </c>
      <c r="D727" s="3000" t="s">
        <v>70</v>
      </c>
      <c r="E727" s="3002" t="s">
        <v>3140</v>
      </c>
      <c r="F727" s="3000">
        <v>95.57</v>
      </c>
      <c r="G727" s="3001" t="s">
        <v>1373</v>
      </c>
    </row>
    <row r="728" spans="1:7" ht="14.25" thickBot="1">
      <c r="A728" s="2999">
        <v>727</v>
      </c>
      <c r="B728" s="3000" t="s">
        <v>3282</v>
      </c>
      <c r="C728" s="3002" t="s">
        <v>3257</v>
      </c>
      <c r="D728" s="3000" t="s">
        <v>70</v>
      </c>
      <c r="E728" s="3002" t="s">
        <v>3141</v>
      </c>
      <c r="F728" s="3000">
        <v>85.4</v>
      </c>
      <c r="G728" s="3001" t="s">
        <v>1373</v>
      </c>
    </row>
    <row r="729" spans="1:7" ht="14.25" thickBot="1">
      <c r="A729" s="2999">
        <v>728</v>
      </c>
      <c r="B729" s="3000" t="s">
        <v>3283</v>
      </c>
      <c r="C729" s="3002" t="s">
        <v>3257</v>
      </c>
      <c r="D729" s="3000" t="s">
        <v>70</v>
      </c>
      <c r="E729" s="3002" t="s">
        <v>3132</v>
      </c>
      <c r="F729" s="3000">
        <v>145.37</v>
      </c>
      <c r="G729" s="3001" t="s">
        <v>1373</v>
      </c>
    </row>
    <row r="730" spans="1:7" ht="14.25" thickBot="1">
      <c r="A730" s="2999">
        <v>729</v>
      </c>
      <c r="B730" s="3000" t="s">
        <v>3283</v>
      </c>
      <c r="C730" s="3002" t="s">
        <v>3257</v>
      </c>
      <c r="D730" s="3000" t="s">
        <v>70</v>
      </c>
      <c r="E730" s="3002" t="s">
        <v>3134</v>
      </c>
      <c r="F730" s="3000">
        <v>98.42</v>
      </c>
      <c r="G730" s="3001" t="s">
        <v>1373</v>
      </c>
    </row>
    <row r="731" spans="1:7" ht="14.25" thickBot="1">
      <c r="A731" s="2999">
        <v>730</v>
      </c>
      <c r="B731" s="3000" t="s">
        <v>3283</v>
      </c>
      <c r="C731" s="3002" t="s">
        <v>3257</v>
      </c>
      <c r="D731" s="3000" t="s">
        <v>70</v>
      </c>
      <c r="E731" s="3002" t="s">
        <v>3135</v>
      </c>
      <c r="F731" s="3000">
        <v>60.94</v>
      </c>
      <c r="G731" s="3001" t="s">
        <v>1373</v>
      </c>
    </row>
    <row r="732" spans="1:7" ht="14.25" thickBot="1">
      <c r="A732" s="2999">
        <v>731</v>
      </c>
      <c r="B732" s="3000" t="s">
        <v>3283</v>
      </c>
      <c r="C732" s="3002" t="s">
        <v>3257</v>
      </c>
      <c r="D732" s="3000" t="s">
        <v>70</v>
      </c>
      <c r="E732" s="3002" t="s">
        <v>3136</v>
      </c>
      <c r="F732" s="3000">
        <v>73.989999999999995</v>
      </c>
      <c r="G732" s="3001" t="s">
        <v>1373</v>
      </c>
    </row>
    <row r="733" spans="1:7" ht="14.25" thickBot="1">
      <c r="A733" s="2999">
        <v>732</v>
      </c>
      <c r="B733" s="3000" t="s">
        <v>3283</v>
      </c>
      <c r="C733" s="3002" t="s">
        <v>3260</v>
      </c>
      <c r="D733" s="3000" t="s">
        <v>70</v>
      </c>
      <c r="E733" s="3002" t="s">
        <v>3160</v>
      </c>
      <c r="F733" s="3000">
        <v>120.22</v>
      </c>
      <c r="G733" s="3001" t="s">
        <v>1373</v>
      </c>
    </row>
    <row r="734" spans="1:7" ht="14.25" thickBot="1">
      <c r="A734" s="2999">
        <v>733</v>
      </c>
      <c r="B734" s="3000" t="s">
        <v>3283</v>
      </c>
      <c r="C734" s="3002" t="s">
        <v>3260</v>
      </c>
      <c r="D734" s="3000" t="s">
        <v>70</v>
      </c>
      <c r="E734" s="3002" t="s">
        <v>3161</v>
      </c>
      <c r="F734" s="3000">
        <v>114.76</v>
      </c>
      <c r="G734" s="3001" t="s">
        <v>1373</v>
      </c>
    </row>
    <row r="735" spans="1:7" ht="14.25" thickBot="1">
      <c r="A735" s="2999">
        <v>734</v>
      </c>
      <c r="B735" s="2999" t="s">
        <v>3283</v>
      </c>
      <c r="C735" s="2999" t="s">
        <v>3260</v>
      </c>
      <c r="D735" s="2999" t="s">
        <v>70</v>
      </c>
      <c r="E735" s="2999" t="s">
        <v>3203</v>
      </c>
      <c r="F735" s="2999">
        <v>126.76</v>
      </c>
      <c r="G735" s="2999" t="s">
        <v>1373</v>
      </c>
    </row>
    <row r="736" spans="1:7" ht="14.25" thickBot="1">
      <c r="A736" s="2999">
        <v>735</v>
      </c>
      <c r="B736" s="2999" t="s">
        <v>3284</v>
      </c>
      <c r="C736" s="2999" t="s">
        <v>3257</v>
      </c>
      <c r="D736" s="2999" t="s">
        <v>70</v>
      </c>
      <c r="E736" s="2999" t="s">
        <v>3132</v>
      </c>
      <c r="F736" s="2999">
        <v>109.17</v>
      </c>
      <c r="G736" s="2999" t="s">
        <v>1373</v>
      </c>
    </row>
    <row r="737" spans="1:7" ht="14.25" thickBot="1">
      <c r="A737" s="2999">
        <v>736</v>
      </c>
      <c r="B737" s="2999" t="s">
        <v>3284</v>
      </c>
      <c r="C737" s="2999" t="s">
        <v>3257</v>
      </c>
      <c r="D737" s="2999" t="s">
        <v>70</v>
      </c>
      <c r="E737" s="2999" t="s">
        <v>3134</v>
      </c>
      <c r="F737" s="2999">
        <v>59.01</v>
      </c>
      <c r="G737" s="2999" t="s">
        <v>1373</v>
      </c>
    </row>
    <row r="738" spans="1:7" ht="14.25" thickBot="1">
      <c r="A738" s="2999">
        <v>737</v>
      </c>
      <c r="B738" s="2999" t="s">
        <v>3284</v>
      </c>
      <c r="C738" s="2999" t="s">
        <v>3257</v>
      </c>
      <c r="D738" s="2999" t="s">
        <v>70</v>
      </c>
      <c r="E738" s="2999" t="s">
        <v>3135</v>
      </c>
      <c r="F738" s="2999">
        <v>86.3</v>
      </c>
      <c r="G738" s="2999" t="s">
        <v>1373</v>
      </c>
    </row>
    <row r="739" spans="1:7" ht="14.25" thickBot="1">
      <c r="A739" s="2999">
        <v>738</v>
      </c>
      <c r="B739" s="2999" t="s">
        <v>3284</v>
      </c>
      <c r="C739" s="2999" t="s">
        <v>3260</v>
      </c>
      <c r="D739" s="2999" t="s">
        <v>70</v>
      </c>
      <c r="E739" s="2999" t="s">
        <v>3161</v>
      </c>
      <c r="F739" s="2999">
        <v>124.72</v>
      </c>
      <c r="G739" s="2999" t="s">
        <v>1373</v>
      </c>
    </row>
    <row r="740" spans="1:7" ht="14.25" thickBot="1">
      <c r="A740" s="2999" t="s">
        <v>3320</v>
      </c>
      <c r="B740" s="2999"/>
      <c r="C740" s="2999"/>
      <c r="D740" s="2999"/>
      <c r="E740" s="2999"/>
      <c r="F740" s="2999">
        <f>SUM(F2:F739)</f>
        <v>58134.919999999984</v>
      </c>
      <c r="G740" s="2999"/>
    </row>
    <row r="742" spans="1:7">
      <c r="E742" s="3004" t="s">
        <v>3314</v>
      </c>
      <c r="F742" s="1630">
        <f>SUM(F2:F676)</f>
        <v>50562.53999999995</v>
      </c>
    </row>
    <row r="743" spans="1:7">
      <c r="E743" s="3004" t="s">
        <v>3315</v>
      </c>
      <c r="F743" s="1630">
        <f>SUM(F701:F739)+SUM(F677:F698)</f>
        <v>5361.51</v>
      </c>
    </row>
    <row r="744" spans="1:7">
      <c r="E744" s="3004" t="s">
        <v>3316</v>
      </c>
      <c r="F744" s="1630">
        <f>F699+F700</f>
        <v>2210.87</v>
      </c>
    </row>
    <row r="752" spans="1:7">
      <c r="D752" s="3013" t="s">
        <v>3300</v>
      </c>
      <c r="E752" s="3013" t="s">
        <v>3317</v>
      </c>
      <c r="F752" s="3013">
        <v>28717.99</v>
      </c>
      <c r="G752" s="1630">
        <v>373</v>
      </c>
    </row>
    <row r="753" spans="4:7">
      <c r="E753" s="3013" t="s">
        <v>3318</v>
      </c>
      <c r="F753" s="1630">
        <v>4759.99</v>
      </c>
      <c r="G753" s="1630">
        <v>51</v>
      </c>
    </row>
    <row r="755" spans="4:7">
      <c r="D755" s="3013"/>
      <c r="E755" s="3013" t="s">
        <v>3321</v>
      </c>
      <c r="F755" s="1630">
        <v>7434</v>
      </c>
    </row>
    <row r="757" spans="4:7">
      <c r="E757" s="3014" t="s">
        <v>3322</v>
      </c>
      <c r="F757" s="1630">
        <f>ROUND((F752+F753)*F755/10000,0)</f>
        <v>24888</v>
      </c>
    </row>
  </sheetData>
  <autoFilter ref="A1:G740"/>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8"/>
  <sheetViews>
    <sheetView topLeftCell="A714" workbookViewId="0">
      <selection activeCell="N743" sqref="N743"/>
    </sheetView>
  </sheetViews>
  <sheetFormatPr defaultRowHeight="13.5"/>
  <cols>
    <col min="1" max="7" width="9" style="3023"/>
    <col min="8" max="11" width="9" style="1630"/>
    <col min="12" max="12" width="12.25" style="1630" customWidth="1"/>
    <col min="13" max="16384" width="9" style="1630"/>
  </cols>
  <sheetData>
    <row r="1" spans="1:14" ht="14.25" thickBot="1">
      <c r="A1" s="3015" t="s">
        <v>3254</v>
      </c>
      <c r="B1" s="3007" t="s">
        <v>3198</v>
      </c>
      <c r="C1" s="3007" t="s">
        <v>3123</v>
      </c>
      <c r="D1" s="3007" t="s">
        <v>3199</v>
      </c>
      <c r="E1" s="3007" t="s">
        <v>3124</v>
      </c>
      <c r="F1" s="3007" t="s">
        <v>3126</v>
      </c>
      <c r="G1" s="3007" t="s">
        <v>3127</v>
      </c>
    </row>
    <row r="2" spans="1:14" ht="14.25" thickBot="1">
      <c r="A2" s="3016">
        <v>1</v>
      </c>
      <c r="B2" s="3008" t="s">
        <v>3220</v>
      </c>
      <c r="C2" s="3008" t="s">
        <v>3152</v>
      </c>
      <c r="D2" s="3008" t="s">
        <v>3213</v>
      </c>
      <c r="E2" s="3008">
        <v>101</v>
      </c>
      <c r="F2" s="3008">
        <v>66.069999999999993</v>
      </c>
      <c r="G2" s="3017" t="s">
        <v>3055</v>
      </c>
      <c r="I2" s="3033">
        <v>10</v>
      </c>
      <c r="J2" s="3033">
        <v>4</v>
      </c>
      <c r="K2" s="3033">
        <v>1</v>
      </c>
      <c r="L2" s="3034" t="s">
        <v>3387</v>
      </c>
      <c r="M2" s="3033">
        <v>66.069999999999993</v>
      </c>
      <c r="N2" s="3035" t="s">
        <v>3248</v>
      </c>
    </row>
    <row r="3" spans="1:14" ht="14.25" thickBot="1">
      <c r="A3" s="3016">
        <v>2</v>
      </c>
      <c r="B3" s="3008" t="s">
        <v>3220</v>
      </c>
      <c r="C3" s="3008" t="s">
        <v>3152</v>
      </c>
      <c r="D3" s="3008" t="s">
        <v>3213</v>
      </c>
      <c r="E3" s="3008">
        <v>103</v>
      </c>
      <c r="F3" s="3008">
        <v>69.72</v>
      </c>
      <c r="G3" s="3017" t="s">
        <v>3055</v>
      </c>
    </row>
    <row r="4" spans="1:14" ht="14.25" thickBot="1">
      <c r="A4" s="3016">
        <v>3</v>
      </c>
      <c r="B4" s="3008" t="s">
        <v>3220</v>
      </c>
      <c r="C4" s="3008" t="s">
        <v>3152</v>
      </c>
      <c r="D4" s="3008" t="s">
        <v>3213</v>
      </c>
      <c r="E4" s="3008">
        <v>105</v>
      </c>
      <c r="F4" s="3008">
        <v>69.56</v>
      </c>
      <c r="G4" s="3017" t="s">
        <v>3055</v>
      </c>
    </row>
    <row r="5" spans="1:14" ht="14.25" thickBot="1">
      <c r="A5" s="3016">
        <v>4</v>
      </c>
      <c r="B5" s="3008" t="s">
        <v>3220</v>
      </c>
      <c r="C5" s="3008" t="s">
        <v>3152</v>
      </c>
      <c r="D5" s="3008" t="s">
        <v>3213</v>
      </c>
      <c r="E5" s="3008">
        <v>106</v>
      </c>
      <c r="F5" s="3008">
        <v>94.74</v>
      </c>
      <c r="G5" s="3017" t="s">
        <v>3055</v>
      </c>
    </row>
    <row r="6" spans="1:14" ht="14.25" thickBot="1">
      <c r="A6" s="3016">
        <v>5</v>
      </c>
      <c r="B6" s="3008" t="s">
        <v>3220</v>
      </c>
      <c r="C6" s="3008" t="s">
        <v>3152</v>
      </c>
      <c r="D6" s="3008" t="s">
        <v>3215</v>
      </c>
      <c r="E6" s="3008">
        <v>101</v>
      </c>
      <c r="F6" s="3008">
        <v>94.74</v>
      </c>
      <c r="G6" s="3017" t="s">
        <v>3055</v>
      </c>
    </row>
    <row r="7" spans="1:14" ht="14.25" thickBot="1">
      <c r="A7" s="3016">
        <v>6</v>
      </c>
      <c r="B7" s="3018" t="s">
        <v>3220</v>
      </c>
      <c r="C7" s="3018" t="s">
        <v>3152</v>
      </c>
      <c r="D7" s="3018" t="s">
        <v>3215</v>
      </c>
      <c r="E7" s="3018">
        <v>102</v>
      </c>
      <c r="F7" s="3018">
        <v>69.56</v>
      </c>
      <c r="G7" s="3018" t="s">
        <v>3055</v>
      </c>
    </row>
    <row r="8" spans="1:14" ht="14.25" thickBot="1">
      <c r="A8" s="3016">
        <v>7</v>
      </c>
      <c r="B8" s="3018" t="s">
        <v>3220</v>
      </c>
      <c r="C8" s="3018" t="s">
        <v>3152</v>
      </c>
      <c r="D8" s="3018" t="s">
        <v>3215</v>
      </c>
      <c r="E8" s="3018">
        <v>103</v>
      </c>
      <c r="F8" s="3018">
        <v>69.72</v>
      </c>
      <c r="G8" s="3018" t="s">
        <v>3055</v>
      </c>
    </row>
    <row r="9" spans="1:14" ht="14.25" thickBot="1">
      <c r="A9" s="3016">
        <v>8</v>
      </c>
      <c r="B9" s="3018" t="s">
        <v>3220</v>
      </c>
      <c r="C9" s="3018" t="s">
        <v>3152</v>
      </c>
      <c r="D9" s="3018" t="s">
        <v>3215</v>
      </c>
      <c r="E9" s="3018">
        <v>105</v>
      </c>
      <c r="F9" s="3018">
        <v>69.56</v>
      </c>
      <c r="G9" s="3018" t="s">
        <v>3055</v>
      </c>
    </row>
    <row r="10" spans="1:14" ht="14.25" thickBot="1">
      <c r="A10" s="3016">
        <v>9</v>
      </c>
      <c r="B10" s="3008" t="s">
        <v>3220</v>
      </c>
      <c r="C10" s="3008" t="s">
        <v>3152</v>
      </c>
      <c r="D10" s="3008" t="s">
        <v>3215</v>
      </c>
      <c r="E10" s="3008">
        <v>106</v>
      </c>
      <c r="F10" s="3008">
        <v>66.069999999999993</v>
      </c>
      <c r="G10" s="3017" t="s">
        <v>3055</v>
      </c>
    </row>
    <row r="11" spans="1:14" ht="14.25" thickBot="1">
      <c r="A11" s="3016">
        <v>10</v>
      </c>
      <c r="B11" s="3008" t="s">
        <v>3220</v>
      </c>
      <c r="C11" s="3008" t="s">
        <v>3159</v>
      </c>
      <c r="D11" s="3008" t="s">
        <v>3213</v>
      </c>
      <c r="E11" s="3008">
        <v>201</v>
      </c>
      <c r="F11" s="3008">
        <v>66.069999999999993</v>
      </c>
      <c r="G11" s="3017" t="s">
        <v>3055</v>
      </c>
    </row>
    <row r="12" spans="1:14" ht="14.25" thickBot="1">
      <c r="A12" s="3016">
        <v>11</v>
      </c>
      <c r="B12" s="3008" t="s">
        <v>3220</v>
      </c>
      <c r="C12" s="3008" t="s">
        <v>3159</v>
      </c>
      <c r="D12" s="3008" t="s">
        <v>3213</v>
      </c>
      <c r="E12" s="3008">
        <v>202</v>
      </c>
      <c r="F12" s="3008">
        <v>69.56</v>
      </c>
      <c r="G12" s="3017" t="s">
        <v>3055</v>
      </c>
    </row>
    <row r="13" spans="1:14" ht="14.25" thickBot="1">
      <c r="A13" s="3016">
        <v>12</v>
      </c>
      <c r="B13" s="3018" t="s">
        <v>3220</v>
      </c>
      <c r="C13" s="3018" t="s">
        <v>3159</v>
      </c>
      <c r="D13" s="3018" t="s">
        <v>3213</v>
      </c>
      <c r="E13" s="3018">
        <v>203</v>
      </c>
      <c r="F13" s="3018">
        <v>69.75</v>
      </c>
      <c r="G13" s="3019" t="s">
        <v>3055</v>
      </c>
    </row>
    <row r="14" spans="1:14" ht="14.25" thickBot="1">
      <c r="A14" s="3016">
        <v>13</v>
      </c>
      <c r="B14" s="3018" t="s">
        <v>3220</v>
      </c>
      <c r="C14" s="3018" t="s">
        <v>3159</v>
      </c>
      <c r="D14" s="3018" t="s">
        <v>3213</v>
      </c>
      <c r="E14" s="3018">
        <v>205</v>
      </c>
      <c r="F14" s="3018">
        <v>69.75</v>
      </c>
      <c r="G14" s="3019" t="s">
        <v>3055</v>
      </c>
    </row>
    <row r="15" spans="1:14" ht="14.25" thickBot="1">
      <c r="A15" s="3016">
        <v>14</v>
      </c>
      <c r="B15" s="3008" t="s">
        <v>3220</v>
      </c>
      <c r="C15" s="3008" t="s">
        <v>3159</v>
      </c>
      <c r="D15" s="3008" t="s">
        <v>3213</v>
      </c>
      <c r="E15" s="3008">
        <v>206</v>
      </c>
      <c r="F15" s="3008">
        <v>69.56</v>
      </c>
      <c r="G15" s="3017" t="s">
        <v>3055</v>
      </c>
    </row>
    <row r="16" spans="1:14" ht="14.25" thickBot="1">
      <c r="A16" s="3016">
        <v>15</v>
      </c>
      <c r="B16" s="3008" t="s">
        <v>3220</v>
      </c>
      <c r="C16" s="3008" t="s">
        <v>3159</v>
      </c>
      <c r="D16" s="3008" t="s">
        <v>3213</v>
      </c>
      <c r="E16" s="3008">
        <v>207</v>
      </c>
      <c r="F16" s="3008">
        <v>94.74</v>
      </c>
      <c r="G16" s="3017" t="s">
        <v>3055</v>
      </c>
    </row>
    <row r="17" spans="1:7" ht="14.25" thickBot="1">
      <c r="A17" s="3016">
        <v>16</v>
      </c>
      <c r="B17" s="3008" t="s">
        <v>3220</v>
      </c>
      <c r="C17" s="3008" t="s">
        <v>3159</v>
      </c>
      <c r="D17" s="3008" t="s">
        <v>3215</v>
      </c>
      <c r="E17" s="3008">
        <v>201</v>
      </c>
      <c r="F17" s="3008">
        <v>94.74</v>
      </c>
      <c r="G17" s="3017" t="s">
        <v>3055</v>
      </c>
    </row>
    <row r="18" spans="1:7" ht="14.25" thickBot="1">
      <c r="A18" s="3016">
        <v>17</v>
      </c>
      <c r="B18" s="3008" t="s">
        <v>3220</v>
      </c>
      <c r="C18" s="3008" t="s">
        <v>3153</v>
      </c>
      <c r="D18" s="3008" t="s">
        <v>3213</v>
      </c>
      <c r="E18" s="3008">
        <v>301</v>
      </c>
      <c r="F18" s="3008">
        <v>66.069999999999993</v>
      </c>
      <c r="G18" s="3017" t="s">
        <v>3055</v>
      </c>
    </row>
    <row r="19" spans="1:7" ht="14.25" thickBot="1">
      <c r="A19" s="3016">
        <v>18</v>
      </c>
      <c r="B19" s="3018" t="s">
        <v>3220</v>
      </c>
      <c r="C19" s="3018" t="s">
        <v>3153</v>
      </c>
      <c r="D19" s="3018" t="s">
        <v>3213</v>
      </c>
      <c r="E19" s="3018">
        <v>302</v>
      </c>
      <c r="F19" s="3018">
        <v>69.56</v>
      </c>
      <c r="G19" s="3019" t="s">
        <v>3055</v>
      </c>
    </row>
    <row r="20" spans="1:7" ht="14.25" thickBot="1">
      <c r="A20" s="3016">
        <v>19</v>
      </c>
      <c r="B20" s="3008" t="s">
        <v>3220</v>
      </c>
      <c r="C20" s="3008" t="s">
        <v>3153</v>
      </c>
      <c r="D20" s="3008" t="s">
        <v>3213</v>
      </c>
      <c r="E20" s="3008">
        <v>303</v>
      </c>
      <c r="F20" s="3008">
        <v>69.75</v>
      </c>
      <c r="G20" s="3017" t="s">
        <v>3055</v>
      </c>
    </row>
    <row r="21" spans="1:7" ht="14.25" thickBot="1">
      <c r="A21" s="3016">
        <v>20</v>
      </c>
      <c r="B21" s="3008" t="s">
        <v>3220</v>
      </c>
      <c r="C21" s="3008" t="s">
        <v>3153</v>
      </c>
      <c r="D21" s="3008" t="s">
        <v>3213</v>
      </c>
      <c r="E21" s="3008">
        <v>305</v>
      </c>
      <c r="F21" s="3008">
        <v>69.75</v>
      </c>
      <c r="G21" s="3017" t="s">
        <v>3055</v>
      </c>
    </row>
    <row r="22" spans="1:7" ht="14.25" thickBot="1">
      <c r="A22" s="3016">
        <v>21</v>
      </c>
      <c r="B22" s="3008" t="s">
        <v>3220</v>
      </c>
      <c r="C22" s="3008" t="s">
        <v>3153</v>
      </c>
      <c r="D22" s="3008" t="s">
        <v>3213</v>
      </c>
      <c r="E22" s="3008">
        <v>306</v>
      </c>
      <c r="F22" s="3008">
        <v>69.56</v>
      </c>
      <c r="G22" s="3017" t="s">
        <v>3055</v>
      </c>
    </row>
    <row r="23" spans="1:7" ht="14.25" thickBot="1">
      <c r="A23" s="3016">
        <v>22</v>
      </c>
      <c r="B23" s="3008" t="s">
        <v>3220</v>
      </c>
      <c r="C23" s="3008" t="s">
        <v>3153</v>
      </c>
      <c r="D23" s="3008" t="s">
        <v>3213</v>
      </c>
      <c r="E23" s="3008">
        <v>307</v>
      </c>
      <c r="F23" s="3008">
        <v>94.74</v>
      </c>
      <c r="G23" s="3017" t="s">
        <v>3055</v>
      </c>
    </row>
    <row r="24" spans="1:7" ht="14.25" thickBot="1">
      <c r="A24" s="3016">
        <v>23</v>
      </c>
      <c r="B24" s="3018" t="s">
        <v>3220</v>
      </c>
      <c r="C24" s="3018" t="s">
        <v>3159</v>
      </c>
      <c r="D24" s="3018" t="s">
        <v>3215</v>
      </c>
      <c r="E24" s="3018">
        <v>203</v>
      </c>
      <c r="F24" s="3018">
        <v>69.75</v>
      </c>
      <c r="G24" s="3019" t="s">
        <v>3055</v>
      </c>
    </row>
    <row r="25" spans="1:7" ht="14.25" thickBot="1">
      <c r="A25" s="3016">
        <v>24</v>
      </c>
      <c r="B25" s="3018" t="s">
        <v>3220</v>
      </c>
      <c r="C25" s="3018" t="s">
        <v>3159</v>
      </c>
      <c r="D25" s="3018" t="s">
        <v>3215</v>
      </c>
      <c r="E25" s="3018">
        <v>205</v>
      </c>
      <c r="F25" s="3018">
        <v>69.75</v>
      </c>
      <c r="G25" s="3019" t="s">
        <v>3055</v>
      </c>
    </row>
    <row r="26" spans="1:7" ht="14.25" thickBot="1">
      <c r="A26" s="3016">
        <v>25</v>
      </c>
      <c r="B26" s="3018" t="s">
        <v>3220</v>
      </c>
      <c r="C26" s="3018" t="s">
        <v>3159</v>
      </c>
      <c r="D26" s="3018" t="s">
        <v>3215</v>
      </c>
      <c r="E26" s="3018">
        <v>207</v>
      </c>
      <c r="F26" s="3018">
        <v>66.069999999999993</v>
      </c>
      <c r="G26" s="3019" t="s">
        <v>3055</v>
      </c>
    </row>
    <row r="27" spans="1:7" ht="14.25" thickBot="1">
      <c r="A27" s="3016">
        <v>26</v>
      </c>
      <c r="B27" s="3018" t="s">
        <v>3220</v>
      </c>
      <c r="C27" s="3018" t="s">
        <v>3153</v>
      </c>
      <c r="D27" s="3018" t="s">
        <v>3215</v>
      </c>
      <c r="E27" s="3018">
        <v>301</v>
      </c>
      <c r="F27" s="3018">
        <v>94.740000000000009</v>
      </c>
      <c r="G27" s="3019" t="s">
        <v>3055</v>
      </c>
    </row>
    <row r="28" spans="1:7" ht="14.25" thickBot="1">
      <c r="A28" s="3016">
        <v>27</v>
      </c>
      <c r="B28" s="3008" t="s">
        <v>3220</v>
      </c>
      <c r="C28" s="3008" t="s">
        <v>3153</v>
      </c>
      <c r="D28" s="3008" t="s">
        <v>3215</v>
      </c>
      <c r="E28" s="3008">
        <v>302</v>
      </c>
      <c r="F28" s="3008">
        <v>69.56</v>
      </c>
      <c r="G28" s="3017" t="s">
        <v>3055</v>
      </c>
    </row>
    <row r="29" spans="1:7" ht="14.25" thickBot="1">
      <c r="A29" s="3016">
        <v>28</v>
      </c>
      <c r="B29" s="3008" t="s">
        <v>3220</v>
      </c>
      <c r="C29" s="3008" t="s">
        <v>3153</v>
      </c>
      <c r="D29" s="3008" t="s">
        <v>3215</v>
      </c>
      <c r="E29" s="3008">
        <v>303</v>
      </c>
      <c r="F29" s="3008">
        <v>69.75</v>
      </c>
      <c r="G29" s="3017" t="s">
        <v>3055</v>
      </c>
    </row>
    <row r="30" spans="1:7" ht="14.25" thickBot="1">
      <c r="A30" s="3016">
        <v>29</v>
      </c>
      <c r="B30" s="3008" t="s">
        <v>3220</v>
      </c>
      <c r="C30" s="3008" t="s">
        <v>3153</v>
      </c>
      <c r="D30" s="3008" t="s">
        <v>3215</v>
      </c>
      <c r="E30" s="3008">
        <v>305</v>
      </c>
      <c r="F30" s="3008">
        <v>69.75</v>
      </c>
      <c r="G30" s="3017" t="s">
        <v>3055</v>
      </c>
    </row>
    <row r="31" spans="1:7" ht="14.25" thickBot="1">
      <c r="A31" s="3016">
        <v>30</v>
      </c>
      <c r="B31" s="3008" t="s">
        <v>3220</v>
      </c>
      <c r="C31" s="3008" t="s">
        <v>3153</v>
      </c>
      <c r="D31" s="3008" t="s">
        <v>3215</v>
      </c>
      <c r="E31" s="3008">
        <v>306</v>
      </c>
      <c r="F31" s="3008">
        <v>69.56</v>
      </c>
      <c r="G31" s="3017" t="s">
        <v>3055</v>
      </c>
    </row>
    <row r="32" spans="1:7" ht="14.25" thickBot="1">
      <c r="A32" s="3016">
        <v>31</v>
      </c>
      <c r="B32" s="3008" t="s">
        <v>3220</v>
      </c>
      <c r="C32" s="3008" t="s">
        <v>3153</v>
      </c>
      <c r="D32" s="3008" t="s">
        <v>3215</v>
      </c>
      <c r="E32" s="3008">
        <v>307</v>
      </c>
      <c r="F32" s="3008">
        <v>66.069999999999993</v>
      </c>
      <c r="G32" s="3017" t="s">
        <v>3055</v>
      </c>
    </row>
    <row r="33" spans="1:7" ht="14.25" thickBot="1">
      <c r="A33" s="3016">
        <v>32</v>
      </c>
      <c r="B33" s="3008" t="s">
        <v>3220</v>
      </c>
      <c r="C33" s="3008" t="s">
        <v>3156</v>
      </c>
      <c r="D33" s="3008" t="s">
        <v>3213</v>
      </c>
      <c r="E33" s="3008" t="s">
        <v>3146</v>
      </c>
      <c r="F33" s="3008">
        <v>69.56</v>
      </c>
      <c r="G33" s="3017" t="s">
        <v>3055</v>
      </c>
    </row>
    <row r="34" spans="1:7" ht="14.25" thickBot="1">
      <c r="A34" s="3016">
        <v>33</v>
      </c>
      <c r="B34" s="3008" t="s">
        <v>3220</v>
      </c>
      <c r="C34" s="3008" t="s">
        <v>3156</v>
      </c>
      <c r="D34" s="3008" t="s">
        <v>3213</v>
      </c>
      <c r="E34" s="3008" t="s">
        <v>3148</v>
      </c>
      <c r="F34" s="3008">
        <v>69.75</v>
      </c>
      <c r="G34" s="3017" t="s">
        <v>3055</v>
      </c>
    </row>
    <row r="35" spans="1:7" ht="14.25" thickBot="1">
      <c r="A35" s="3016">
        <v>34</v>
      </c>
      <c r="B35" s="3008" t="s">
        <v>3220</v>
      </c>
      <c r="C35" s="3008" t="s">
        <v>3156</v>
      </c>
      <c r="D35" s="3008" t="s">
        <v>3215</v>
      </c>
      <c r="E35" s="3008" t="s">
        <v>3145</v>
      </c>
      <c r="F35" s="3008">
        <v>94.74</v>
      </c>
      <c r="G35" s="3017" t="s">
        <v>3055</v>
      </c>
    </row>
    <row r="36" spans="1:7" ht="14.25" thickBot="1">
      <c r="A36" s="3016">
        <v>35</v>
      </c>
      <c r="B36" s="3008" t="s">
        <v>3220</v>
      </c>
      <c r="C36" s="3008" t="s">
        <v>3156</v>
      </c>
      <c r="D36" s="3008" t="s">
        <v>3215</v>
      </c>
      <c r="E36" s="3008" t="s">
        <v>3146</v>
      </c>
      <c r="F36" s="3008">
        <v>69.56</v>
      </c>
      <c r="G36" s="3017" t="s">
        <v>3055</v>
      </c>
    </row>
    <row r="37" spans="1:7" ht="14.25" thickBot="1">
      <c r="A37" s="3016">
        <v>36</v>
      </c>
      <c r="B37" s="3008" t="s">
        <v>3220</v>
      </c>
      <c r="C37" s="3008" t="s">
        <v>3156</v>
      </c>
      <c r="D37" s="3008" t="s">
        <v>3215</v>
      </c>
      <c r="E37" s="3008" t="s">
        <v>3147</v>
      </c>
      <c r="F37" s="3008">
        <v>69.75</v>
      </c>
      <c r="G37" s="3017" t="s">
        <v>3055</v>
      </c>
    </row>
    <row r="38" spans="1:7" ht="14.25" thickBot="1">
      <c r="A38" s="3016">
        <v>37</v>
      </c>
      <c r="B38" s="3008" t="s">
        <v>3220</v>
      </c>
      <c r="C38" s="3008" t="s">
        <v>3156</v>
      </c>
      <c r="D38" s="3008" t="s">
        <v>3215</v>
      </c>
      <c r="E38" s="3008" t="s">
        <v>3148</v>
      </c>
      <c r="F38" s="3008">
        <v>69.75</v>
      </c>
      <c r="G38" s="3017" t="s">
        <v>3055</v>
      </c>
    </row>
    <row r="39" spans="1:7" ht="14.25" thickBot="1">
      <c r="A39" s="3016">
        <v>38</v>
      </c>
      <c r="B39" s="3008" t="s">
        <v>3220</v>
      </c>
      <c r="C39" s="3008" t="s">
        <v>3156</v>
      </c>
      <c r="D39" s="3008" t="s">
        <v>3215</v>
      </c>
      <c r="E39" s="3008" t="s">
        <v>3150</v>
      </c>
      <c r="F39" s="3008">
        <v>66.069999999999993</v>
      </c>
      <c r="G39" s="3017" t="s">
        <v>3055</v>
      </c>
    </row>
    <row r="40" spans="1:7" ht="14.25" thickBot="1">
      <c r="A40" s="3016">
        <v>39</v>
      </c>
      <c r="B40" s="3018" t="s">
        <v>3220</v>
      </c>
      <c r="C40" s="3018" t="s">
        <v>3157</v>
      </c>
      <c r="D40" s="3018" t="s">
        <v>3213</v>
      </c>
      <c r="E40" s="3018">
        <v>501</v>
      </c>
      <c r="F40" s="3018">
        <v>66.069999999999993</v>
      </c>
      <c r="G40" s="3019" t="s">
        <v>3055</v>
      </c>
    </row>
    <row r="41" spans="1:7" ht="14.25" thickBot="1">
      <c r="A41" s="3016">
        <v>40</v>
      </c>
      <c r="B41" s="3008" t="s">
        <v>3220</v>
      </c>
      <c r="C41" s="3008" t="s">
        <v>3157</v>
      </c>
      <c r="D41" s="3008" t="s">
        <v>3213</v>
      </c>
      <c r="E41" s="3008">
        <v>502</v>
      </c>
      <c r="F41" s="3008">
        <v>69.56</v>
      </c>
      <c r="G41" s="3017" t="s">
        <v>3055</v>
      </c>
    </row>
    <row r="42" spans="1:7" ht="14.25" thickBot="1">
      <c r="A42" s="3016">
        <v>41</v>
      </c>
      <c r="B42" s="3008" t="s">
        <v>3220</v>
      </c>
      <c r="C42" s="3008" t="s">
        <v>3157</v>
      </c>
      <c r="D42" s="3008" t="s">
        <v>3213</v>
      </c>
      <c r="E42" s="3008">
        <v>503</v>
      </c>
      <c r="F42" s="3008">
        <v>69.75</v>
      </c>
      <c r="G42" s="3017" t="s">
        <v>3055</v>
      </c>
    </row>
    <row r="43" spans="1:7" ht="14.25" thickBot="1">
      <c r="A43" s="3016">
        <v>42</v>
      </c>
      <c r="B43" s="3008" t="s">
        <v>3220</v>
      </c>
      <c r="C43" s="3008" t="s">
        <v>3157</v>
      </c>
      <c r="D43" s="3008" t="s">
        <v>3213</v>
      </c>
      <c r="E43" s="3008">
        <v>505</v>
      </c>
      <c r="F43" s="3008">
        <v>69.75</v>
      </c>
      <c r="G43" s="3017" t="s">
        <v>3055</v>
      </c>
    </row>
    <row r="44" spans="1:7" ht="14.25" thickBot="1">
      <c r="A44" s="3016">
        <v>43</v>
      </c>
      <c r="B44" s="3008" t="s">
        <v>3220</v>
      </c>
      <c r="C44" s="3008" t="s">
        <v>3157</v>
      </c>
      <c r="D44" s="3008" t="s">
        <v>3213</v>
      </c>
      <c r="E44" s="3008">
        <v>506</v>
      </c>
      <c r="F44" s="3008">
        <v>69.56</v>
      </c>
      <c r="G44" s="3017" t="s">
        <v>3055</v>
      </c>
    </row>
    <row r="45" spans="1:7" ht="14.25" thickBot="1">
      <c r="A45" s="3016">
        <v>44</v>
      </c>
      <c r="B45" s="3008" t="s">
        <v>3220</v>
      </c>
      <c r="C45" s="3008" t="s">
        <v>3157</v>
      </c>
      <c r="D45" s="3008" t="s">
        <v>3213</v>
      </c>
      <c r="E45" s="3008">
        <v>507</v>
      </c>
      <c r="F45" s="3008">
        <v>94.74</v>
      </c>
      <c r="G45" s="3017" t="s">
        <v>3055</v>
      </c>
    </row>
    <row r="46" spans="1:7" ht="14.25" thickBot="1">
      <c r="A46" s="3016">
        <v>45</v>
      </c>
      <c r="B46" s="3008" t="s">
        <v>3220</v>
      </c>
      <c r="C46" s="3008" t="s">
        <v>3157</v>
      </c>
      <c r="D46" s="3008" t="s">
        <v>3215</v>
      </c>
      <c r="E46" s="3008">
        <v>502</v>
      </c>
      <c r="F46" s="3008">
        <v>69.56</v>
      </c>
      <c r="G46" s="3017" t="s">
        <v>3055</v>
      </c>
    </row>
    <row r="47" spans="1:7" ht="14.25" thickBot="1">
      <c r="A47" s="3016">
        <v>46</v>
      </c>
      <c r="B47" s="3008" t="s">
        <v>3220</v>
      </c>
      <c r="C47" s="3008" t="s">
        <v>3157</v>
      </c>
      <c r="D47" s="3008" t="s">
        <v>3215</v>
      </c>
      <c r="E47" s="3008">
        <v>503</v>
      </c>
      <c r="F47" s="3008">
        <v>69.75</v>
      </c>
      <c r="G47" s="3017" t="s">
        <v>3055</v>
      </c>
    </row>
    <row r="48" spans="1:7" ht="14.25" thickBot="1">
      <c r="A48" s="3016">
        <v>47</v>
      </c>
      <c r="B48" s="3008" t="s">
        <v>3220</v>
      </c>
      <c r="C48" s="3008" t="s">
        <v>3157</v>
      </c>
      <c r="D48" s="3008" t="s">
        <v>3215</v>
      </c>
      <c r="E48" s="3008">
        <v>505</v>
      </c>
      <c r="F48" s="3008">
        <v>69.75</v>
      </c>
      <c r="G48" s="3017" t="s">
        <v>3055</v>
      </c>
    </row>
    <row r="49" spans="1:14" ht="14.25" thickBot="1">
      <c r="A49" s="3016">
        <v>48</v>
      </c>
      <c r="B49" s="3018" t="s">
        <v>3220</v>
      </c>
      <c r="C49" s="3018" t="s">
        <v>3157</v>
      </c>
      <c r="D49" s="3018" t="s">
        <v>3215</v>
      </c>
      <c r="E49" s="3018">
        <v>506</v>
      </c>
      <c r="F49" s="3018">
        <v>69.56</v>
      </c>
      <c r="G49" s="3019" t="s">
        <v>3055</v>
      </c>
    </row>
    <row r="50" spans="1:14" ht="14.25" thickBot="1">
      <c r="A50" s="3016">
        <v>49</v>
      </c>
      <c r="B50" s="3008" t="s">
        <v>3220</v>
      </c>
      <c r="C50" s="3008" t="s">
        <v>3157</v>
      </c>
      <c r="D50" s="3008" t="s">
        <v>3215</v>
      </c>
      <c r="E50" s="3008">
        <v>507</v>
      </c>
      <c r="F50" s="3008">
        <v>66.069999999999993</v>
      </c>
      <c r="G50" s="3017" t="s">
        <v>3055</v>
      </c>
    </row>
    <row r="51" spans="1:14" ht="14.25" thickBot="1">
      <c r="A51" s="3016">
        <v>50</v>
      </c>
      <c r="B51" s="3018" t="s">
        <v>3220</v>
      </c>
      <c r="C51" s="3018" t="s">
        <v>3158</v>
      </c>
      <c r="D51" s="3018" t="s">
        <v>3213</v>
      </c>
      <c r="E51" s="3018">
        <v>602</v>
      </c>
      <c r="F51" s="3018">
        <v>69.56</v>
      </c>
      <c r="G51" s="3019" t="s">
        <v>3055</v>
      </c>
    </row>
    <row r="52" spans="1:14" ht="14.25" thickBot="1">
      <c r="A52" s="3016">
        <v>51</v>
      </c>
      <c r="B52" s="3018" t="s">
        <v>3220</v>
      </c>
      <c r="C52" s="3018" t="s">
        <v>3158</v>
      </c>
      <c r="D52" s="3018" t="s">
        <v>3213</v>
      </c>
      <c r="E52" s="3018">
        <v>603</v>
      </c>
      <c r="F52" s="3018">
        <v>69.75</v>
      </c>
      <c r="G52" s="3019" t="s">
        <v>3055</v>
      </c>
    </row>
    <row r="53" spans="1:14" ht="14.25" thickBot="1">
      <c r="A53" s="3016">
        <v>52</v>
      </c>
      <c r="B53" s="3018" t="s">
        <v>3220</v>
      </c>
      <c r="C53" s="3018" t="s">
        <v>3158</v>
      </c>
      <c r="D53" s="3018" t="s">
        <v>3213</v>
      </c>
      <c r="E53" s="3018">
        <v>605</v>
      </c>
      <c r="F53" s="3018">
        <v>69.75</v>
      </c>
      <c r="G53" s="3019" t="s">
        <v>3055</v>
      </c>
    </row>
    <row r="54" spans="1:14" ht="14.25" thickBot="1">
      <c r="A54" s="3016">
        <v>53</v>
      </c>
      <c r="B54" s="3018" t="s">
        <v>3220</v>
      </c>
      <c r="C54" s="3018" t="s">
        <v>3158</v>
      </c>
      <c r="D54" s="3018" t="s">
        <v>3213</v>
      </c>
      <c r="E54" s="3018">
        <v>606</v>
      </c>
      <c r="F54" s="3018">
        <v>69.56</v>
      </c>
      <c r="G54" s="3019" t="s">
        <v>3055</v>
      </c>
    </row>
    <row r="55" spans="1:14" ht="14.25" thickBot="1">
      <c r="A55" s="3016">
        <v>54</v>
      </c>
      <c r="B55" s="3008" t="s">
        <v>3220</v>
      </c>
      <c r="C55" s="3008" t="s">
        <v>3158</v>
      </c>
      <c r="D55" s="3008" t="s">
        <v>3213</v>
      </c>
      <c r="E55" s="3008">
        <v>607</v>
      </c>
      <c r="F55" s="3008">
        <v>94.74</v>
      </c>
      <c r="G55" s="3017" t="s">
        <v>3055</v>
      </c>
    </row>
    <row r="56" spans="1:14" ht="14.25" thickBot="1">
      <c r="A56" s="3016">
        <v>55</v>
      </c>
      <c r="B56" s="3018" t="s">
        <v>3220</v>
      </c>
      <c r="C56" s="3018" t="s">
        <v>3158</v>
      </c>
      <c r="D56" s="3018" t="s">
        <v>3215</v>
      </c>
      <c r="E56" s="3018">
        <v>601</v>
      </c>
      <c r="F56" s="3018">
        <v>94.740000000000009</v>
      </c>
      <c r="G56" s="3019" t="s">
        <v>3055</v>
      </c>
    </row>
    <row r="57" spans="1:14" ht="14.25" thickBot="1">
      <c r="A57" s="3016">
        <v>56</v>
      </c>
      <c r="B57" s="3008" t="s">
        <v>3220</v>
      </c>
      <c r="C57" s="3008" t="s">
        <v>3158</v>
      </c>
      <c r="D57" s="3008" t="s">
        <v>3215</v>
      </c>
      <c r="E57" s="3008">
        <v>602</v>
      </c>
      <c r="F57" s="3008">
        <v>69.56</v>
      </c>
      <c r="G57" s="3017" t="s">
        <v>3055</v>
      </c>
    </row>
    <row r="58" spans="1:14" ht="14.25" thickBot="1">
      <c r="A58" s="3016">
        <v>57</v>
      </c>
      <c r="B58" s="3018" t="s">
        <v>3220</v>
      </c>
      <c r="C58" s="3018" t="s">
        <v>3158</v>
      </c>
      <c r="D58" s="3018" t="s">
        <v>3215</v>
      </c>
      <c r="E58" s="3018">
        <v>603</v>
      </c>
      <c r="F58" s="3018">
        <v>69.75</v>
      </c>
      <c r="G58" s="3019" t="s">
        <v>3055</v>
      </c>
    </row>
    <row r="59" spans="1:14" ht="14.25" thickBot="1">
      <c r="A59" s="3016">
        <v>58</v>
      </c>
      <c r="B59" s="3018" t="s">
        <v>3220</v>
      </c>
      <c r="C59" s="3018" t="s">
        <v>3158</v>
      </c>
      <c r="D59" s="3018" t="s">
        <v>3215</v>
      </c>
      <c r="E59" s="3018">
        <v>605</v>
      </c>
      <c r="F59" s="3018">
        <v>69.75</v>
      </c>
      <c r="G59" s="3019" t="s">
        <v>3055</v>
      </c>
    </row>
    <row r="60" spans="1:14" ht="14.25" thickBot="1">
      <c r="A60" s="3016">
        <v>59</v>
      </c>
      <c r="B60" s="3008" t="s">
        <v>3220</v>
      </c>
      <c r="C60" s="3008" t="s">
        <v>3158</v>
      </c>
      <c r="D60" s="3008" t="s">
        <v>3215</v>
      </c>
      <c r="E60" s="3008">
        <v>607</v>
      </c>
      <c r="F60" s="3008">
        <v>66.069999999999993</v>
      </c>
      <c r="G60" s="3017" t="s">
        <v>3055</v>
      </c>
    </row>
    <row r="61" spans="1:14" ht="14.25" thickBot="1">
      <c r="A61" s="3016">
        <v>60</v>
      </c>
      <c r="B61" s="3008" t="s">
        <v>3227</v>
      </c>
      <c r="C61" s="3008" t="s">
        <v>3152</v>
      </c>
      <c r="D61" s="3008" t="s">
        <v>3213</v>
      </c>
      <c r="E61" s="3008">
        <v>101</v>
      </c>
      <c r="F61" s="3008">
        <v>67.23</v>
      </c>
      <c r="G61" s="3017" t="s">
        <v>3055</v>
      </c>
      <c r="I61" s="3025">
        <v>11</v>
      </c>
      <c r="J61" s="3025">
        <v>6</v>
      </c>
      <c r="K61" s="3025">
        <v>2</v>
      </c>
      <c r="L61" s="3026" t="s">
        <v>3388</v>
      </c>
      <c r="M61" s="3025">
        <v>85.45</v>
      </c>
      <c r="N61" s="3023" t="s">
        <v>3248</v>
      </c>
    </row>
    <row r="62" spans="1:14" ht="14.25" thickBot="1">
      <c r="A62" s="3016">
        <v>61</v>
      </c>
      <c r="B62" s="3008" t="s">
        <v>3227</v>
      </c>
      <c r="C62" s="3008" t="s">
        <v>3152</v>
      </c>
      <c r="D62" s="3008" t="s">
        <v>3213</v>
      </c>
      <c r="E62" s="3008">
        <v>102</v>
      </c>
      <c r="F62" s="3008">
        <v>86.67</v>
      </c>
      <c r="G62" s="3017" t="s">
        <v>3055</v>
      </c>
      <c r="I62" s="3025">
        <v>11</v>
      </c>
      <c r="J62" s="3025">
        <v>5</v>
      </c>
      <c r="K62" s="3025">
        <v>2</v>
      </c>
      <c r="L62" s="3026" t="s">
        <v>3389</v>
      </c>
      <c r="M62" s="3025">
        <v>97.31</v>
      </c>
      <c r="N62" s="3023" t="s">
        <v>3248</v>
      </c>
    </row>
    <row r="63" spans="1:14" ht="14.25" thickBot="1">
      <c r="A63" s="3016">
        <v>62</v>
      </c>
      <c r="B63" s="3008" t="s">
        <v>3227</v>
      </c>
      <c r="C63" s="3008" t="s">
        <v>3152</v>
      </c>
      <c r="D63" s="3008" t="s">
        <v>3213</v>
      </c>
      <c r="E63" s="3008">
        <v>103</v>
      </c>
      <c r="F63" s="3008">
        <v>86.67</v>
      </c>
      <c r="G63" s="3017" t="s">
        <v>3055</v>
      </c>
      <c r="I63" s="3025">
        <v>11</v>
      </c>
      <c r="J63" s="3025">
        <v>4</v>
      </c>
      <c r="K63" s="3025">
        <v>2</v>
      </c>
      <c r="L63" s="3026" t="s">
        <v>3390</v>
      </c>
      <c r="M63" s="3025">
        <v>85.45</v>
      </c>
      <c r="N63" s="3023" t="s">
        <v>3248</v>
      </c>
    </row>
    <row r="64" spans="1:14" ht="14.25" thickBot="1">
      <c r="A64" s="3016">
        <v>63</v>
      </c>
      <c r="B64" s="3008" t="s">
        <v>3227</v>
      </c>
      <c r="C64" s="3008" t="s">
        <v>3152</v>
      </c>
      <c r="D64" s="3008" t="s">
        <v>3213</v>
      </c>
      <c r="E64" s="3008">
        <v>105</v>
      </c>
      <c r="F64" s="3008">
        <v>72.48</v>
      </c>
      <c r="G64" s="3017" t="s">
        <v>3055</v>
      </c>
      <c r="I64" s="3025">
        <v>11</v>
      </c>
      <c r="J64" s="3025">
        <v>4</v>
      </c>
      <c r="K64" s="3025">
        <v>2</v>
      </c>
      <c r="L64" s="3026" t="s">
        <v>3391</v>
      </c>
      <c r="M64" s="3025">
        <v>85.45</v>
      </c>
      <c r="N64" s="3023" t="s">
        <v>3248</v>
      </c>
    </row>
    <row r="65" spans="1:14" ht="14.25" thickBot="1">
      <c r="A65" s="3016">
        <v>64</v>
      </c>
      <c r="B65" s="3008" t="s">
        <v>3227</v>
      </c>
      <c r="C65" s="3008" t="s">
        <v>3152</v>
      </c>
      <c r="D65" s="3008" t="s">
        <v>3215</v>
      </c>
      <c r="E65" s="3008">
        <v>101</v>
      </c>
      <c r="F65" s="3008">
        <v>97.31</v>
      </c>
      <c r="G65" s="3017" t="s">
        <v>3055</v>
      </c>
      <c r="I65" s="3025">
        <v>11</v>
      </c>
      <c r="J65" s="3025">
        <v>3</v>
      </c>
      <c r="K65" s="3025">
        <v>2</v>
      </c>
      <c r="L65" s="3026" t="s">
        <v>3392</v>
      </c>
      <c r="M65" s="3025">
        <v>66.28</v>
      </c>
      <c r="N65" s="3023" t="s">
        <v>3248</v>
      </c>
    </row>
    <row r="66" spans="1:14" ht="14.25" thickBot="1">
      <c r="A66" s="3016">
        <v>65</v>
      </c>
      <c r="B66" s="3008" t="s">
        <v>3227</v>
      </c>
      <c r="C66" s="3008" t="s">
        <v>3152</v>
      </c>
      <c r="D66" s="3008" t="s">
        <v>3215</v>
      </c>
      <c r="E66" s="3008">
        <v>102</v>
      </c>
      <c r="F66" s="3008">
        <v>85.45</v>
      </c>
      <c r="G66" s="3017" t="s">
        <v>3055</v>
      </c>
      <c r="I66" s="3025">
        <v>11</v>
      </c>
      <c r="J66" s="3025">
        <v>3</v>
      </c>
      <c r="K66" s="3025">
        <v>2</v>
      </c>
      <c r="L66" s="3026" t="s">
        <v>3393</v>
      </c>
      <c r="M66" s="3025">
        <v>85.45</v>
      </c>
      <c r="N66" s="3023" t="s">
        <v>3248</v>
      </c>
    </row>
    <row r="67" spans="1:14" ht="14.25" thickBot="1">
      <c r="A67" s="3016">
        <v>66</v>
      </c>
      <c r="B67" s="3008" t="s">
        <v>3227</v>
      </c>
      <c r="C67" s="3008" t="s">
        <v>3152</v>
      </c>
      <c r="D67" s="3008" t="s">
        <v>3215</v>
      </c>
      <c r="E67" s="3008">
        <v>103</v>
      </c>
      <c r="F67" s="3008">
        <v>85.45</v>
      </c>
      <c r="G67" s="3017" t="s">
        <v>3055</v>
      </c>
      <c r="I67" s="3025">
        <v>11</v>
      </c>
      <c r="J67" s="3025">
        <v>3</v>
      </c>
      <c r="K67" s="3025">
        <v>2</v>
      </c>
      <c r="L67" s="3026" t="s">
        <v>3394</v>
      </c>
      <c r="M67" s="3025">
        <v>85.45</v>
      </c>
      <c r="N67" s="3023" t="s">
        <v>3248</v>
      </c>
    </row>
    <row r="68" spans="1:14" ht="14.25" thickBot="1">
      <c r="A68" s="3016">
        <v>67</v>
      </c>
      <c r="B68" s="3008" t="s">
        <v>3227</v>
      </c>
      <c r="C68" s="3008" t="s">
        <v>3152</v>
      </c>
      <c r="D68" s="3008" t="s">
        <v>3215</v>
      </c>
      <c r="E68" s="3008">
        <v>105</v>
      </c>
      <c r="F68" s="3008">
        <v>66.28</v>
      </c>
      <c r="G68" s="3017" t="s">
        <v>3055</v>
      </c>
      <c r="I68" s="3025">
        <v>11</v>
      </c>
      <c r="J68" s="3025">
        <v>2</v>
      </c>
      <c r="K68" s="3025">
        <v>2</v>
      </c>
      <c r="L68" s="3026" t="s">
        <v>3395</v>
      </c>
      <c r="M68" s="3025">
        <v>85.45</v>
      </c>
      <c r="N68" s="3023" t="s">
        <v>3248</v>
      </c>
    </row>
    <row r="69" spans="1:14" ht="14.25" thickBot="1">
      <c r="A69" s="3016">
        <v>68</v>
      </c>
      <c r="B69" s="3008" t="s">
        <v>3227</v>
      </c>
      <c r="C69" s="3008" t="s">
        <v>3159</v>
      </c>
      <c r="D69" s="3008" t="s">
        <v>3213</v>
      </c>
      <c r="E69" s="3008">
        <v>202</v>
      </c>
      <c r="F69" s="3008">
        <v>86.67</v>
      </c>
      <c r="G69" s="3017" t="s">
        <v>3055</v>
      </c>
      <c r="I69" s="3025">
        <v>11</v>
      </c>
      <c r="J69" s="3025">
        <v>2</v>
      </c>
      <c r="K69" s="3025">
        <v>2</v>
      </c>
      <c r="L69" s="3026" t="s">
        <v>3396</v>
      </c>
      <c r="M69" s="3025">
        <v>85.45</v>
      </c>
      <c r="N69" s="3023" t="s">
        <v>3248</v>
      </c>
    </row>
    <row r="70" spans="1:14" ht="14.25" thickBot="1">
      <c r="A70" s="3016">
        <v>69</v>
      </c>
      <c r="B70" s="3008" t="s">
        <v>3227</v>
      </c>
      <c r="C70" s="3008" t="s">
        <v>3159</v>
      </c>
      <c r="D70" s="3008" t="s">
        <v>3213</v>
      </c>
      <c r="E70" s="3008">
        <v>203</v>
      </c>
      <c r="F70" s="3008">
        <v>86.67</v>
      </c>
      <c r="G70" s="3017" t="s">
        <v>3055</v>
      </c>
      <c r="I70" s="3025">
        <v>11</v>
      </c>
      <c r="J70" s="3025">
        <v>6</v>
      </c>
      <c r="K70" s="3025">
        <v>1</v>
      </c>
      <c r="L70" s="3026" t="s">
        <v>3398</v>
      </c>
      <c r="M70" s="3025">
        <v>67.23</v>
      </c>
      <c r="N70" s="3023" t="s">
        <v>3248</v>
      </c>
    </row>
    <row r="71" spans="1:14" ht="14.25" thickBot="1">
      <c r="A71" s="3016">
        <v>70</v>
      </c>
      <c r="B71" s="3008" t="s">
        <v>3227</v>
      </c>
      <c r="C71" s="3008" t="s">
        <v>3159</v>
      </c>
      <c r="D71" s="3008" t="s">
        <v>3215</v>
      </c>
      <c r="E71" s="3008">
        <v>201</v>
      </c>
      <c r="F71" s="3008">
        <v>97.31</v>
      </c>
      <c r="G71" s="3017" t="s">
        <v>3055</v>
      </c>
      <c r="I71" s="3025">
        <v>11</v>
      </c>
      <c r="J71" s="3025">
        <v>5</v>
      </c>
      <c r="K71" s="3025">
        <v>1</v>
      </c>
      <c r="L71" s="3026" t="s">
        <v>3399</v>
      </c>
      <c r="M71" s="3025">
        <v>67.23</v>
      </c>
      <c r="N71" s="3023" t="s">
        <v>3248</v>
      </c>
    </row>
    <row r="72" spans="1:14" ht="14.25" thickBot="1">
      <c r="A72" s="3016">
        <v>71</v>
      </c>
      <c r="B72" s="3008" t="s">
        <v>3227</v>
      </c>
      <c r="C72" s="3008" t="s">
        <v>3153</v>
      </c>
      <c r="D72" s="3008" t="s">
        <v>3213</v>
      </c>
      <c r="E72" s="3008">
        <v>302</v>
      </c>
      <c r="F72" s="3008">
        <v>86.67</v>
      </c>
      <c r="G72" s="3017" t="s">
        <v>3055</v>
      </c>
      <c r="I72" s="3025">
        <v>11</v>
      </c>
      <c r="J72" s="3025">
        <v>4</v>
      </c>
      <c r="K72" s="3025">
        <v>1</v>
      </c>
      <c r="L72" s="3026" t="s">
        <v>3400</v>
      </c>
      <c r="M72" s="3025">
        <v>72.48</v>
      </c>
      <c r="N72" s="3023" t="s">
        <v>3248</v>
      </c>
    </row>
    <row r="73" spans="1:14" ht="14.25" thickBot="1">
      <c r="A73" s="3016">
        <v>72</v>
      </c>
      <c r="B73" s="3008" t="s">
        <v>3227</v>
      </c>
      <c r="C73" s="3008" t="s">
        <v>3153</v>
      </c>
      <c r="D73" s="3008" t="s">
        <v>3213</v>
      </c>
      <c r="E73" s="3008">
        <v>305</v>
      </c>
      <c r="F73" s="3008">
        <v>72.48</v>
      </c>
      <c r="G73" s="3017" t="s">
        <v>3055</v>
      </c>
      <c r="I73" s="3025">
        <v>11</v>
      </c>
      <c r="J73" s="3025">
        <v>4</v>
      </c>
      <c r="K73" s="3025">
        <v>1</v>
      </c>
      <c r="L73" s="3026" t="s">
        <v>3401</v>
      </c>
      <c r="M73" s="3025">
        <v>86.67</v>
      </c>
      <c r="N73" s="3023" t="s">
        <v>3248</v>
      </c>
    </row>
    <row r="74" spans="1:14" ht="14.25" thickBot="1">
      <c r="A74" s="3016">
        <v>73</v>
      </c>
      <c r="B74" s="3008" t="s">
        <v>3227</v>
      </c>
      <c r="C74" s="3008" t="s">
        <v>3156</v>
      </c>
      <c r="D74" s="3008" t="s">
        <v>3215</v>
      </c>
      <c r="E74" s="3008" t="s">
        <v>3145</v>
      </c>
      <c r="F74" s="3008">
        <v>97.31</v>
      </c>
      <c r="G74" s="3017" t="s">
        <v>3055</v>
      </c>
      <c r="I74" s="3025">
        <v>11</v>
      </c>
      <c r="J74" s="3025">
        <v>4</v>
      </c>
      <c r="K74" s="3025">
        <v>1</v>
      </c>
      <c r="L74" s="3026" t="s">
        <v>3402</v>
      </c>
      <c r="M74" s="3025">
        <v>86.67</v>
      </c>
      <c r="N74" s="3023" t="s">
        <v>3248</v>
      </c>
    </row>
    <row r="75" spans="1:14" ht="14.25" thickBot="1">
      <c r="A75" s="3016">
        <v>74</v>
      </c>
      <c r="B75" s="3008" t="s">
        <v>3227</v>
      </c>
      <c r="C75" s="3008" t="s">
        <v>3156</v>
      </c>
      <c r="D75" s="3008" t="s">
        <v>3215</v>
      </c>
      <c r="E75" s="3008" t="s">
        <v>3148</v>
      </c>
      <c r="F75" s="3008">
        <v>66.28</v>
      </c>
      <c r="G75" s="3017" t="s">
        <v>3055</v>
      </c>
      <c r="I75" s="3025">
        <v>11</v>
      </c>
      <c r="J75" s="3025">
        <v>4</v>
      </c>
      <c r="K75" s="3025">
        <v>1</v>
      </c>
      <c r="L75" s="3026" t="s">
        <v>3403</v>
      </c>
      <c r="M75" s="3025">
        <v>67.23</v>
      </c>
      <c r="N75" s="3023" t="s">
        <v>3248</v>
      </c>
    </row>
    <row r="76" spans="1:14" ht="14.25" thickBot="1">
      <c r="A76" s="3016">
        <v>75</v>
      </c>
      <c r="B76" s="3008" t="s">
        <v>3227</v>
      </c>
      <c r="C76" s="3008" t="s">
        <v>3157</v>
      </c>
      <c r="D76" s="3008" t="s">
        <v>3213</v>
      </c>
      <c r="E76" s="3008">
        <v>503</v>
      </c>
      <c r="F76" s="3008">
        <v>86.67</v>
      </c>
      <c r="G76" s="3017" t="s">
        <v>3055</v>
      </c>
      <c r="I76" s="3025">
        <v>11</v>
      </c>
      <c r="J76" s="3025">
        <v>3</v>
      </c>
      <c r="K76" s="3025">
        <v>1</v>
      </c>
      <c r="L76" s="3026" t="s">
        <v>3404</v>
      </c>
      <c r="M76" s="3025">
        <v>67.23</v>
      </c>
      <c r="N76" s="3023" t="s">
        <v>3248</v>
      </c>
    </row>
    <row r="77" spans="1:14" ht="14.25" thickBot="1">
      <c r="A77" s="3016">
        <v>76</v>
      </c>
      <c r="B77" s="3008" t="s">
        <v>3227</v>
      </c>
      <c r="C77" s="3008" t="s">
        <v>3157</v>
      </c>
      <c r="D77" s="3008" t="s">
        <v>3213</v>
      </c>
      <c r="E77" s="3008">
        <v>505</v>
      </c>
      <c r="F77" s="3008">
        <v>72.48</v>
      </c>
      <c r="G77" s="3017" t="s">
        <v>3055</v>
      </c>
      <c r="I77" s="3025">
        <v>11</v>
      </c>
      <c r="J77" s="3025">
        <v>2</v>
      </c>
      <c r="K77" s="3025">
        <v>1</v>
      </c>
      <c r="L77" s="3026" t="s">
        <v>3405</v>
      </c>
      <c r="M77" s="3025">
        <v>72.48</v>
      </c>
      <c r="N77" s="3023" t="s">
        <v>3248</v>
      </c>
    </row>
    <row r="78" spans="1:14" ht="14.25" thickBot="1">
      <c r="A78" s="3016">
        <v>77</v>
      </c>
      <c r="B78" s="3008" t="s">
        <v>3227</v>
      </c>
      <c r="C78" s="3008" t="s">
        <v>3158</v>
      </c>
      <c r="D78" s="3008" t="s">
        <v>3213</v>
      </c>
      <c r="E78" s="3008">
        <v>602</v>
      </c>
      <c r="F78" s="3008">
        <v>86.67</v>
      </c>
      <c r="G78" s="3017" t="s">
        <v>3055</v>
      </c>
      <c r="I78" s="3025">
        <v>11</v>
      </c>
      <c r="J78" s="3025">
        <v>2</v>
      </c>
      <c r="K78" s="3025">
        <v>1</v>
      </c>
      <c r="L78" s="3026" t="s">
        <v>3406</v>
      </c>
      <c r="M78" s="3025">
        <v>67.23</v>
      </c>
      <c r="N78" s="3023" t="s">
        <v>3248</v>
      </c>
    </row>
    <row r="79" spans="1:14" ht="14.25" thickBot="1">
      <c r="A79" s="3016">
        <v>78</v>
      </c>
      <c r="B79" s="3008" t="s">
        <v>3227</v>
      </c>
      <c r="C79" s="3008" t="s">
        <v>3158</v>
      </c>
      <c r="D79" s="3008" t="s">
        <v>3215</v>
      </c>
      <c r="E79" s="3008">
        <v>601</v>
      </c>
      <c r="F79" s="3008">
        <v>97.31</v>
      </c>
      <c r="G79" s="3017" t="s">
        <v>3055</v>
      </c>
    </row>
    <row r="80" spans="1:14" ht="14.25" thickBot="1">
      <c r="A80" s="3016">
        <v>79</v>
      </c>
      <c r="B80" s="3008" t="s">
        <v>3323</v>
      </c>
      <c r="C80" s="3020" t="s">
        <v>3152</v>
      </c>
      <c r="D80" s="3008" t="s">
        <v>3215</v>
      </c>
      <c r="E80" s="3020">
        <v>101</v>
      </c>
      <c r="F80" s="3008">
        <v>97.04</v>
      </c>
      <c r="G80" s="3017" t="s">
        <v>3055</v>
      </c>
    </row>
    <row r="81" spans="1:7" ht="14.25" thickBot="1">
      <c r="A81" s="3016">
        <v>80</v>
      </c>
      <c r="B81" s="3008" t="s">
        <v>3323</v>
      </c>
      <c r="C81" s="3020" t="s">
        <v>3152</v>
      </c>
      <c r="D81" s="3008" t="s">
        <v>3215</v>
      </c>
      <c r="E81" s="3020">
        <v>102</v>
      </c>
      <c r="F81" s="3008">
        <v>86.49</v>
      </c>
      <c r="G81" s="3017" t="s">
        <v>3055</v>
      </c>
    </row>
    <row r="82" spans="1:7" ht="14.25" thickBot="1">
      <c r="A82" s="3016">
        <v>81</v>
      </c>
      <c r="B82" s="3008" t="s">
        <v>3323</v>
      </c>
      <c r="C82" s="3020" t="s">
        <v>3152</v>
      </c>
      <c r="D82" s="3008" t="s">
        <v>3215</v>
      </c>
      <c r="E82" s="3020">
        <v>103</v>
      </c>
      <c r="F82" s="3008">
        <v>86.49</v>
      </c>
      <c r="G82" s="3017" t="s">
        <v>3055</v>
      </c>
    </row>
    <row r="83" spans="1:7" ht="14.25" thickBot="1">
      <c r="A83" s="3016">
        <v>82</v>
      </c>
      <c r="B83" s="3008" t="s">
        <v>3323</v>
      </c>
      <c r="C83" s="3020" t="s">
        <v>3152</v>
      </c>
      <c r="D83" s="3008" t="s">
        <v>3215</v>
      </c>
      <c r="E83" s="3020">
        <v>105</v>
      </c>
      <c r="F83" s="3008">
        <v>66.540000000000006</v>
      </c>
      <c r="G83" s="3017" t="s">
        <v>3055</v>
      </c>
    </row>
    <row r="84" spans="1:7" ht="14.25" thickBot="1">
      <c r="A84" s="3016">
        <v>83</v>
      </c>
      <c r="B84" s="3008" t="s">
        <v>3323</v>
      </c>
      <c r="C84" s="3020" t="s">
        <v>3152</v>
      </c>
      <c r="D84" s="3008" t="s">
        <v>3213</v>
      </c>
      <c r="E84" s="3020">
        <v>106</v>
      </c>
      <c r="F84" s="3008">
        <v>67.47</v>
      </c>
      <c r="G84" s="3017" t="s">
        <v>3055</v>
      </c>
    </row>
    <row r="85" spans="1:7" ht="14.25" thickBot="1">
      <c r="A85" s="3016">
        <v>84</v>
      </c>
      <c r="B85" s="3008" t="s">
        <v>3323</v>
      </c>
      <c r="C85" s="3020" t="s">
        <v>3152</v>
      </c>
      <c r="D85" s="3008" t="s">
        <v>3213</v>
      </c>
      <c r="E85" s="3020">
        <v>107</v>
      </c>
      <c r="F85" s="3008">
        <v>87.71</v>
      </c>
      <c r="G85" s="3017" t="s">
        <v>3055</v>
      </c>
    </row>
    <row r="86" spans="1:7" ht="14.25" thickBot="1">
      <c r="A86" s="3016">
        <v>85</v>
      </c>
      <c r="B86" s="3008" t="s">
        <v>3323</v>
      </c>
      <c r="C86" s="3020" t="s">
        <v>3152</v>
      </c>
      <c r="D86" s="3008" t="s">
        <v>3213</v>
      </c>
      <c r="E86" s="3020">
        <v>108</v>
      </c>
      <c r="F86" s="3008">
        <v>87.71</v>
      </c>
      <c r="G86" s="3017" t="s">
        <v>3055</v>
      </c>
    </row>
    <row r="87" spans="1:7" ht="14.25" thickBot="1">
      <c r="A87" s="3016">
        <v>86</v>
      </c>
      <c r="B87" s="3008" t="s">
        <v>3323</v>
      </c>
      <c r="C87" s="3020" t="s">
        <v>3152</v>
      </c>
      <c r="D87" s="3008" t="s">
        <v>3213</v>
      </c>
      <c r="E87" s="3020">
        <v>109</v>
      </c>
      <c r="F87" s="3008">
        <v>72.27</v>
      </c>
      <c r="G87" s="3017" t="s">
        <v>3055</v>
      </c>
    </row>
    <row r="88" spans="1:7" ht="14.25" thickBot="1">
      <c r="A88" s="3016">
        <v>87</v>
      </c>
      <c r="B88" s="3008" t="s">
        <v>3323</v>
      </c>
      <c r="C88" s="3020" t="s">
        <v>3159</v>
      </c>
      <c r="D88" s="3008" t="s">
        <v>3215</v>
      </c>
      <c r="E88" s="3020">
        <v>201</v>
      </c>
      <c r="F88" s="3008">
        <v>97.04</v>
      </c>
      <c r="G88" s="3017" t="s">
        <v>3055</v>
      </c>
    </row>
    <row r="89" spans="1:7" ht="14.25" thickBot="1">
      <c r="A89" s="3016">
        <v>88</v>
      </c>
      <c r="B89" s="3008" t="s">
        <v>3323</v>
      </c>
      <c r="C89" s="3020" t="s">
        <v>3159</v>
      </c>
      <c r="D89" s="3008" t="s">
        <v>3215</v>
      </c>
      <c r="E89" s="3020">
        <v>202</v>
      </c>
      <c r="F89" s="3008">
        <v>86.49</v>
      </c>
      <c r="G89" s="3017" t="s">
        <v>3055</v>
      </c>
    </row>
    <row r="90" spans="1:7" ht="14.25" thickBot="1">
      <c r="A90" s="3016">
        <v>89</v>
      </c>
      <c r="B90" s="3008" t="s">
        <v>3323</v>
      </c>
      <c r="C90" s="3020" t="s">
        <v>3159</v>
      </c>
      <c r="D90" s="3008" t="s">
        <v>3215</v>
      </c>
      <c r="E90" s="3020">
        <v>203</v>
      </c>
      <c r="F90" s="3008">
        <v>86.49</v>
      </c>
      <c r="G90" s="3017" t="s">
        <v>3055</v>
      </c>
    </row>
    <row r="91" spans="1:7" ht="14.25" thickBot="1">
      <c r="A91" s="3016">
        <v>90</v>
      </c>
      <c r="B91" s="3008" t="s">
        <v>3323</v>
      </c>
      <c r="C91" s="3020" t="s">
        <v>3159</v>
      </c>
      <c r="D91" s="3008" t="s">
        <v>3215</v>
      </c>
      <c r="E91" s="3020">
        <v>205</v>
      </c>
      <c r="F91" s="3008">
        <v>66.540000000000006</v>
      </c>
      <c r="G91" s="3017" t="s">
        <v>3055</v>
      </c>
    </row>
    <row r="92" spans="1:7" ht="14.25" thickBot="1">
      <c r="A92" s="3016">
        <v>91</v>
      </c>
      <c r="B92" s="3008" t="s">
        <v>3323</v>
      </c>
      <c r="C92" s="3020" t="s">
        <v>3159</v>
      </c>
      <c r="D92" s="3008" t="s">
        <v>3213</v>
      </c>
      <c r="E92" s="3020">
        <v>206</v>
      </c>
      <c r="F92" s="3008">
        <v>67.47</v>
      </c>
      <c r="G92" s="3017" t="s">
        <v>3055</v>
      </c>
    </row>
    <row r="93" spans="1:7" ht="14.25" thickBot="1">
      <c r="A93" s="3016">
        <v>92</v>
      </c>
      <c r="B93" s="3008" t="s">
        <v>3323</v>
      </c>
      <c r="C93" s="3020" t="s">
        <v>3159</v>
      </c>
      <c r="D93" s="3008" t="s">
        <v>3213</v>
      </c>
      <c r="E93" s="3020">
        <v>207</v>
      </c>
      <c r="F93" s="3008">
        <v>87.71</v>
      </c>
      <c r="G93" s="3017" t="s">
        <v>3055</v>
      </c>
    </row>
    <row r="94" spans="1:7" ht="14.25" thickBot="1">
      <c r="A94" s="3016">
        <v>93</v>
      </c>
      <c r="B94" s="3008" t="s">
        <v>3323</v>
      </c>
      <c r="C94" s="3020" t="s">
        <v>3159</v>
      </c>
      <c r="D94" s="3008" t="s">
        <v>3213</v>
      </c>
      <c r="E94" s="3020">
        <v>208</v>
      </c>
      <c r="F94" s="3008">
        <v>87.71</v>
      </c>
      <c r="G94" s="3017" t="s">
        <v>3055</v>
      </c>
    </row>
    <row r="95" spans="1:7" ht="14.25" thickBot="1">
      <c r="A95" s="3016">
        <v>94</v>
      </c>
      <c r="B95" s="3008" t="s">
        <v>3323</v>
      </c>
      <c r="C95" s="3020" t="s">
        <v>3159</v>
      </c>
      <c r="D95" s="3008" t="s">
        <v>3213</v>
      </c>
      <c r="E95" s="3020">
        <v>209</v>
      </c>
      <c r="F95" s="3008">
        <v>72.27</v>
      </c>
      <c r="G95" s="3017" t="s">
        <v>3055</v>
      </c>
    </row>
    <row r="96" spans="1:7" ht="14.25" thickBot="1">
      <c r="A96" s="3016">
        <v>95</v>
      </c>
      <c r="B96" s="3008" t="s">
        <v>3323</v>
      </c>
      <c r="C96" s="3020" t="s">
        <v>3153</v>
      </c>
      <c r="D96" s="3008" t="s">
        <v>3215</v>
      </c>
      <c r="E96" s="3020">
        <v>301</v>
      </c>
      <c r="F96" s="3008">
        <v>97.04</v>
      </c>
      <c r="G96" s="3017" t="s">
        <v>3055</v>
      </c>
    </row>
    <row r="97" spans="1:7" ht="14.25" thickBot="1">
      <c r="A97" s="3016">
        <v>96</v>
      </c>
      <c r="B97" s="3008" t="s">
        <v>3323</v>
      </c>
      <c r="C97" s="3020" t="s">
        <v>3153</v>
      </c>
      <c r="D97" s="3008" t="s">
        <v>3215</v>
      </c>
      <c r="E97" s="3020">
        <v>302</v>
      </c>
      <c r="F97" s="3008">
        <v>86.49</v>
      </c>
      <c r="G97" s="3017" t="s">
        <v>3055</v>
      </c>
    </row>
    <row r="98" spans="1:7" ht="14.25" thickBot="1">
      <c r="A98" s="3016">
        <v>97</v>
      </c>
      <c r="B98" s="3008" t="s">
        <v>3323</v>
      </c>
      <c r="C98" s="3020" t="s">
        <v>3153</v>
      </c>
      <c r="D98" s="3008" t="s">
        <v>3215</v>
      </c>
      <c r="E98" s="3020">
        <v>303</v>
      </c>
      <c r="F98" s="3008">
        <v>86.49</v>
      </c>
      <c r="G98" s="3017" t="s">
        <v>3055</v>
      </c>
    </row>
    <row r="99" spans="1:7" ht="14.25" thickBot="1">
      <c r="A99" s="3016">
        <v>98</v>
      </c>
      <c r="B99" s="3008" t="s">
        <v>3323</v>
      </c>
      <c r="C99" s="3020" t="s">
        <v>3153</v>
      </c>
      <c r="D99" s="3008" t="s">
        <v>3215</v>
      </c>
      <c r="E99" s="3020">
        <v>305</v>
      </c>
      <c r="F99" s="3008">
        <v>66.540000000000006</v>
      </c>
      <c r="G99" s="3017" t="s">
        <v>3055</v>
      </c>
    </row>
    <row r="100" spans="1:7" ht="14.25" thickBot="1">
      <c r="A100" s="3016">
        <v>99</v>
      </c>
      <c r="B100" s="3008" t="s">
        <v>3323</v>
      </c>
      <c r="C100" s="3020" t="s">
        <v>3153</v>
      </c>
      <c r="D100" s="3008" t="s">
        <v>3213</v>
      </c>
      <c r="E100" s="3020">
        <v>306</v>
      </c>
      <c r="F100" s="3008">
        <v>67.47</v>
      </c>
      <c r="G100" s="3017" t="s">
        <v>3055</v>
      </c>
    </row>
    <row r="101" spans="1:7" ht="14.25" thickBot="1">
      <c r="A101" s="3016">
        <v>100</v>
      </c>
      <c r="B101" s="3008" t="s">
        <v>3323</v>
      </c>
      <c r="C101" s="3020" t="s">
        <v>3153</v>
      </c>
      <c r="D101" s="3008" t="s">
        <v>3213</v>
      </c>
      <c r="E101" s="3020">
        <v>307</v>
      </c>
      <c r="F101" s="3008">
        <v>87.71</v>
      </c>
      <c r="G101" s="3017" t="s">
        <v>3055</v>
      </c>
    </row>
    <row r="102" spans="1:7" ht="14.25" thickBot="1">
      <c r="A102" s="3016">
        <v>101</v>
      </c>
      <c r="B102" s="3008" t="s">
        <v>3323</v>
      </c>
      <c r="C102" s="3020" t="s">
        <v>3153</v>
      </c>
      <c r="D102" s="3008" t="s">
        <v>3213</v>
      </c>
      <c r="E102" s="3020">
        <v>308</v>
      </c>
      <c r="F102" s="3008">
        <v>87.71</v>
      </c>
      <c r="G102" s="3017" t="s">
        <v>3055</v>
      </c>
    </row>
    <row r="103" spans="1:7" ht="14.25" thickBot="1">
      <c r="A103" s="3016">
        <v>102</v>
      </c>
      <c r="B103" s="3008" t="s">
        <v>3323</v>
      </c>
      <c r="C103" s="3020" t="s">
        <v>3153</v>
      </c>
      <c r="D103" s="3008" t="s">
        <v>3213</v>
      </c>
      <c r="E103" s="3020">
        <v>309</v>
      </c>
      <c r="F103" s="3008">
        <v>72.27</v>
      </c>
      <c r="G103" s="3017" t="s">
        <v>3055</v>
      </c>
    </row>
    <row r="104" spans="1:7" ht="14.25" thickBot="1">
      <c r="A104" s="3016">
        <v>103</v>
      </c>
      <c r="B104" s="3008" t="s">
        <v>3323</v>
      </c>
      <c r="C104" s="3020" t="s">
        <v>3156</v>
      </c>
      <c r="D104" s="3008" t="s">
        <v>3215</v>
      </c>
      <c r="E104" s="3020" t="s">
        <v>3145</v>
      </c>
      <c r="F104" s="3008">
        <v>97.04</v>
      </c>
      <c r="G104" s="3017" t="s">
        <v>3055</v>
      </c>
    </row>
    <row r="105" spans="1:7" ht="14.25" thickBot="1">
      <c r="A105" s="3016">
        <v>104</v>
      </c>
      <c r="B105" s="3008" t="s">
        <v>3323</v>
      </c>
      <c r="C105" s="3020" t="s">
        <v>3156</v>
      </c>
      <c r="D105" s="3008" t="s">
        <v>3215</v>
      </c>
      <c r="E105" s="3020" t="s">
        <v>3146</v>
      </c>
      <c r="F105" s="3008">
        <v>86.49</v>
      </c>
      <c r="G105" s="3017" t="s">
        <v>3055</v>
      </c>
    </row>
    <row r="106" spans="1:7" ht="14.25" thickBot="1">
      <c r="A106" s="3016">
        <v>105</v>
      </c>
      <c r="B106" s="3008" t="s">
        <v>3323</v>
      </c>
      <c r="C106" s="3020" t="s">
        <v>3156</v>
      </c>
      <c r="D106" s="3008" t="s">
        <v>3215</v>
      </c>
      <c r="E106" s="3020" t="s">
        <v>3147</v>
      </c>
      <c r="F106" s="3008">
        <v>86.49</v>
      </c>
      <c r="G106" s="3017" t="s">
        <v>3055</v>
      </c>
    </row>
    <row r="107" spans="1:7" ht="14.25" thickBot="1">
      <c r="A107" s="3016">
        <v>106</v>
      </c>
      <c r="B107" s="3008" t="s">
        <v>3323</v>
      </c>
      <c r="C107" s="3020" t="s">
        <v>3156</v>
      </c>
      <c r="D107" s="3008" t="s">
        <v>3215</v>
      </c>
      <c r="E107" s="3020" t="s">
        <v>3148</v>
      </c>
      <c r="F107" s="3008">
        <v>66.540000000000006</v>
      </c>
      <c r="G107" s="3017" t="s">
        <v>3055</v>
      </c>
    </row>
    <row r="108" spans="1:7" ht="14.25" thickBot="1">
      <c r="A108" s="3016">
        <v>107</v>
      </c>
      <c r="B108" s="3008" t="s">
        <v>3323</v>
      </c>
      <c r="C108" s="3020" t="s">
        <v>3156</v>
      </c>
      <c r="D108" s="3008" t="s">
        <v>3213</v>
      </c>
      <c r="E108" s="3020" t="s">
        <v>3149</v>
      </c>
      <c r="F108" s="3008">
        <v>67.47</v>
      </c>
      <c r="G108" s="3017" t="s">
        <v>3055</v>
      </c>
    </row>
    <row r="109" spans="1:7" ht="14.25" thickBot="1">
      <c r="A109" s="3016">
        <v>108</v>
      </c>
      <c r="B109" s="3008" t="s">
        <v>3323</v>
      </c>
      <c r="C109" s="3020" t="s">
        <v>3156</v>
      </c>
      <c r="D109" s="3008" t="s">
        <v>3213</v>
      </c>
      <c r="E109" s="3020" t="s">
        <v>3150</v>
      </c>
      <c r="F109" s="3008">
        <v>87.71</v>
      </c>
      <c r="G109" s="3017" t="s">
        <v>3055</v>
      </c>
    </row>
    <row r="110" spans="1:7" ht="14.25" thickBot="1">
      <c r="A110" s="3016">
        <v>109</v>
      </c>
      <c r="B110" s="3008" t="s">
        <v>3323</v>
      </c>
      <c r="C110" s="3020" t="s">
        <v>3156</v>
      </c>
      <c r="D110" s="3008" t="s">
        <v>3213</v>
      </c>
      <c r="E110" s="3020" t="s">
        <v>3151</v>
      </c>
      <c r="F110" s="3008">
        <v>87.71</v>
      </c>
      <c r="G110" s="3017" t="s">
        <v>3055</v>
      </c>
    </row>
    <row r="111" spans="1:7" ht="14.25" thickBot="1">
      <c r="A111" s="3016">
        <v>110</v>
      </c>
      <c r="B111" s="3008" t="s">
        <v>3323</v>
      </c>
      <c r="C111" s="3020" t="s">
        <v>3156</v>
      </c>
      <c r="D111" s="3008" t="s">
        <v>3213</v>
      </c>
      <c r="E111" s="3020" t="s">
        <v>3163</v>
      </c>
      <c r="F111" s="3008">
        <v>72.27</v>
      </c>
      <c r="G111" s="3017" t="s">
        <v>3055</v>
      </c>
    </row>
    <row r="112" spans="1:7" ht="14.25" thickBot="1">
      <c r="A112" s="3016">
        <v>111</v>
      </c>
      <c r="B112" s="3008" t="s">
        <v>3323</v>
      </c>
      <c r="C112" s="3020" t="s">
        <v>3157</v>
      </c>
      <c r="D112" s="3008" t="s">
        <v>3215</v>
      </c>
      <c r="E112" s="3020">
        <v>501</v>
      </c>
      <c r="F112" s="3008">
        <v>97.04</v>
      </c>
      <c r="G112" s="3017" t="s">
        <v>3055</v>
      </c>
    </row>
    <row r="113" spans="1:7" ht="14.25" thickBot="1">
      <c r="A113" s="3016">
        <v>112</v>
      </c>
      <c r="B113" s="3008" t="s">
        <v>3323</v>
      </c>
      <c r="C113" s="3020" t="s">
        <v>3157</v>
      </c>
      <c r="D113" s="3008" t="s">
        <v>3215</v>
      </c>
      <c r="E113" s="3020">
        <v>502</v>
      </c>
      <c r="F113" s="3008">
        <v>86.49</v>
      </c>
      <c r="G113" s="3017" t="s">
        <v>3055</v>
      </c>
    </row>
    <row r="114" spans="1:7" ht="14.25" thickBot="1">
      <c r="A114" s="3016">
        <v>113</v>
      </c>
      <c r="B114" s="3008" t="s">
        <v>3323</v>
      </c>
      <c r="C114" s="3020" t="s">
        <v>3157</v>
      </c>
      <c r="D114" s="3008" t="s">
        <v>3215</v>
      </c>
      <c r="E114" s="3020">
        <v>503</v>
      </c>
      <c r="F114" s="3008">
        <v>86.49</v>
      </c>
      <c r="G114" s="3017" t="s">
        <v>3055</v>
      </c>
    </row>
    <row r="115" spans="1:7" ht="14.25" thickBot="1">
      <c r="A115" s="3016">
        <v>114</v>
      </c>
      <c r="B115" s="3008" t="s">
        <v>3323</v>
      </c>
      <c r="C115" s="3020" t="s">
        <v>3157</v>
      </c>
      <c r="D115" s="3008" t="s">
        <v>3215</v>
      </c>
      <c r="E115" s="3020">
        <v>505</v>
      </c>
      <c r="F115" s="3008">
        <v>66.540000000000006</v>
      </c>
      <c r="G115" s="3017" t="s">
        <v>3055</v>
      </c>
    </row>
    <row r="116" spans="1:7" ht="14.25" thickBot="1">
      <c r="A116" s="3016">
        <v>115</v>
      </c>
      <c r="B116" s="3008" t="s">
        <v>3323</v>
      </c>
      <c r="C116" s="3020" t="s">
        <v>3157</v>
      </c>
      <c r="D116" s="3008" t="s">
        <v>3213</v>
      </c>
      <c r="E116" s="3020">
        <v>506</v>
      </c>
      <c r="F116" s="3008">
        <v>67.47</v>
      </c>
      <c r="G116" s="3017" t="s">
        <v>3055</v>
      </c>
    </row>
    <row r="117" spans="1:7" ht="14.25" thickBot="1">
      <c r="A117" s="3016">
        <v>116</v>
      </c>
      <c r="B117" s="3008" t="s">
        <v>3323</v>
      </c>
      <c r="C117" s="3020" t="s">
        <v>3157</v>
      </c>
      <c r="D117" s="3008" t="s">
        <v>3213</v>
      </c>
      <c r="E117" s="3020">
        <v>507</v>
      </c>
      <c r="F117" s="3008">
        <v>87.71</v>
      </c>
      <c r="G117" s="3017" t="s">
        <v>3055</v>
      </c>
    </row>
    <row r="118" spans="1:7" ht="14.25" thickBot="1">
      <c r="A118" s="3016">
        <v>117</v>
      </c>
      <c r="B118" s="3008" t="s">
        <v>3323</v>
      </c>
      <c r="C118" s="3020" t="s">
        <v>3157</v>
      </c>
      <c r="D118" s="3008" t="s">
        <v>3213</v>
      </c>
      <c r="E118" s="3020">
        <v>508</v>
      </c>
      <c r="F118" s="3008">
        <v>87.71</v>
      </c>
      <c r="G118" s="3017" t="s">
        <v>3055</v>
      </c>
    </row>
    <row r="119" spans="1:7" ht="14.25" thickBot="1">
      <c r="A119" s="3016">
        <v>118</v>
      </c>
      <c r="B119" s="3008" t="s">
        <v>3323</v>
      </c>
      <c r="C119" s="3020" t="s">
        <v>3157</v>
      </c>
      <c r="D119" s="3008" t="s">
        <v>3213</v>
      </c>
      <c r="E119" s="3020">
        <v>509</v>
      </c>
      <c r="F119" s="3008">
        <v>72.27</v>
      </c>
      <c r="G119" s="3017" t="s">
        <v>3055</v>
      </c>
    </row>
    <row r="120" spans="1:7" ht="14.25" thickBot="1">
      <c r="A120" s="3016">
        <v>119</v>
      </c>
      <c r="B120" s="3008" t="s">
        <v>3323</v>
      </c>
      <c r="C120" s="3020" t="s">
        <v>3158</v>
      </c>
      <c r="D120" s="3008" t="s">
        <v>3215</v>
      </c>
      <c r="E120" s="3020">
        <v>601</v>
      </c>
      <c r="F120" s="3008">
        <v>97.04</v>
      </c>
      <c r="G120" s="3017" t="s">
        <v>3055</v>
      </c>
    </row>
    <row r="121" spans="1:7" ht="14.25" thickBot="1">
      <c r="A121" s="3016">
        <v>120</v>
      </c>
      <c r="B121" s="3008" t="s">
        <v>3323</v>
      </c>
      <c r="C121" s="3020" t="s">
        <v>3158</v>
      </c>
      <c r="D121" s="3008" t="s">
        <v>3215</v>
      </c>
      <c r="E121" s="3020">
        <v>602</v>
      </c>
      <c r="F121" s="3008">
        <v>86.49</v>
      </c>
      <c r="G121" s="3017" t="s">
        <v>3055</v>
      </c>
    </row>
    <row r="122" spans="1:7" ht="14.25" thickBot="1">
      <c r="A122" s="3016">
        <v>121</v>
      </c>
      <c r="B122" s="3008" t="s">
        <v>3323</v>
      </c>
      <c r="C122" s="3020" t="s">
        <v>3158</v>
      </c>
      <c r="D122" s="3008" t="s">
        <v>3215</v>
      </c>
      <c r="E122" s="3020">
        <v>603</v>
      </c>
      <c r="F122" s="3008">
        <v>86.49</v>
      </c>
      <c r="G122" s="3017" t="s">
        <v>3055</v>
      </c>
    </row>
    <row r="123" spans="1:7" ht="14.25" thickBot="1">
      <c r="A123" s="3016">
        <v>122</v>
      </c>
      <c r="B123" s="3008" t="s">
        <v>3323</v>
      </c>
      <c r="C123" s="3020" t="s">
        <v>3158</v>
      </c>
      <c r="D123" s="3008" t="s">
        <v>3215</v>
      </c>
      <c r="E123" s="3020">
        <v>605</v>
      </c>
      <c r="F123" s="3008">
        <v>66.540000000000006</v>
      </c>
      <c r="G123" s="3017" t="s">
        <v>3055</v>
      </c>
    </row>
    <row r="124" spans="1:7" ht="14.25" thickBot="1">
      <c r="A124" s="3016">
        <v>123</v>
      </c>
      <c r="B124" s="3008" t="s">
        <v>3323</v>
      </c>
      <c r="C124" s="3020" t="s">
        <v>3158</v>
      </c>
      <c r="D124" s="3008" t="s">
        <v>3213</v>
      </c>
      <c r="E124" s="3020">
        <v>606</v>
      </c>
      <c r="F124" s="3008">
        <v>67.47</v>
      </c>
      <c r="G124" s="3017" t="s">
        <v>3055</v>
      </c>
    </row>
    <row r="125" spans="1:7" ht="14.25" thickBot="1">
      <c r="A125" s="3016">
        <v>124</v>
      </c>
      <c r="B125" s="3008" t="s">
        <v>3323</v>
      </c>
      <c r="C125" s="3020" t="s">
        <v>3158</v>
      </c>
      <c r="D125" s="3008" t="s">
        <v>3213</v>
      </c>
      <c r="E125" s="3020">
        <v>607</v>
      </c>
      <c r="F125" s="3008">
        <v>87.71</v>
      </c>
      <c r="G125" s="3017" t="s">
        <v>3055</v>
      </c>
    </row>
    <row r="126" spans="1:7" ht="14.25" thickBot="1">
      <c r="A126" s="3016">
        <v>125</v>
      </c>
      <c r="B126" s="3008" t="s">
        <v>3323</v>
      </c>
      <c r="C126" s="3020" t="s">
        <v>3158</v>
      </c>
      <c r="D126" s="3008" t="s">
        <v>3213</v>
      </c>
      <c r="E126" s="3020">
        <v>608</v>
      </c>
      <c r="F126" s="3008">
        <v>87.71</v>
      </c>
      <c r="G126" s="3017" t="s">
        <v>3055</v>
      </c>
    </row>
    <row r="127" spans="1:7" ht="14.25" thickBot="1">
      <c r="A127" s="3016">
        <v>126</v>
      </c>
      <c r="B127" s="3008" t="s">
        <v>3323</v>
      </c>
      <c r="C127" s="3020" t="s">
        <v>3158</v>
      </c>
      <c r="D127" s="3008" t="s">
        <v>3213</v>
      </c>
      <c r="E127" s="3020">
        <v>609</v>
      </c>
      <c r="F127" s="3008">
        <v>72.27</v>
      </c>
      <c r="G127" s="3017" t="s">
        <v>3055</v>
      </c>
    </row>
    <row r="128" spans="1:7" ht="14.25" thickBot="1">
      <c r="A128" s="3016">
        <v>127</v>
      </c>
      <c r="B128" s="3008" t="s">
        <v>3239</v>
      </c>
      <c r="C128" s="3020" t="s">
        <v>3153</v>
      </c>
      <c r="D128" s="3008" t="s">
        <v>3215</v>
      </c>
      <c r="E128" s="3020">
        <v>301</v>
      </c>
      <c r="F128" s="3008">
        <v>99.02</v>
      </c>
      <c r="G128" s="3017" t="s">
        <v>3055</v>
      </c>
    </row>
    <row r="129" spans="1:14" ht="14.25" thickBot="1">
      <c r="A129" s="3016">
        <v>128</v>
      </c>
      <c r="B129" s="3008" t="s">
        <v>3239</v>
      </c>
      <c r="C129" s="3020" t="s">
        <v>3153</v>
      </c>
      <c r="D129" s="3008" t="s">
        <v>3215</v>
      </c>
      <c r="E129" s="3020">
        <v>302</v>
      </c>
      <c r="F129" s="3008">
        <v>72.72</v>
      </c>
      <c r="G129" s="3017" t="s">
        <v>3055</v>
      </c>
    </row>
    <row r="130" spans="1:14" ht="14.25" thickBot="1">
      <c r="A130" s="3016">
        <v>129</v>
      </c>
      <c r="B130" s="3008" t="s">
        <v>3239</v>
      </c>
      <c r="C130" s="3020" t="s">
        <v>3153</v>
      </c>
      <c r="D130" s="3008" t="s">
        <v>3215</v>
      </c>
      <c r="E130" s="3020">
        <v>303</v>
      </c>
      <c r="F130" s="3008">
        <v>72.760000000000005</v>
      </c>
      <c r="G130" s="3017" t="s">
        <v>3055</v>
      </c>
    </row>
    <row r="131" spans="1:14" ht="14.25" thickBot="1">
      <c r="A131" s="3016">
        <v>130</v>
      </c>
      <c r="B131" s="3008" t="s">
        <v>3239</v>
      </c>
      <c r="C131" s="3020" t="s">
        <v>3153</v>
      </c>
      <c r="D131" s="3008" t="s">
        <v>3215</v>
      </c>
      <c r="E131" s="3020">
        <v>305</v>
      </c>
      <c r="F131" s="3008">
        <v>72.760000000000005</v>
      </c>
      <c r="G131" s="3017" t="s">
        <v>3055</v>
      </c>
    </row>
    <row r="132" spans="1:14" ht="14.25" thickBot="1">
      <c r="A132" s="3016">
        <v>131</v>
      </c>
      <c r="B132" s="3008" t="s">
        <v>3239</v>
      </c>
      <c r="C132" s="3020" t="s">
        <v>3153</v>
      </c>
      <c r="D132" s="3008" t="s">
        <v>3215</v>
      </c>
      <c r="E132" s="3020">
        <v>306</v>
      </c>
      <c r="F132" s="3008">
        <v>72.72</v>
      </c>
      <c r="G132" s="3017" t="s">
        <v>3055</v>
      </c>
    </row>
    <row r="133" spans="1:14" s="3029" customFormat="1" ht="14.25" thickBot="1">
      <c r="A133" s="3016">
        <v>132</v>
      </c>
      <c r="B133" s="3030" t="s">
        <v>3239</v>
      </c>
      <c r="C133" s="3031" t="s">
        <v>3153</v>
      </c>
      <c r="D133" s="3030" t="s">
        <v>3215</v>
      </c>
      <c r="E133" s="3031">
        <v>307</v>
      </c>
      <c r="F133" s="3030">
        <v>68.990000000000009</v>
      </c>
      <c r="G133" s="3032" t="s">
        <v>3055</v>
      </c>
      <c r="I133" s="3027">
        <v>13</v>
      </c>
      <c r="J133" s="3027">
        <v>3</v>
      </c>
      <c r="K133" s="3027">
        <v>2</v>
      </c>
      <c r="L133" s="3027" t="s">
        <v>3407</v>
      </c>
      <c r="M133" s="3027">
        <v>68.990000000000009</v>
      </c>
      <c r="N133" s="3028" t="s">
        <v>3248</v>
      </c>
    </row>
    <row r="134" spans="1:14" ht="14.25" thickBot="1">
      <c r="A134" s="3016">
        <v>133</v>
      </c>
      <c r="B134" s="3008" t="s">
        <v>3239</v>
      </c>
      <c r="C134" s="3020" t="s">
        <v>3153</v>
      </c>
      <c r="D134" s="3008" t="s">
        <v>3213</v>
      </c>
      <c r="E134" s="3020">
        <v>308</v>
      </c>
      <c r="F134" s="3008">
        <v>69.92</v>
      </c>
      <c r="G134" s="3017" t="s">
        <v>3055</v>
      </c>
    </row>
    <row r="135" spans="1:14" ht="14.25" thickBot="1">
      <c r="A135" s="3016">
        <v>134</v>
      </c>
      <c r="B135" s="3008" t="s">
        <v>3239</v>
      </c>
      <c r="C135" s="3020" t="s">
        <v>3153</v>
      </c>
      <c r="D135" s="3008" t="s">
        <v>3213</v>
      </c>
      <c r="E135" s="3020">
        <v>309</v>
      </c>
      <c r="F135" s="3008">
        <v>73.7</v>
      </c>
      <c r="G135" s="3017" t="s">
        <v>3055</v>
      </c>
    </row>
    <row r="136" spans="1:14" ht="14.25" thickBot="1">
      <c r="A136" s="3016">
        <v>135</v>
      </c>
      <c r="B136" s="3008" t="s">
        <v>3239</v>
      </c>
      <c r="C136" s="3020" t="s">
        <v>3153</v>
      </c>
      <c r="D136" s="3008" t="s">
        <v>3213</v>
      </c>
      <c r="E136" s="3020">
        <v>310</v>
      </c>
      <c r="F136" s="3008">
        <v>73.740000000000009</v>
      </c>
      <c r="G136" s="3017" t="s">
        <v>3055</v>
      </c>
    </row>
    <row r="137" spans="1:14" ht="14.25" thickBot="1">
      <c r="A137" s="3016">
        <v>136</v>
      </c>
      <c r="B137" s="3008" t="s">
        <v>3239</v>
      </c>
      <c r="C137" s="3020" t="s">
        <v>3153</v>
      </c>
      <c r="D137" s="3008" t="s">
        <v>3213</v>
      </c>
      <c r="E137" s="3020">
        <v>311</v>
      </c>
      <c r="F137" s="3008">
        <v>73.740000000000009</v>
      </c>
      <c r="G137" s="3017" t="s">
        <v>3055</v>
      </c>
    </row>
    <row r="138" spans="1:14" ht="14.25" thickBot="1">
      <c r="A138" s="3016">
        <v>137</v>
      </c>
      <c r="B138" s="3008" t="s">
        <v>3239</v>
      </c>
      <c r="C138" s="3020" t="s">
        <v>3153</v>
      </c>
      <c r="D138" s="3008" t="s">
        <v>3213</v>
      </c>
      <c r="E138" s="3020">
        <v>312</v>
      </c>
      <c r="F138" s="3008">
        <v>73.7</v>
      </c>
      <c r="G138" s="3017" t="s">
        <v>3055</v>
      </c>
    </row>
    <row r="139" spans="1:14" ht="14.25" thickBot="1">
      <c r="A139" s="3016">
        <v>138</v>
      </c>
      <c r="B139" s="3008" t="s">
        <v>3239</v>
      </c>
      <c r="C139" s="3020" t="s">
        <v>3153</v>
      </c>
      <c r="D139" s="3008" t="s">
        <v>3213</v>
      </c>
      <c r="E139" s="3020">
        <v>313</v>
      </c>
      <c r="F139" s="3008">
        <v>70.14</v>
      </c>
      <c r="G139" s="3017" t="s">
        <v>3055</v>
      </c>
    </row>
    <row r="140" spans="1:14" ht="14.25" thickBot="1">
      <c r="A140" s="3016">
        <v>139</v>
      </c>
      <c r="B140" s="3008" t="s">
        <v>3239</v>
      </c>
      <c r="C140" s="3020" t="s">
        <v>3156</v>
      </c>
      <c r="D140" s="3008" t="s">
        <v>3215</v>
      </c>
      <c r="E140" s="3020" t="s">
        <v>3145</v>
      </c>
      <c r="F140" s="3008">
        <v>99.02</v>
      </c>
      <c r="G140" s="3017" t="s">
        <v>3055</v>
      </c>
    </row>
    <row r="141" spans="1:14" ht="14.25" thickBot="1">
      <c r="A141" s="3016">
        <v>140</v>
      </c>
      <c r="B141" s="3008" t="s">
        <v>3239</v>
      </c>
      <c r="C141" s="3020" t="s">
        <v>3156</v>
      </c>
      <c r="D141" s="3008" t="s">
        <v>3215</v>
      </c>
      <c r="E141" s="3020" t="s">
        <v>3146</v>
      </c>
      <c r="F141" s="3008">
        <v>72.72</v>
      </c>
      <c r="G141" s="3017" t="s">
        <v>3055</v>
      </c>
    </row>
    <row r="142" spans="1:14" ht="14.25" thickBot="1">
      <c r="A142" s="3016">
        <v>141</v>
      </c>
      <c r="B142" s="3008" t="s">
        <v>3239</v>
      </c>
      <c r="C142" s="3020" t="s">
        <v>3156</v>
      </c>
      <c r="D142" s="3008" t="s">
        <v>3215</v>
      </c>
      <c r="E142" s="3020" t="s">
        <v>3147</v>
      </c>
      <c r="F142" s="3008">
        <v>72.760000000000005</v>
      </c>
      <c r="G142" s="3017" t="s">
        <v>3055</v>
      </c>
    </row>
    <row r="143" spans="1:14" ht="14.25" thickBot="1">
      <c r="A143" s="3016">
        <v>142</v>
      </c>
      <c r="B143" s="3008" t="s">
        <v>3239</v>
      </c>
      <c r="C143" s="3020" t="s">
        <v>3156</v>
      </c>
      <c r="D143" s="3008" t="s">
        <v>3215</v>
      </c>
      <c r="E143" s="3020" t="s">
        <v>3148</v>
      </c>
      <c r="F143" s="3008">
        <v>72.760000000000005</v>
      </c>
      <c r="G143" s="3017" t="s">
        <v>3055</v>
      </c>
    </row>
    <row r="144" spans="1:14" ht="14.25" thickBot="1">
      <c r="A144" s="3016">
        <v>143</v>
      </c>
      <c r="B144" s="3008" t="s">
        <v>3239</v>
      </c>
      <c r="C144" s="3020" t="s">
        <v>3156</v>
      </c>
      <c r="D144" s="3008" t="s">
        <v>3215</v>
      </c>
      <c r="E144" s="3020" t="s">
        <v>3149</v>
      </c>
      <c r="F144" s="3008">
        <v>72.72</v>
      </c>
      <c r="G144" s="3017" t="s">
        <v>3055</v>
      </c>
    </row>
    <row r="145" spans="1:7" ht="14.25" thickBot="1">
      <c r="A145" s="3016">
        <v>144</v>
      </c>
      <c r="B145" s="3008" t="s">
        <v>3239</v>
      </c>
      <c r="C145" s="3020" t="s">
        <v>3156</v>
      </c>
      <c r="D145" s="3008" t="s">
        <v>3215</v>
      </c>
      <c r="E145" s="3020" t="s">
        <v>3150</v>
      </c>
      <c r="F145" s="3008">
        <v>68.990000000000009</v>
      </c>
      <c r="G145" s="3017" t="s">
        <v>3055</v>
      </c>
    </row>
    <row r="146" spans="1:7" ht="14.25" thickBot="1">
      <c r="A146" s="3016">
        <v>145</v>
      </c>
      <c r="B146" s="3008" t="s">
        <v>3239</v>
      </c>
      <c r="C146" s="3020" t="s">
        <v>3156</v>
      </c>
      <c r="D146" s="3008" t="s">
        <v>3213</v>
      </c>
      <c r="E146" s="3020" t="s">
        <v>3151</v>
      </c>
      <c r="F146" s="3008">
        <v>69.92</v>
      </c>
      <c r="G146" s="3017" t="s">
        <v>3055</v>
      </c>
    </row>
    <row r="147" spans="1:7" ht="14.25" thickBot="1">
      <c r="A147" s="3016">
        <v>146</v>
      </c>
      <c r="B147" s="3008" t="s">
        <v>3239</v>
      </c>
      <c r="C147" s="3020" t="s">
        <v>3156</v>
      </c>
      <c r="D147" s="3008" t="s">
        <v>3213</v>
      </c>
      <c r="E147" s="3020" t="s">
        <v>3163</v>
      </c>
      <c r="F147" s="3008">
        <v>73.7</v>
      </c>
      <c r="G147" s="3017" t="s">
        <v>3055</v>
      </c>
    </row>
    <row r="148" spans="1:7" ht="14.25" thickBot="1">
      <c r="A148" s="3016">
        <v>147</v>
      </c>
      <c r="B148" s="3008" t="s">
        <v>3239</v>
      </c>
      <c r="C148" s="3020" t="s">
        <v>3156</v>
      </c>
      <c r="D148" s="3008" t="s">
        <v>3213</v>
      </c>
      <c r="E148" s="3020" t="s">
        <v>3166</v>
      </c>
      <c r="F148" s="3008">
        <v>73.740000000000009</v>
      </c>
      <c r="G148" s="3017" t="s">
        <v>3055</v>
      </c>
    </row>
    <row r="149" spans="1:7" ht="14.25" thickBot="1">
      <c r="A149" s="3016">
        <v>148</v>
      </c>
      <c r="B149" s="3008" t="s">
        <v>3239</v>
      </c>
      <c r="C149" s="3020" t="s">
        <v>3156</v>
      </c>
      <c r="D149" s="3008" t="s">
        <v>3213</v>
      </c>
      <c r="E149" s="3020" t="s">
        <v>3167</v>
      </c>
      <c r="F149" s="3008">
        <v>73.740000000000009</v>
      </c>
      <c r="G149" s="3017" t="s">
        <v>3055</v>
      </c>
    </row>
    <row r="150" spans="1:7" ht="14.25" thickBot="1">
      <c r="A150" s="3016">
        <v>149</v>
      </c>
      <c r="B150" s="3008" t="s">
        <v>3239</v>
      </c>
      <c r="C150" s="3020" t="s">
        <v>3156</v>
      </c>
      <c r="D150" s="3008" t="s">
        <v>3213</v>
      </c>
      <c r="E150" s="3020" t="s">
        <v>3168</v>
      </c>
      <c r="F150" s="3008">
        <v>73.7</v>
      </c>
      <c r="G150" s="3017" t="s">
        <v>3055</v>
      </c>
    </row>
    <row r="151" spans="1:7" ht="14.25" thickBot="1">
      <c r="A151" s="3016">
        <v>150</v>
      </c>
      <c r="B151" s="3008" t="s">
        <v>3239</v>
      </c>
      <c r="C151" s="3020" t="s">
        <v>3156</v>
      </c>
      <c r="D151" s="3008" t="s">
        <v>3213</v>
      </c>
      <c r="E151" s="3020" t="s">
        <v>3169</v>
      </c>
      <c r="F151" s="3008">
        <v>70.14</v>
      </c>
      <c r="G151" s="3017" t="s">
        <v>3055</v>
      </c>
    </row>
    <row r="152" spans="1:7" ht="14.25" thickBot="1">
      <c r="A152" s="3016">
        <v>151</v>
      </c>
      <c r="B152" s="3008" t="s">
        <v>3239</v>
      </c>
      <c r="C152" s="3020" t="s">
        <v>3157</v>
      </c>
      <c r="D152" s="3008" t="s">
        <v>3215</v>
      </c>
      <c r="E152" s="3020">
        <v>501</v>
      </c>
      <c r="F152" s="3008">
        <v>99.02</v>
      </c>
      <c r="G152" s="3017" t="s">
        <v>3055</v>
      </c>
    </row>
    <row r="153" spans="1:7" ht="14.25" thickBot="1">
      <c r="A153" s="3016">
        <v>152</v>
      </c>
      <c r="B153" s="3008" t="s">
        <v>3239</v>
      </c>
      <c r="C153" s="3020" t="s">
        <v>3157</v>
      </c>
      <c r="D153" s="3008" t="s">
        <v>3215</v>
      </c>
      <c r="E153" s="3020">
        <v>502</v>
      </c>
      <c r="F153" s="3008">
        <v>72.72</v>
      </c>
      <c r="G153" s="3017" t="s">
        <v>3055</v>
      </c>
    </row>
    <row r="154" spans="1:7" ht="14.25" thickBot="1">
      <c r="A154" s="3016">
        <v>153</v>
      </c>
      <c r="B154" s="3008" t="s">
        <v>3239</v>
      </c>
      <c r="C154" s="3020" t="s">
        <v>3157</v>
      </c>
      <c r="D154" s="3008" t="s">
        <v>3215</v>
      </c>
      <c r="E154" s="3020">
        <v>503</v>
      </c>
      <c r="F154" s="3008">
        <v>72.760000000000005</v>
      </c>
      <c r="G154" s="3017" t="s">
        <v>3055</v>
      </c>
    </row>
    <row r="155" spans="1:7" ht="14.25" thickBot="1">
      <c r="A155" s="3016">
        <v>154</v>
      </c>
      <c r="B155" s="3008" t="s">
        <v>3239</v>
      </c>
      <c r="C155" s="3020" t="s">
        <v>3157</v>
      </c>
      <c r="D155" s="3008" t="s">
        <v>3215</v>
      </c>
      <c r="E155" s="3020">
        <v>505</v>
      </c>
      <c r="F155" s="3008">
        <v>72.760000000000005</v>
      </c>
      <c r="G155" s="3017" t="s">
        <v>3055</v>
      </c>
    </row>
    <row r="156" spans="1:7" ht="14.25" thickBot="1">
      <c r="A156" s="3016">
        <v>155</v>
      </c>
      <c r="B156" s="3008" t="s">
        <v>3239</v>
      </c>
      <c r="C156" s="3020" t="s">
        <v>3157</v>
      </c>
      <c r="D156" s="3008" t="s">
        <v>3215</v>
      </c>
      <c r="E156" s="3020">
        <v>506</v>
      </c>
      <c r="F156" s="3008">
        <v>72.72</v>
      </c>
      <c r="G156" s="3017" t="s">
        <v>3055</v>
      </c>
    </row>
    <row r="157" spans="1:7" ht="14.25" thickBot="1">
      <c r="A157" s="3016">
        <v>156</v>
      </c>
      <c r="B157" s="3008" t="s">
        <v>3239</v>
      </c>
      <c r="C157" s="3020" t="s">
        <v>3157</v>
      </c>
      <c r="D157" s="3008" t="s">
        <v>3215</v>
      </c>
      <c r="E157" s="3020">
        <v>507</v>
      </c>
      <c r="F157" s="3008">
        <v>68.990000000000009</v>
      </c>
      <c r="G157" s="3017" t="s">
        <v>3055</v>
      </c>
    </row>
    <row r="158" spans="1:7" ht="14.25" thickBot="1">
      <c r="A158" s="3016">
        <v>157</v>
      </c>
      <c r="B158" s="3008" t="s">
        <v>3239</v>
      </c>
      <c r="C158" s="3020" t="s">
        <v>3157</v>
      </c>
      <c r="D158" s="3008" t="s">
        <v>3213</v>
      </c>
      <c r="E158" s="3020">
        <v>508</v>
      </c>
      <c r="F158" s="3008">
        <v>69.92</v>
      </c>
      <c r="G158" s="3017" t="s">
        <v>3055</v>
      </c>
    </row>
    <row r="159" spans="1:7" ht="14.25" thickBot="1">
      <c r="A159" s="3016">
        <v>158</v>
      </c>
      <c r="B159" s="3008" t="s">
        <v>3239</v>
      </c>
      <c r="C159" s="3020" t="s">
        <v>3157</v>
      </c>
      <c r="D159" s="3008" t="s">
        <v>3213</v>
      </c>
      <c r="E159" s="3020">
        <v>509</v>
      </c>
      <c r="F159" s="3008">
        <v>73.7</v>
      </c>
      <c r="G159" s="3017" t="s">
        <v>3055</v>
      </c>
    </row>
    <row r="160" spans="1:7" ht="14.25" thickBot="1">
      <c r="A160" s="3016">
        <v>159</v>
      </c>
      <c r="B160" s="3008" t="s">
        <v>3239</v>
      </c>
      <c r="C160" s="3020" t="s">
        <v>3157</v>
      </c>
      <c r="D160" s="3008" t="s">
        <v>3213</v>
      </c>
      <c r="E160" s="3020">
        <v>510</v>
      </c>
      <c r="F160" s="3008">
        <v>73.740000000000009</v>
      </c>
      <c r="G160" s="3017" t="s">
        <v>3055</v>
      </c>
    </row>
    <row r="161" spans="1:7" ht="14.25" thickBot="1">
      <c r="A161" s="3016">
        <v>160</v>
      </c>
      <c r="B161" s="3008" t="s">
        <v>3239</v>
      </c>
      <c r="C161" s="3020" t="s">
        <v>3157</v>
      </c>
      <c r="D161" s="3008" t="s">
        <v>3213</v>
      </c>
      <c r="E161" s="3020">
        <v>511</v>
      </c>
      <c r="F161" s="3008">
        <v>73.740000000000009</v>
      </c>
      <c r="G161" s="3017" t="s">
        <v>3055</v>
      </c>
    </row>
    <row r="162" spans="1:7" ht="14.25" thickBot="1">
      <c r="A162" s="3016">
        <v>161</v>
      </c>
      <c r="B162" s="3008" t="s">
        <v>3239</v>
      </c>
      <c r="C162" s="3020" t="s">
        <v>3157</v>
      </c>
      <c r="D162" s="3008" t="s">
        <v>3213</v>
      </c>
      <c r="E162" s="3020">
        <v>512</v>
      </c>
      <c r="F162" s="3008">
        <v>73.7</v>
      </c>
      <c r="G162" s="3017" t="s">
        <v>3055</v>
      </c>
    </row>
    <row r="163" spans="1:7" ht="14.25" thickBot="1">
      <c r="A163" s="3016">
        <v>162</v>
      </c>
      <c r="B163" s="3008" t="s">
        <v>3239</v>
      </c>
      <c r="C163" s="3020" t="s">
        <v>3157</v>
      </c>
      <c r="D163" s="3008" t="s">
        <v>3213</v>
      </c>
      <c r="E163" s="3020">
        <v>513</v>
      </c>
      <c r="F163" s="3008">
        <v>70.14</v>
      </c>
      <c r="G163" s="3017" t="s">
        <v>3055</v>
      </c>
    </row>
    <row r="164" spans="1:7" ht="14.25" thickBot="1">
      <c r="A164" s="3016">
        <v>163</v>
      </c>
      <c r="B164" s="3008" t="s">
        <v>3239</v>
      </c>
      <c r="C164" s="3020" t="s">
        <v>3158</v>
      </c>
      <c r="D164" s="3008" t="s">
        <v>3215</v>
      </c>
      <c r="E164" s="3020">
        <v>601</v>
      </c>
      <c r="F164" s="3008">
        <v>99.02</v>
      </c>
      <c r="G164" s="3017" t="s">
        <v>3055</v>
      </c>
    </row>
    <row r="165" spans="1:7" ht="14.25" thickBot="1">
      <c r="A165" s="3016">
        <v>164</v>
      </c>
      <c r="B165" s="3008" t="s">
        <v>3239</v>
      </c>
      <c r="C165" s="3020" t="s">
        <v>3158</v>
      </c>
      <c r="D165" s="3008" t="s">
        <v>3215</v>
      </c>
      <c r="E165" s="3020">
        <v>602</v>
      </c>
      <c r="F165" s="3008">
        <v>72.72</v>
      </c>
      <c r="G165" s="3017" t="s">
        <v>3055</v>
      </c>
    </row>
    <row r="166" spans="1:7" ht="14.25" thickBot="1">
      <c r="A166" s="3016">
        <v>165</v>
      </c>
      <c r="B166" s="3008" t="s">
        <v>3239</v>
      </c>
      <c r="C166" s="3020" t="s">
        <v>3158</v>
      </c>
      <c r="D166" s="3008" t="s">
        <v>3215</v>
      </c>
      <c r="E166" s="3020">
        <v>603</v>
      </c>
      <c r="F166" s="3008">
        <v>72.760000000000005</v>
      </c>
      <c r="G166" s="3017" t="s">
        <v>3055</v>
      </c>
    </row>
    <row r="167" spans="1:7" ht="14.25" thickBot="1">
      <c r="A167" s="3016">
        <v>166</v>
      </c>
      <c r="B167" s="3008" t="s">
        <v>3239</v>
      </c>
      <c r="C167" s="3020" t="s">
        <v>3158</v>
      </c>
      <c r="D167" s="3008" t="s">
        <v>3215</v>
      </c>
      <c r="E167" s="3020">
        <v>605</v>
      </c>
      <c r="F167" s="3008">
        <v>72.760000000000005</v>
      </c>
      <c r="G167" s="3017" t="s">
        <v>3055</v>
      </c>
    </row>
    <row r="168" spans="1:7" ht="14.25" thickBot="1">
      <c r="A168" s="3016">
        <v>167</v>
      </c>
      <c r="B168" s="3008" t="s">
        <v>3239</v>
      </c>
      <c r="C168" s="3020" t="s">
        <v>3158</v>
      </c>
      <c r="D168" s="3008" t="s">
        <v>3215</v>
      </c>
      <c r="E168" s="3020">
        <v>606</v>
      </c>
      <c r="F168" s="3008">
        <v>72.72</v>
      </c>
      <c r="G168" s="3017" t="s">
        <v>3055</v>
      </c>
    </row>
    <row r="169" spans="1:7" ht="14.25" thickBot="1">
      <c r="A169" s="3016">
        <v>168</v>
      </c>
      <c r="B169" s="3008" t="s">
        <v>3239</v>
      </c>
      <c r="C169" s="3020" t="s">
        <v>3158</v>
      </c>
      <c r="D169" s="3008" t="s">
        <v>3215</v>
      </c>
      <c r="E169" s="3020">
        <v>607</v>
      </c>
      <c r="F169" s="3008">
        <v>68.990000000000009</v>
      </c>
      <c r="G169" s="3017" t="s">
        <v>3055</v>
      </c>
    </row>
    <row r="170" spans="1:7" ht="14.25" thickBot="1">
      <c r="A170" s="3016">
        <v>169</v>
      </c>
      <c r="B170" s="3008" t="s">
        <v>3239</v>
      </c>
      <c r="C170" s="3020" t="s">
        <v>3158</v>
      </c>
      <c r="D170" s="3008" t="s">
        <v>3213</v>
      </c>
      <c r="E170" s="3020">
        <v>608</v>
      </c>
      <c r="F170" s="3008">
        <v>69.92</v>
      </c>
      <c r="G170" s="3017" t="s">
        <v>3055</v>
      </c>
    </row>
    <row r="171" spans="1:7" ht="14.25" thickBot="1">
      <c r="A171" s="3016">
        <v>170</v>
      </c>
      <c r="B171" s="3008" t="s">
        <v>3239</v>
      </c>
      <c r="C171" s="3020" t="s">
        <v>3158</v>
      </c>
      <c r="D171" s="3008" t="s">
        <v>3213</v>
      </c>
      <c r="E171" s="3020">
        <v>609</v>
      </c>
      <c r="F171" s="3008">
        <v>73.7</v>
      </c>
      <c r="G171" s="3017" t="s">
        <v>3055</v>
      </c>
    </row>
    <row r="172" spans="1:7" ht="14.25" thickBot="1">
      <c r="A172" s="3016">
        <v>171</v>
      </c>
      <c r="B172" s="3008" t="s">
        <v>3239</v>
      </c>
      <c r="C172" s="3020" t="s">
        <v>3158</v>
      </c>
      <c r="D172" s="3008" t="s">
        <v>3213</v>
      </c>
      <c r="E172" s="3020">
        <v>610</v>
      </c>
      <c r="F172" s="3008">
        <v>73.740000000000009</v>
      </c>
      <c r="G172" s="3017" t="s">
        <v>3055</v>
      </c>
    </row>
    <row r="173" spans="1:7" ht="14.25" thickBot="1">
      <c r="A173" s="3016">
        <v>172</v>
      </c>
      <c r="B173" s="3008" t="s">
        <v>3239</v>
      </c>
      <c r="C173" s="3020" t="s">
        <v>3158</v>
      </c>
      <c r="D173" s="3008" t="s">
        <v>3213</v>
      </c>
      <c r="E173" s="3020">
        <v>611</v>
      </c>
      <c r="F173" s="3008">
        <v>73.740000000000009</v>
      </c>
      <c r="G173" s="3017" t="s">
        <v>3055</v>
      </c>
    </row>
    <row r="174" spans="1:7" ht="14.25" thickBot="1">
      <c r="A174" s="3016">
        <v>173</v>
      </c>
      <c r="B174" s="3008" t="s">
        <v>3239</v>
      </c>
      <c r="C174" s="3020" t="s">
        <v>3158</v>
      </c>
      <c r="D174" s="3008" t="s">
        <v>3213</v>
      </c>
      <c r="E174" s="3020">
        <v>612</v>
      </c>
      <c r="F174" s="3008">
        <v>73.7</v>
      </c>
      <c r="G174" s="3017" t="s">
        <v>3055</v>
      </c>
    </row>
    <row r="175" spans="1:7" ht="14.25" thickBot="1">
      <c r="A175" s="3016">
        <v>174</v>
      </c>
      <c r="B175" s="3008" t="s">
        <v>3239</v>
      </c>
      <c r="C175" s="3020" t="s">
        <v>3158</v>
      </c>
      <c r="D175" s="3008" t="s">
        <v>3213</v>
      </c>
      <c r="E175" s="3020">
        <v>613</v>
      </c>
      <c r="F175" s="3008">
        <v>70.14</v>
      </c>
      <c r="G175" s="3017" t="s">
        <v>3055</v>
      </c>
    </row>
    <row r="176" spans="1:7" ht="14.25" thickBot="1">
      <c r="A176" s="3016">
        <v>175</v>
      </c>
      <c r="B176" s="3008" t="s">
        <v>3240</v>
      </c>
      <c r="C176" s="3020" t="s">
        <v>3153</v>
      </c>
      <c r="D176" s="3008" t="s">
        <v>3215</v>
      </c>
      <c r="E176" s="3020">
        <v>301</v>
      </c>
      <c r="F176" s="3008">
        <v>101.78</v>
      </c>
      <c r="G176" s="3017" t="s">
        <v>3055</v>
      </c>
    </row>
    <row r="177" spans="1:7" ht="14.25" thickBot="1">
      <c r="A177" s="3016">
        <v>176</v>
      </c>
      <c r="B177" s="3008" t="s">
        <v>3240</v>
      </c>
      <c r="C177" s="3020" t="s">
        <v>3153</v>
      </c>
      <c r="D177" s="3008" t="s">
        <v>3215</v>
      </c>
      <c r="E177" s="3020">
        <v>302</v>
      </c>
      <c r="F177" s="3008">
        <v>90.71</v>
      </c>
      <c r="G177" s="3017" t="s">
        <v>3055</v>
      </c>
    </row>
    <row r="178" spans="1:7" ht="14.25" thickBot="1">
      <c r="A178" s="3016">
        <v>177</v>
      </c>
      <c r="B178" s="3008" t="s">
        <v>3240</v>
      </c>
      <c r="C178" s="3020" t="s">
        <v>3153</v>
      </c>
      <c r="D178" s="3008" t="s">
        <v>3215</v>
      </c>
      <c r="E178" s="3020">
        <v>303</v>
      </c>
      <c r="F178" s="3008">
        <v>90.71</v>
      </c>
      <c r="G178" s="3017" t="s">
        <v>3055</v>
      </c>
    </row>
    <row r="179" spans="1:7" ht="14.25" thickBot="1">
      <c r="A179" s="3016">
        <v>178</v>
      </c>
      <c r="B179" s="3008" t="s">
        <v>3240</v>
      </c>
      <c r="C179" s="3020" t="s">
        <v>3153</v>
      </c>
      <c r="D179" s="3008" t="s">
        <v>3215</v>
      </c>
      <c r="E179" s="3020">
        <v>305</v>
      </c>
      <c r="F179" s="3008">
        <v>69.78</v>
      </c>
      <c r="G179" s="3017" t="s">
        <v>3055</v>
      </c>
    </row>
    <row r="180" spans="1:7" ht="14.25" thickBot="1">
      <c r="A180" s="3016">
        <v>179</v>
      </c>
      <c r="B180" s="3008" t="s">
        <v>3240</v>
      </c>
      <c r="C180" s="3020" t="s">
        <v>3153</v>
      </c>
      <c r="D180" s="3008" t="s">
        <v>3213</v>
      </c>
      <c r="E180" s="3020">
        <v>306</v>
      </c>
      <c r="F180" s="3008">
        <v>69.78</v>
      </c>
      <c r="G180" s="3017" t="s">
        <v>3055</v>
      </c>
    </row>
    <row r="181" spans="1:7" ht="14.25" thickBot="1">
      <c r="A181" s="3016">
        <v>180</v>
      </c>
      <c r="B181" s="3008" t="s">
        <v>3240</v>
      </c>
      <c r="C181" s="3020" t="s">
        <v>3153</v>
      </c>
      <c r="D181" s="3008" t="s">
        <v>3213</v>
      </c>
      <c r="E181" s="3020">
        <v>307</v>
      </c>
      <c r="F181" s="3008">
        <v>90.71</v>
      </c>
      <c r="G181" s="3017" t="s">
        <v>3055</v>
      </c>
    </row>
    <row r="182" spans="1:7" ht="14.25" thickBot="1">
      <c r="A182" s="3016">
        <v>181</v>
      </c>
      <c r="B182" s="3008" t="s">
        <v>3240</v>
      </c>
      <c r="C182" s="3020" t="s">
        <v>3153</v>
      </c>
      <c r="D182" s="3008" t="s">
        <v>3213</v>
      </c>
      <c r="E182" s="3020">
        <v>308</v>
      </c>
      <c r="F182" s="3008">
        <v>90.71</v>
      </c>
      <c r="G182" s="3017" t="s">
        <v>3055</v>
      </c>
    </row>
    <row r="183" spans="1:7" ht="14.25" thickBot="1">
      <c r="A183" s="3016">
        <v>182</v>
      </c>
      <c r="B183" s="3008" t="s">
        <v>3240</v>
      </c>
      <c r="C183" s="3020" t="s">
        <v>3153</v>
      </c>
      <c r="D183" s="3008" t="s">
        <v>3213</v>
      </c>
      <c r="E183" s="3020">
        <v>309</v>
      </c>
      <c r="F183" s="3008">
        <v>101.78</v>
      </c>
      <c r="G183" s="3017" t="s">
        <v>3055</v>
      </c>
    </row>
    <row r="184" spans="1:7" ht="14.25" thickBot="1">
      <c r="A184" s="3016">
        <v>183</v>
      </c>
      <c r="B184" s="3008" t="s">
        <v>3240</v>
      </c>
      <c r="C184" s="3020" t="s">
        <v>3156</v>
      </c>
      <c r="D184" s="3008" t="s">
        <v>3215</v>
      </c>
      <c r="E184" s="3020" t="s">
        <v>3145</v>
      </c>
      <c r="F184" s="3008">
        <v>101.78</v>
      </c>
      <c r="G184" s="3017" t="s">
        <v>3055</v>
      </c>
    </row>
    <row r="185" spans="1:7" ht="14.25" thickBot="1">
      <c r="A185" s="3016">
        <v>184</v>
      </c>
      <c r="B185" s="3008" t="s">
        <v>3240</v>
      </c>
      <c r="C185" s="3020" t="s">
        <v>3156</v>
      </c>
      <c r="D185" s="3008" t="s">
        <v>3215</v>
      </c>
      <c r="E185" s="3020" t="s">
        <v>3146</v>
      </c>
      <c r="F185" s="3008">
        <v>90.71</v>
      </c>
      <c r="G185" s="3017" t="s">
        <v>3055</v>
      </c>
    </row>
    <row r="186" spans="1:7" ht="14.25" thickBot="1">
      <c r="A186" s="3016">
        <v>185</v>
      </c>
      <c r="B186" s="3008" t="s">
        <v>3240</v>
      </c>
      <c r="C186" s="3020" t="s">
        <v>3156</v>
      </c>
      <c r="D186" s="3008" t="s">
        <v>3215</v>
      </c>
      <c r="E186" s="3020" t="s">
        <v>3147</v>
      </c>
      <c r="F186" s="3008">
        <v>90.71</v>
      </c>
      <c r="G186" s="3017" t="s">
        <v>3055</v>
      </c>
    </row>
    <row r="187" spans="1:7" ht="14.25" thickBot="1">
      <c r="A187" s="3016">
        <v>186</v>
      </c>
      <c r="B187" s="3008" t="s">
        <v>3240</v>
      </c>
      <c r="C187" s="3020" t="s">
        <v>3156</v>
      </c>
      <c r="D187" s="3008" t="s">
        <v>3215</v>
      </c>
      <c r="E187" s="3020" t="s">
        <v>3148</v>
      </c>
      <c r="F187" s="3008">
        <v>69.78</v>
      </c>
      <c r="G187" s="3017" t="s">
        <v>3055</v>
      </c>
    </row>
    <row r="188" spans="1:7" ht="14.25" thickBot="1">
      <c r="A188" s="3016">
        <v>187</v>
      </c>
      <c r="B188" s="3008" t="s">
        <v>3240</v>
      </c>
      <c r="C188" s="3020" t="s">
        <v>3156</v>
      </c>
      <c r="D188" s="3008" t="s">
        <v>3213</v>
      </c>
      <c r="E188" s="3020" t="s">
        <v>3149</v>
      </c>
      <c r="F188" s="3008">
        <v>69.78</v>
      </c>
      <c r="G188" s="3017" t="s">
        <v>3055</v>
      </c>
    </row>
    <row r="189" spans="1:7" ht="14.25" thickBot="1">
      <c r="A189" s="3016">
        <v>188</v>
      </c>
      <c r="B189" s="3008" t="s">
        <v>3240</v>
      </c>
      <c r="C189" s="3020" t="s">
        <v>3156</v>
      </c>
      <c r="D189" s="3008" t="s">
        <v>3213</v>
      </c>
      <c r="E189" s="3020" t="s">
        <v>3150</v>
      </c>
      <c r="F189" s="3008">
        <v>90.71</v>
      </c>
      <c r="G189" s="3017" t="s">
        <v>3055</v>
      </c>
    </row>
    <row r="190" spans="1:7" ht="14.25" thickBot="1">
      <c r="A190" s="3016">
        <v>189</v>
      </c>
      <c r="B190" s="3008" t="s">
        <v>3240</v>
      </c>
      <c r="C190" s="3020" t="s">
        <v>3156</v>
      </c>
      <c r="D190" s="3008" t="s">
        <v>3213</v>
      </c>
      <c r="E190" s="3020" t="s">
        <v>3151</v>
      </c>
      <c r="F190" s="3008">
        <v>90.71</v>
      </c>
      <c r="G190" s="3017" t="s">
        <v>3055</v>
      </c>
    </row>
    <row r="191" spans="1:7" ht="14.25" thickBot="1">
      <c r="A191" s="3016">
        <v>190</v>
      </c>
      <c r="B191" s="3008" t="s">
        <v>3240</v>
      </c>
      <c r="C191" s="3020" t="s">
        <v>3156</v>
      </c>
      <c r="D191" s="3008" t="s">
        <v>3213</v>
      </c>
      <c r="E191" s="3020" t="s">
        <v>3163</v>
      </c>
      <c r="F191" s="3008">
        <v>101.78</v>
      </c>
      <c r="G191" s="3017" t="s">
        <v>3055</v>
      </c>
    </row>
    <row r="192" spans="1:7" ht="14.25" thickBot="1">
      <c r="A192" s="3016">
        <v>191</v>
      </c>
      <c r="B192" s="3008" t="s">
        <v>3240</v>
      </c>
      <c r="C192" s="3020" t="s">
        <v>3157</v>
      </c>
      <c r="D192" s="3008" t="s">
        <v>3215</v>
      </c>
      <c r="E192" s="3020">
        <v>501</v>
      </c>
      <c r="F192" s="3008">
        <v>101.78</v>
      </c>
      <c r="G192" s="3017" t="s">
        <v>3055</v>
      </c>
    </row>
    <row r="193" spans="1:7" ht="14.25" thickBot="1">
      <c r="A193" s="3016">
        <v>192</v>
      </c>
      <c r="B193" s="3008" t="s">
        <v>3240</v>
      </c>
      <c r="C193" s="3020" t="s">
        <v>3157</v>
      </c>
      <c r="D193" s="3008" t="s">
        <v>3215</v>
      </c>
      <c r="E193" s="3020">
        <v>502</v>
      </c>
      <c r="F193" s="3008">
        <v>90.71</v>
      </c>
      <c r="G193" s="3017" t="s">
        <v>3055</v>
      </c>
    </row>
    <row r="194" spans="1:7" ht="14.25" thickBot="1">
      <c r="A194" s="3016">
        <v>193</v>
      </c>
      <c r="B194" s="3008" t="s">
        <v>3240</v>
      </c>
      <c r="C194" s="3020" t="s">
        <v>3157</v>
      </c>
      <c r="D194" s="3008" t="s">
        <v>3215</v>
      </c>
      <c r="E194" s="3020">
        <v>503</v>
      </c>
      <c r="F194" s="3008">
        <v>90.71</v>
      </c>
      <c r="G194" s="3017" t="s">
        <v>3055</v>
      </c>
    </row>
    <row r="195" spans="1:7" ht="14.25" thickBot="1">
      <c r="A195" s="3016">
        <v>194</v>
      </c>
      <c r="B195" s="3008" t="s">
        <v>3240</v>
      </c>
      <c r="C195" s="3020" t="s">
        <v>3157</v>
      </c>
      <c r="D195" s="3008" t="s">
        <v>3215</v>
      </c>
      <c r="E195" s="3020">
        <v>505</v>
      </c>
      <c r="F195" s="3008">
        <v>69.78</v>
      </c>
      <c r="G195" s="3017" t="s">
        <v>3055</v>
      </c>
    </row>
    <row r="196" spans="1:7" ht="14.25" thickBot="1">
      <c r="A196" s="3016">
        <v>195</v>
      </c>
      <c r="B196" s="3008" t="s">
        <v>3240</v>
      </c>
      <c r="C196" s="3020" t="s">
        <v>3157</v>
      </c>
      <c r="D196" s="3008" t="s">
        <v>3213</v>
      </c>
      <c r="E196" s="3020">
        <v>506</v>
      </c>
      <c r="F196" s="3008">
        <v>69.78</v>
      </c>
      <c r="G196" s="3017" t="s">
        <v>3055</v>
      </c>
    </row>
    <row r="197" spans="1:7" ht="14.25" thickBot="1">
      <c r="A197" s="3016">
        <v>196</v>
      </c>
      <c r="B197" s="3008" t="s">
        <v>3240</v>
      </c>
      <c r="C197" s="3020" t="s">
        <v>3157</v>
      </c>
      <c r="D197" s="3008" t="s">
        <v>3213</v>
      </c>
      <c r="E197" s="3020">
        <v>507</v>
      </c>
      <c r="F197" s="3008">
        <v>90.71</v>
      </c>
      <c r="G197" s="3017" t="s">
        <v>3055</v>
      </c>
    </row>
    <row r="198" spans="1:7" ht="14.25" thickBot="1">
      <c r="A198" s="3016">
        <v>197</v>
      </c>
      <c r="B198" s="3008" t="s">
        <v>3240</v>
      </c>
      <c r="C198" s="3020" t="s">
        <v>3157</v>
      </c>
      <c r="D198" s="3008" t="s">
        <v>3213</v>
      </c>
      <c r="E198" s="3020">
        <v>508</v>
      </c>
      <c r="F198" s="3008">
        <v>90.71</v>
      </c>
      <c r="G198" s="3017" t="s">
        <v>3055</v>
      </c>
    </row>
    <row r="199" spans="1:7" ht="14.25" thickBot="1">
      <c r="A199" s="3016">
        <v>198</v>
      </c>
      <c r="B199" s="3008" t="s">
        <v>3240</v>
      </c>
      <c r="C199" s="3020" t="s">
        <v>3157</v>
      </c>
      <c r="D199" s="3008" t="s">
        <v>3213</v>
      </c>
      <c r="E199" s="3020">
        <v>509</v>
      </c>
      <c r="F199" s="3008">
        <v>101.78</v>
      </c>
      <c r="G199" s="3017" t="s">
        <v>3055</v>
      </c>
    </row>
    <row r="200" spans="1:7" ht="14.25" thickBot="1">
      <c r="A200" s="3016">
        <v>199</v>
      </c>
      <c r="B200" s="3008" t="s">
        <v>3240</v>
      </c>
      <c r="C200" s="3020" t="s">
        <v>3158</v>
      </c>
      <c r="D200" s="3008" t="s">
        <v>3215</v>
      </c>
      <c r="E200" s="3020">
        <v>601</v>
      </c>
      <c r="F200" s="3008">
        <v>101.78</v>
      </c>
      <c r="G200" s="3017" t="s">
        <v>3055</v>
      </c>
    </row>
    <row r="201" spans="1:7" ht="14.25" thickBot="1">
      <c r="A201" s="3016">
        <v>200</v>
      </c>
      <c r="B201" s="3008" t="s">
        <v>3240</v>
      </c>
      <c r="C201" s="3020" t="s">
        <v>3158</v>
      </c>
      <c r="D201" s="3008" t="s">
        <v>3215</v>
      </c>
      <c r="E201" s="3020">
        <v>602</v>
      </c>
      <c r="F201" s="3008">
        <v>90.71</v>
      </c>
      <c r="G201" s="3017" t="s">
        <v>3055</v>
      </c>
    </row>
    <row r="202" spans="1:7" ht="14.25" thickBot="1">
      <c r="A202" s="3016">
        <v>201</v>
      </c>
      <c r="B202" s="3008" t="s">
        <v>3240</v>
      </c>
      <c r="C202" s="3020" t="s">
        <v>3158</v>
      </c>
      <c r="D202" s="3008" t="s">
        <v>3215</v>
      </c>
      <c r="E202" s="3020">
        <v>603</v>
      </c>
      <c r="F202" s="3008">
        <v>90.71</v>
      </c>
      <c r="G202" s="3017" t="s">
        <v>3055</v>
      </c>
    </row>
    <row r="203" spans="1:7" ht="14.25" thickBot="1">
      <c r="A203" s="3016">
        <v>202</v>
      </c>
      <c r="B203" s="3008" t="s">
        <v>3240</v>
      </c>
      <c r="C203" s="3020" t="s">
        <v>3158</v>
      </c>
      <c r="D203" s="3008" t="s">
        <v>3215</v>
      </c>
      <c r="E203" s="3020">
        <v>605</v>
      </c>
      <c r="F203" s="3008">
        <v>69.78</v>
      </c>
      <c r="G203" s="3017" t="s">
        <v>3055</v>
      </c>
    </row>
    <row r="204" spans="1:7" ht="14.25" thickBot="1">
      <c r="A204" s="3016">
        <v>203</v>
      </c>
      <c r="B204" s="3008" t="s">
        <v>3240</v>
      </c>
      <c r="C204" s="3020" t="s">
        <v>3158</v>
      </c>
      <c r="D204" s="3008" t="s">
        <v>3213</v>
      </c>
      <c r="E204" s="3020">
        <v>606</v>
      </c>
      <c r="F204" s="3008">
        <v>69.78</v>
      </c>
      <c r="G204" s="3017" t="s">
        <v>3055</v>
      </c>
    </row>
    <row r="205" spans="1:7" ht="14.25" thickBot="1">
      <c r="A205" s="3016">
        <v>204</v>
      </c>
      <c r="B205" s="3008" t="s">
        <v>3240</v>
      </c>
      <c r="C205" s="3020" t="s">
        <v>3158</v>
      </c>
      <c r="D205" s="3008" t="s">
        <v>3213</v>
      </c>
      <c r="E205" s="3020">
        <v>607</v>
      </c>
      <c r="F205" s="3008">
        <v>90.71</v>
      </c>
      <c r="G205" s="3017" t="s">
        <v>3055</v>
      </c>
    </row>
    <row r="206" spans="1:7" ht="14.25" thickBot="1">
      <c r="A206" s="3016">
        <v>205</v>
      </c>
      <c r="B206" s="3008" t="s">
        <v>3240</v>
      </c>
      <c r="C206" s="3020" t="s">
        <v>3158</v>
      </c>
      <c r="D206" s="3008" t="s">
        <v>3213</v>
      </c>
      <c r="E206" s="3020">
        <v>608</v>
      </c>
      <c r="F206" s="3008">
        <v>90.71</v>
      </c>
      <c r="G206" s="3017" t="s">
        <v>3055</v>
      </c>
    </row>
    <row r="207" spans="1:7" ht="14.25" thickBot="1">
      <c r="A207" s="3016">
        <v>206</v>
      </c>
      <c r="B207" s="3008" t="s">
        <v>3240</v>
      </c>
      <c r="C207" s="3020" t="s">
        <v>3158</v>
      </c>
      <c r="D207" s="3008" t="s">
        <v>3213</v>
      </c>
      <c r="E207" s="3020">
        <v>609</v>
      </c>
      <c r="F207" s="3008">
        <v>101.78</v>
      </c>
      <c r="G207" s="3017" t="s">
        <v>3055</v>
      </c>
    </row>
    <row r="208" spans="1:7" ht="14.25" thickBot="1">
      <c r="A208" s="3016">
        <v>207</v>
      </c>
      <c r="B208" s="3008" t="s">
        <v>3241</v>
      </c>
      <c r="C208" s="3020" t="s">
        <v>3152</v>
      </c>
      <c r="D208" s="3008" t="s">
        <v>70</v>
      </c>
      <c r="E208" s="3020">
        <v>101</v>
      </c>
      <c r="F208" s="3008">
        <v>94.58</v>
      </c>
      <c r="G208" s="3017" t="s">
        <v>3055</v>
      </c>
    </row>
    <row r="209" spans="1:7" ht="14.25" thickBot="1">
      <c r="A209" s="3016">
        <v>208</v>
      </c>
      <c r="B209" s="3008" t="s">
        <v>3241</v>
      </c>
      <c r="C209" s="3020" t="s">
        <v>3152</v>
      </c>
      <c r="D209" s="3008" t="s">
        <v>70</v>
      </c>
      <c r="E209" s="3020">
        <v>102</v>
      </c>
      <c r="F209" s="3008">
        <v>69.56</v>
      </c>
      <c r="G209" s="3017" t="s">
        <v>3055</v>
      </c>
    </row>
    <row r="210" spans="1:7" ht="14.25" thickBot="1">
      <c r="A210" s="3016">
        <v>209</v>
      </c>
      <c r="B210" s="3008" t="s">
        <v>3241</v>
      </c>
      <c r="C210" s="3020" t="s">
        <v>3152</v>
      </c>
      <c r="D210" s="3008" t="s">
        <v>70</v>
      </c>
      <c r="E210" s="3020">
        <v>103</v>
      </c>
      <c r="F210" s="3008">
        <v>69.5</v>
      </c>
      <c r="G210" s="3017" t="s">
        <v>3055</v>
      </c>
    </row>
    <row r="211" spans="1:7" ht="14.25" thickBot="1">
      <c r="A211" s="3016">
        <v>210</v>
      </c>
      <c r="B211" s="3008" t="s">
        <v>3241</v>
      </c>
      <c r="C211" s="3020" t="s">
        <v>3152</v>
      </c>
      <c r="D211" s="3008" t="s">
        <v>70</v>
      </c>
      <c r="E211" s="3020">
        <v>106</v>
      </c>
      <c r="F211" s="3008">
        <v>69.56</v>
      </c>
      <c r="G211" s="3017" t="s">
        <v>3055</v>
      </c>
    </row>
    <row r="212" spans="1:7" ht="14.25" thickBot="1">
      <c r="A212" s="3016">
        <v>211</v>
      </c>
      <c r="B212" s="3008" t="s">
        <v>3241</v>
      </c>
      <c r="C212" s="3020" t="s">
        <v>3152</v>
      </c>
      <c r="D212" s="3008" t="s">
        <v>70</v>
      </c>
      <c r="E212" s="3020">
        <v>107</v>
      </c>
      <c r="F212" s="3008">
        <v>66.11</v>
      </c>
      <c r="G212" s="3017" t="s">
        <v>3055</v>
      </c>
    </row>
    <row r="213" spans="1:7" ht="14.25" thickBot="1">
      <c r="A213" s="3016">
        <v>212</v>
      </c>
      <c r="B213" s="3008" t="s">
        <v>3241</v>
      </c>
      <c r="C213" s="3020" t="s">
        <v>3159</v>
      </c>
      <c r="D213" s="3008" t="s">
        <v>70</v>
      </c>
      <c r="E213" s="3020">
        <v>201</v>
      </c>
      <c r="F213" s="3008">
        <v>94.58</v>
      </c>
      <c r="G213" s="3017" t="s">
        <v>3055</v>
      </c>
    </row>
    <row r="214" spans="1:7" ht="14.25" thickBot="1">
      <c r="A214" s="3016">
        <v>213</v>
      </c>
      <c r="B214" s="3008" t="s">
        <v>3241</v>
      </c>
      <c r="C214" s="3020" t="s">
        <v>3159</v>
      </c>
      <c r="D214" s="3008" t="s">
        <v>70</v>
      </c>
      <c r="E214" s="3020">
        <v>202</v>
      </c>
      <c r="F214" s="3008">
        <v>69.56</v>
      </c>
      <c r="G214" s="3017" t="s">
        <v>3055</v>
      </c>
    </row>
    <row r="215" spans="1:7" ht="14.25" thickBot="1">
      <c r="A215" s="3016">
        <v>214</v>
      </c>
      <c r="B215" s="3008" t="s">
        <v>3241</v>
      </c>
      <c r="C215" s="3020" t="s">
        <v>3159</v>
      </c>
      <c r="D215" s="3008" t="s">
        <v>70</v>
      </c>
      <c r="E215" s="3020">
        <v>203</v>
      </c>
      <c r="F215" s="3008">
        <v>69.5</v>
      </c>
      <c r="G215" s="3017" t="s">
        <v>3055</v>
      </c>
    </row>
    <row r="216" spans="1:7" ht="14.25" thickBot="1">
      <c r="A216" s="3016">
        <v>215</v>
      </c>
      <c r="B216" s="3008" t="s">
        <v>3241</v>
      </c>
      <c r="C216" s="3020" t="s">
        <v>3159</v>
      </c>
      <c r="D216" s="3008" t="s">
        <v>70</v>
      </c>
      <c r="E216" s="3020">
        <v>205</v>
      </c>
      <c r="F216" s="3008">
        <v>69.5</v>
      </c>
      <c r="G216" s="3017" t="s">
        <v>3055</v>
      </c>
    </row>
    <row r="217" spans="1:7" ht="14.25" thickBot="1">
      <c r="A217" s="3016">
        <v>216</v>
      </c>
      <c r="B217" s="3008" t="s">
        <v>3241</v>
      </c>
      <c r="C217" s="3020" t="s">
        <v>3159</v>
      </c>
      <c r="D217" s="3008" t="s">
        <v>70</v>
      </c>
      <c r="E217" s="3020">
        <v>206</v>
      </c>
      <c r="F217" s="3008">
        <v>69.56</v>
      </c>
      <c r="G217" s="3017" t="s">
        <v>3055</v>
      </c>
    </row>
    <row r="218" spans="1:7" ht="14.25" thickBot="1">
      <c r="A218" s="3016">
        <v>217</v>
      </c>
      <c r="B218" s="3008" t="s">
        <v>3241</v>
      </c>
      <c r="C218" s="3020" t="s">
        <v>3159</v>
      </c>
      <c r="D218" s="3008" t="s">
        <v>70</v>
      </c>
      <c r="E218" s="3020">
        <v>207</v>
      </c>
      <c r="F218" s="3008">
        <v>66.11</v>
      </c>
      <c r="G218" s="3017" t="s">
        <v>3055</v>
      </c>
    </row>
    <row r="219" spans="1:7" ht="14.25" thickBot="1">
      <c r="A219" s="3016">
        <v>218</v>
      </c>
      <c r="B219" s="3008" t="s">
        <v>3241</v>
      </c>
      <c r="C219" s="3020" t="s">
        <v>3153</v>
      </c>
      <c r="D219" s="3008" t="s">
        <v>70</v>
      </c>
      <c r="E219" s="3020">
        <v>301</v>
      </c>
      <c r="F219" s="3008">
        <v>94.58</v>
      </c>
      <c r="G219" s="3017" t="s">
        <v>3055</v>
      </c>
    </row>
    <row r="220" spans="1:7" ht="14.25" thickBot="1">
      <c r="A220" s="3016">
        <v>219</v>
      </c>
      <c r="B220" s="3008" t="s">
        <v>3241</v>
      </c>
      <c r="C220" s="3020" t="s">
        <v>3153</v>
      </c>
      <c r="D220" s="3008" t="s">
        <v>70</v>
      </c>
      <c r="E220" s="3020">
        <v>302</v>
      </c>
      <c r="F220" s="3008">
        <v>69.56</v>
      </c>
      <c r="G220" s="3017" t="s">
        <v>3055</v>
      </c>
    </row>
    <row r="221" spans="1:7" ht="14.25" thickBot="1">
      <c r="A221" s="3016">
        <v>220</v>
      </c>
      <c r="B221" s="3008" t="s">
        <v>3241</v>
      </c>
      <c r="C221" s="3020" t="s">
        <v>3153</v>
      </c>
      <c r="D221" s="3008" t="s">
        <v>70</v>
      </c>
      <c r="E221" s="3020">
        <v>303</v>
      </c>
      <c r="F221" s="3008">
        <v>69.5</v>
      </c>
      <c r="G221" s="3017" t="s">
        <v>3055</v>
      </c>
    </row>
    <row r="222" spans="1:7" ht="14.25" thickBot="1">
      <c r="A222" s="3016">
        <v>221</v>
      </c>
      <c r="B222" s="3008" t="s">
        <v>3241</v>
      </c>
      <c r="C222" s="3020" t="s">
        <v>3153</v>
      </c>
      <c r="D222" s="3008" t="s">
        <v>70</v>
      </c>
      <c r="E222" s="3020">
        <v>305</v>
      </c>
      <c r="F222" s="3008">
        <v>69.5</v>
      </c>
      <c r="G222" s="3017" t="s">
        <v>3055</v>
      </c>
    </row>
    <row r="223" spans="1:7" ht="14.25" thickBot="1">
      <c r="A223" s="3016">
        <v>222</v>
      </c>
      <c r="B223" s="3008" t="s">
        <v>3241</v>
      </c>
      <c r="C223" s="3020" t="s">
        <v>3153</v>
      </c>
      <c r="D223" s="3008" t="s">
        <v>70</v>
      </c>
      <c r="E223" s="3020">
        <v>306</v>
      </c>
      <c r="F223" s="3008">
        <v>69.56</v>
      </c>
      <c r="G223" s="3017" t="s">
        <v>3055</v>
      </c>
    </row>
    <row r="224" spans="1:7" ht="14.25" thickBot="1">
      <c r="A224" s="3016">
        <v>223</v>
      </c>
      <c r="B224" s="3008" t="s">
        <v>3241</v>
      </c>
      <c r="C224" s="3020" t="s">
        <v>3153</v>
      </c>
      <c r="D224" s="3008" t="s">
        <v>70</v>
      </c>
      <c r="E224" s="3020">
        <v>307</v>
      </c>
      <c r="F224" s="3008">
        <v>66.11</v>
      </c>
      <c r="G224" s="3017" t="s">
        <v>3055</v>
      </c>
    </row>
    <row r="225" spans="1:7" ht="14.25" thickBot="1">
      <c r="A225" s="3016">
        <v>224</v>
      </c>
      <c r="B225" s="3008" t="s">
        <v>3241</v>
      </c>
      <c r="C225" s="3020" t="s">
        <v>3156</v>
      </c>
      <c r="D225" s="3008" t="s">
        <v>70</v>
      </c>
      <c r="E225" s="3020" t="s">
        <v>3145</v>
      </c>
      <c r="F225" s="3008">
        <v>94.58</v>
      </c>
      <c r="G225" s="3017" t="s">
        <v>3055</v>
      </c>
    </row>
    <row r="226" spans="1:7" ht="14.25" thickBot="1">
      <c r="A226" s="3016">
        <v>225</v>
      </c>
      <c r="B226" s="3008" t="s">
        <v>3241</v>
      </c>
      <c r="C226" s="3020" t="s">
        <v>3156</v>
      </c>
      <c r="D226" s="3008" t="s">
        <v>70</v>
      </c>
      <c r="E226" s="3020" t="s">
        <v>3146</v>
      </c>
      <c r="F226" s="3008">
        <v>69.56</v>
      </c>
      <c r="G226" s="3017" t="s">
        <v>3055</v>
      </c>
    </row>
    <row r="227" spans="1:7" ht="14.25" thickBot="1">
      <c r="A227" s="3016">
        <v>226</v>
      </c>
      <c r="B227" s="3008" t="s">
        <v>3241</v>
      </c>
      <c r="C227" s="3020" t="s">
        <v>3156</v>
      </c>
      <c r="D227" s="3008" t="s">
        <v>70</v>
      </c>
      <c r="E227" s="3020" t="s">
        <v>3147</v>
      </c>
      <c r="F227" s="3008">
        <v>69.5</v>
      </c>
      <c r="G227" s="3017" t="s">
        <v>3055</v>
      </c>
    </row>
    <row r="228" spans="1:7" ht="14.25" thickBot="1">
      <c r="A228" s="3016">
        <v>227</v>
      </c>
      <c r="B228" s="3008" t="s">
        <v>3241</v>
      </c>
      <c r="C228" s="3020" t="s">
        <v>3156</v>
      </c>
      <c r="D228" s="3008" t="s">
        <v>70</v>
      </c>
      <c r="E228" s="3020" t="s">
        <v>3148</v>
      </c>
      <c r="F228" s="3008">
        <v>69.5</v>
      </c>
      <c r="G228" s="3017" t="s">
        <v>3055</v>
      </c>
    </row>
    <row r="229" spans="1:7" ht="14.25" thickBot="1">
      <c r="A229" s="3016">
        <v>228</v>
      </c>
      <c r="B229" s="3008" t="s">
        <v>3241</v>
      </c>
      <c r="C229" s="3020" t="s">
        <v>3156</v>
      </c>
      <c r="D229" s="3008" t="s">
        <v>70</v>
      </c>
      <c r="E229" s="3020" t="s">
        <v>3149</v>
      </c>
      <c r="F229" s="3008">
        <v>69.56</v>
      </c>
      <c r="G229" s="3017" t="s">
        <v>3055</v>
      </c>
    </row>
    <row r="230" spans="1:7" ht="14.25" thickBot="1">
      <c r="A230" s="3016">
        <v>229</v>
      </c>
      <c r="B230" s="3008" t="s">
        <v>3241</v>
      </c>
      <c r="C230" s="3020" t="s">
        <v>3156</v>
      </c>
      <c r="D230" s="3008" t="s">
        <v>70</v>
      </c>
      <c r="E230" s="3020" t="s">
        <v>3150</v>
      </c>
      <c r="F230" s="3008">
        <v>66.11</v>
      </c>
      <c r="G230" s="3017" t="s">
        <v>3055</v>
      </c>
    </row>
    <row r="231" spans="1:7" ht="14.25" thickBot="1">
      <c r="A231" s="3016">
        <v>230</v>
      </c>
      <c r="B231" s="3008" t="s">
        <v>3241</v>
      </c>
      <c r="C231" s="3020" t="s">
        <v>3157</v>
      </c>
      <c r="D231" s="3008" t="s">
        <v>70</v>
      </c>
      <c r="E231" s="3020">
        <v>501</v>
      </c>
      <c r="F231" s="3008">
        <v>94.58</v>
      </c>
      <c r="G231" s="3017" t="s">
        <v>3055</v>
      </c>
    </row>
    <row r="232" spans="1:7" ht="14.25" thickBot="1">
      <c r="A232" s="3016">
        <v>231</v>
      </c>
      <c r="B232" s="3008" t="s">
        <v>3241</v>
      </c>
      <c r="C232" s="3020" t="s">
        <v>3157</v>
      </c>
      <c r="D232" s="3008" t="s">
        <v>70</v>
      </c>
      <c r="E232" s="3020">
        <v>502</v>
      </c>
      <c r="F232" s="3008">
        <v>69.56</v>
      </c>
      <c r="G232" s="3017" t="s">
        <v>3055</v>
      </c>
    </row>
    <row r="233" spans="1:7" ht="14.25" thickBot="1">
      <c r="A233" s="3016">
        <v>232</v>
      </c>
      <c r="B233" s="3008" t="s">
        <v>3241</v>
      </c>
      <c r="C233" s="3020" t="s">
        <v>3157</v>
      </c>
      <c r="D233" s="3008" t="s">
        <v>70</v>
      </c>
      <c r="E233" s="3020">
        <v>503</v>
      </c>
      <c r="F233" s="3008">
        <v>69.5</v>
      </c>
      <c r="G233" s="3017" t="s">
        <v>3055</v>
      </c>
    </row>
    <row r="234" spans="1:7" ht="14.25" thickBot="1">
      <c r="A234" s="3016">
        <v>233</v>
      </c>
      <c r="B234" s="3008" t="s">
        <v>3241</v>
      </c>
      <c r="C234" s="3020" t="s">
        <v>3157</v>
      </c>
      <c r="D234" s="3008" t="s">
        <v>70</v>
      </c>
      <c r="E234" s="3020">
        <v>505</v>
      </c>
      <c r="F234" s="3008">
        <v>69.5</v>
      </c>
      <c r="G234" s="3017" t="s">
        <v>3055</v>
      </c>
    </row>
    <row r="235" spans="1:7" ht="14.25" thickBot="1">
      <c r="A235" s="3016">
        <v>234</v>
      </c>
      <c r="B235" s="3008" t="s">
        <v>3241</v>
      </c>
      <c r="C235" s="3020" t="s">
        <v>3157</v>
      </c>
      <c r="D235" s="3008" t="s">
        <v>70</v>
      </c>
      <c r="E235" s="3020">
        <v>506</v>
      </c>
      <c r="F235" s="3008">
        <v>69.56</v>
      </c>
      <c r="G235" s="3017" t="s">
        <v>3055</v>
      </c>
    </row>
    <row r="236" spans="1:7" ht="14.25" thickBot="1">
      <c r="A236" s="3016">
        <v>235</v>
      </c>
      <c r="B236" s="3008" t="s">
        <v>3241</v>
      </c>
      <c r="C236" s="3020" t="s">
        <v>3157</v>
      </c>
      <c r="D236" s="3008" t="s">
        <v>70</v>
      </c>
      <c r="E236" s="3020">
        <v>507</v>
      </c>
      <c r="F236" s="3008">
        <v>66.11</v>
      </c>
      <c r="G236" s="3017" t="s">
        <v>3055</v>
      </c>
    </row>
    <row r="237" spans="1:7" ht="14.25" thickBot="1">
      <c r="A237" s="3016">
        <v>236</v>
      </c>
      <c r="B237" s="3008" t="s">
        <v>3241</v>
      </c>
      <c r="C237" s="3020" t="s">
        <v>3158</v>
      </c>
      <c r="D237" s="3008" t="s">
        <v>70</v>
      </c>
      <c r="E237" s="3020">
        <v>601</v>
      </c>
      <c r="F237" s="3008">
        <v>94.58</v>
      </c>
      <c r="G237" s="3017" t="s">
        <v>3055</v>
      </c>
    </row>
    <row r="238" spans="1:7" ht="14.25" thickBot="1">
      <c r="A238" s="3016">
        <v>237</v>
      </c>
      <c r="B238" s="3008" t="s">
        <v>3241</v>
      </c>
      <c r="C238" s="3020" t="s">
        <v>3158</v>
      </c>
      <c r="D238" s="3008" t="s">
        <v>70</v>
      </c>
      <c r="E238" s="3020">
        <v>602</v>
      </c>
      <c r="F238" s="3008">
        <v>69.56</v>
      </c>
      <c r="G238" s="3017" t="s">
        <v>3055</v>
      </c>
    </row>
    <row r="239" spans="1:7" ht="14.25" thickBot="1">
      <c r="A239" s="3016">
        <v>238</v>
      </c>
      <c r="B239" s="3008" t="s">
        <v>3241</v>
      </c>
      <c r="C239" s="3020" t="s">
        <v>3158</v>
      </c>
      <c r="D239" s="3008" t="s">
        <v>70</v>
      </c>
      <c r="E239" s="3020">
        <v>603</v>
      </c>
      <c r="F239" s="3008">
        <v>69.5</v>
      </c>
      <c r="G239" s="3017" t="s">
        <v>3055</v>
      </c>
    </row>
    <row r="240" spans="1:7" ht="14.25" thickBot="1">
      <c r="A240" s="3016">
        <v>239</v>
      </c>
      <c r="B240" s="3008" t="s">
        <v>3241</v>
      </c>
      <c r="C240" s="3020" t="s">
        <v>3158</v>
      </c>
      <c r="D240" s="3008" t="s">
        <v>70</v>
      </c>
      <c r="E240" s="3020">
        <v>605</v>
      </c>
      <c r="F240" s="3008">
        <v>69.5</v>
      </c>
      <c r="G240" s="3017" t="s">
        <v>3055</v>
      </c>
    </row>
    <row r="241" spans="1:7" ht="14.25" thickBot="1">
      <c r="A241" s="3016">
        <v>240</v>
      </c>
      <c r="B241" s="3008" t="s">
        <v>3241</v>
      </c>
      <c r="C241" s="3020" t="s">
        <v>3158</v>
      </c>
      <c r="D241" s="3008" t="s">
        <v>70</v>
      </c>
      <c r="E241" s="3020">
        <v>606</v>
      </c>
      <c r="F241" s="3008">
        <v>69.56</v>
      </c>
      <c r="G241" s="3017" t="s">
        <v>3055</v>
      </c>
    </row>
    <row r="242" spans="1:7" ht="14.25" thickBot="1">
      <c r="A242" s="3016">
        <v>241</v>
      </c>
      <c r="B242" s="3008" t="s">
        <v>3241</v>
      </c>
      <c r="C242" s="3020" t="s">
        <v>3158</v>
      </c>
      <c r="D242" s="3008" t="s">
        <v>70</v>
      </c>
      <c r="E242" s="3020">
        <v>607</v>
      </c>
      <c r="F242" s="3008">
        <v>66.11</v>
      </c>
      <c r="G242" s="3017" t="s">
        <v>3055</v>
      </c>
    </row>
    <row r="243" spans="1:7" ht="14.25" thickBot="1">
      <c r="A243" s="3016">
        <v>242</v>
      </c>
      <c r="B243" s="3008" t="s">
        <v>3242</v>
      </c>
      <c r="C243" s="3020" t="s">
        <v>3152</v>
      </c>
      <c r="D243" s="3008" t="s">
        <v>70</v>
      </c>
      <c r="E243" s="3020">
        <v>101</v>
      </c>
      <c r="F243" s="3008">
        <v>93.97999999999999</v>
      </c>
      <c r="G243" s="3017" t="s">
        <v>3055</v>
      </c>
    </row>
    <row r="244" spans="1:7" ht="14.25" thickBot="1">
      <c r="A244" s="3016">
        <v>243</v>
      </c>
      <c r="B244" s="3008" t="s">
        <v>3242</v>
      </c>
      <c r="C244" s="3020" t="s">
        <v>3152</v>
      </c>
      <c r="D244" s="3008" t="s">
        <v>70</v>
      </c>
      <c r="E244" s="3020">
        <v>102</v>
      </c>
      <c r="F244" s="3008">
        <v>69.12</v>
      </c>
      <c r="G244" s="3017" t="s">
        <v>3055</v>
      </c>
    </row>
    <row r="245" spans="1:7" ht="14.25" thickBot="1">
      <c r="A245" s="3016">
        <v>244</v>
      </c>
      <c r="B245" s="3008" t="s">
        <v>3242</v>
      </c>
      <c r="C245" s="3020" t="s">
        <v>3152</v>
      </c>
      <c r="D245" s="3008" t="s">
        <v>70</v>
      </c>
      <c r="E245" s="3020">
        <v>103</v>
      </c>
      <c r="F245" s="3008">
        <v>69.06</v>
      </c>
      <c r="G245" s="3017" t="s">
        <v>3055</v>
      </c>
    </row>
    <row r="246" spans="1:7" ht="14.25" thickBot="1">
      <c r="A246" s="3016">
        <v>245</v>
      </c>
      <c r="B246" s="3008" t="s">
        <v>3242</v>
      </c>
      <c r="C246" s="3020" t="s">
        <v>3152</v>
      </c>
      <c r="D246" s="3008" t="s">
        <v>70</v>
      </c>
      <c r="E246" s="3020">
        <v>105</v>
      </c>
      <c r="F246" s="3008">
        <v>69.06</v>
      </c>
      <c r="G246" s="3017" t="s">
        <v>3055</v>
      </c>
    </row>
    <row r="247" spans="1:7" ht="14.25" thickBot="1">
      <c r="A247" s="3016">
        <v>246</v>
      </c>
      <c r="B247" s="3008" t="s">
        <v>3242</v>
      </c>
      <c r="C247" s="3020" t="s">
        <v>3152</v>
      </c>
      <c r="D247" s="3008" t="s">
        <v>70</v>
      </c>
      <c r="E247" s="3020">
        <v>106</v>
      </c>
      <c r="F247" s="3008">
        <v>69.12</v>
      </c>
      <c r="G247" s="3017" t="s">
        <v>3055</v>
      </c>
    </row>
    <row r="248" spans="1:7" ht="14.25" thickBot="1">
      <c r="A248" s="3016">
        <v>247</v>
      </c>
      <c r="B248" s="3008" t="s">
        <v>3242</v>
      </c>
      <c r="C248" s="3020" t="s">
        <v>3152</v>
      </c>
      <c r="D248" s="3008" t="s">
        <v>70</v>
      </c>
      <c r="E248" s="3020">
        <v>107</v>
      </c>
      <c r="F248" s="3008">
        <v>65.69</v>
      </c>
      <c r="G248" s="3017" t="s">
        <v>3055</v>
      </c>
    </row>
    <row r="249" spans="1:7" ht="14.25" thickBot="1">
      <c r="A249" s="3016">
        <v>248</v>
      </c>
      <c r="B249" s="3008" t="s">
        <v>3242</v>
      </c>
      <c r="C249" s="3020" t="s">
        <v>3159</v>
      </c>
      <c r="D249" s="3008" t="s">
        <v>70</v>
      </c>
      <c r="E249" s="3020">
        <v>201</v>
      </c>
      <c r="F249" s="3008">
        <v>93.97999999999999</v>
      </c>
      <c r="G249" s="3017" t="s">
        <v>3055</v>
      </c>
    </row>
    <row r="250" spans="1:7" ht="14.25" thickBot="1">
      <c r="A250" s="3016">
        <v>249</v>
      </c>
      <c r="B250" s="3008" t="s">
        <v>3242</v>
      </c>
      <c r="C250" s="3020" t="s">
        <v>3159</v>
      </c>
      <c r="D250" s="3008" t="s">
        <v>70</v>
      </c>
      <c r="E250" s="3020">
        <v>202</v>
      </c>
      <c r="F250" s="3008">
        <v>69.12</v>
      </c>
      <c r="G250" s="3017" t="s">
        <v>3055</v>
      </c>
    </row>
    <row r="251" spans="1:7" ht="14.25" thickBot="1">
      <c r="A251" s="3016">
        <v>250</v>
      </c>
      <c r="B251" s="3008" t="s">
        <v>3242</v>
      </c>
      <c r="C251" s="3020" t="s">
        <v>3159</v>
      </c>
      <c r="D251" s="3008" t="s">
        <v>70</v>
      </c>
      <c r="E251" s="3020">
        <v>203</v>
      </c>
      <c r="F251" s="3008">
        <v>69.06</v>
      </c>
      <c r="G251" s="3017" t="s">
        <v>3055</v>
      </c>
    </row>
    <row r="252" spans="1:7" ht="14.25" thickBot="1">
      <c r="A252" s="3016">
        <v>251</v>
      </c>
      <c r="B252" s="3008" t="s">
        <v>3242</v>
      </c>
      <c r="C252" s="3020" t="s">
        <v>3159</v>
      </c>
      <c r="D252" s="3008" t="s">
        <v>70</v>
      </c>
      <c r="E252" s="3020">
        <v>205</v>
      </c>
      <c r="F252" s="3008">
        <v>69.06</v>
      </c>
      <c r="G252" s="3017" t="s">
        <v>3055</v>
      </c>
    </row>
    <row r="253" spans="1:7" ht="14.25" thickBot="1">
      <c r="A253" s="3016">
        <v>252</v>
      </c>
      <c r="B253" s="3008" t="s">
        <v>3242</v>
      </c>
      <c r="C253" s="3020" t="s">
        <v>3159</v>
      </c>
      <c r="D253" s="3008" t="s">
        <v>70</v>
      </c>
      <c r="E253" s="3020">
        <v>206</v>
      </c>
      <c r="F253" s="3008">
        <v>69.12</v>
      </c>
      <c r="G253" s="3017" t="s">
        <v>3055</v>
      </c>
    </row>
    <row r="254" spans="1:7" ht="14.25" thickBot="1">
      <c r="A254" s="3016">
        <v>253</v>
      </c>
      <c r="B254" s="3008" t="s">
        <v>3242</v>
      </c>
      <c r="C254" s="3020" t="s">
        <v>3159</v>
      </c>
      <c r="D254" s="3008" t="s">
        <v>70</v>
      </c>
      <c r="E254" s="3020">
        <v>207</v>
      </c>
      <c r="F254" s="3008">
        <v>65.69</v>
      </c>
      <c r="G254" s="3017" t="s">
        <v>3055</v>
      </c>
    </row>
    <row r="255" spans="1:7" ht="14.25" thickBot="1">
      <c r="A255" s="3016">
        <v>254</v>
      </c>
      <c r="B255" s="3008" t="s">
        <v>3242</v>
      </c>
      <c r="C255" s="3020" t="s">
        <v>3153</v>
      </c>
      <c r="D255" s="3008" t="s">
        <v>70</v>
      </c>
      <c r="E255" s="3020">
        <v>301</v>
      </c>
      <c r="F255" s="3008">
        <v>93.97999999999999</v>
      </c>
      <c r="G255" s="3017" t="s">
        <v>3055</v>
      </c>
    </row>
    <row r="256" spans="1:7" ht="14.25" thickBot="1">
      <c r="A256" s="3016">
        <v>255</v>
      </c>
      <c r="B256" s="3008" t="s">
        <v>3242</v>
      </c>
      <c r="C256" s="3020" t="s">
        <v>3153</v>
      </c>
      <c r="D256" s="3008" t="s">
        <v>70</v>
      </c>
      <c r="E256" s="3020">
        <v>302</v>
      </c>
      <c r="F256" s="3008">
        <v>69.12</v>
      </c>
      <c r="G256" s="3017" t="s">
        <v>3055</v>
      </c>
    </row>
    <row r="257" spans="1:7" ht="14.25" thickBot="1">
      <c r="A257" s="3016">
        <v>256</v>
      </c>
      <c r="B257" s="3008" t="s">
        <v>3242</v>
      </c>
      <c r="C257" s="3020" t="s">
        <v>3153</v>
      </c>
      <c r="D257" s="3008" t="s">
        <v>70</v>
      </c>
      <c r="E257" s="3020">
        <v>303</v>
      </c>
      <c r="F257" s="3008">
        <v>69.06</v>
      </c>
      <c r="G257" s="3017" t="s">
        <v>3055</v>
      </c>
    </row>
    <row r="258" spans="1:7" ht="14.25" thickBot="1">
      <c r="A258" s="3016">
        <v>257</v>
      </c>
      <c r="B258" s="3008" t="s">
        <v>3242</v>
      </c>
      <c r="C258" s="3020" t="s">
        <v>3153</v>
      </c>
      <c r="D258" s="3008" t="s">
        <v>70</v>
      </c>
      <c r="E258" s="3020">
        <v>305</v>
      </c>
      <c r="F258" s="3008">
        <v>69.06</v>
      </c>
      <c r="G258" s="3017" t="s">
        <v>3055</v>
      </c>
    </row>
    <row r="259" spans="1:7" ht="14.25" thickBot="1">
      <c r="A259" s="3016">
        <v>258</v>
      </c>
      <c r="B259" s="3008" t="s">
        <v>3242</v>
      </c>
      <c r="C259" s="3020" t="s">
        <v>3153</v>
      </c>
      <c r="D259" s="3008" t="s">
        <v>70</v>
      </c>
      <c r="E259" s="3020">
        <v>306</v>
      </c>
      <c r="F259" s="3008">
        <v>69.12</v>
      </c>
      <c r="G259" s="3017" t="s">
        <v>3055</v>
      </c>
    </row>
    <row r="260" spans="1:7" ht="14.25" thickBot="1">
      <c r="A260" s="3016">
        <v>259</v>
      </c>
      <c r="B260" s="3008" t="s">
        <v>3242</v>
      </c>
      <c r="C260" s="3020" t="s">
        <v>3153</v>
      </c>
      <c r="D260" s="3008" t="s">
        <v>70</v>
      </c>
      <c r="E260" s="3020">
        <v>307</v>
      </c>
      <c r="F260" s="3008">
        <v>65.69</v>
      </c>
      <c r="G260" s="3017" t="s">
        <v>3055</v>
      </c>
    </row>
    <row r="261" spans="1:7" ht="14.25" thickBot="1">
      <c r="A261" s="3016">
        <v>260</v>
      </c>
      <c r="B261" s="3008" t="s">
        <v>3242</v>
      </c>
      <c r="C261" s="3020" t="s">
        <v>3156</v>
      </c>
      <c r="D261" s="3008" t="s">
        <v>70</v>
      </c>
      <c r="E261" s="3020" t="s">
        <v>3145</v>
      </c>
      <c r="F261" s="3008">
        <v>93.97999999999999</v>
      </c>
      <c r="G261" s="3017" t="s">
        <v>3055</v>
      </c>
    </row>
    <row r="262" spans="1:7" ht="14.25" thickBot="1">
      <c r="A262" s="3016">
        <v>261</v>
      </c>
      <c r="B262" s="3008" t="s">
        <v>3242</v>
      </c>
      <c r="C262" s="3020" t="s">
        <v>3156</v>
      </c>
      <c r="D262" s="3008" t="s">
        <v>70</v>
      </c>
      <c r="E262" s="3020" t="s">
        <v>3146</v>
      </c>
      <c r="F262" s="3008">
        <v>69.12</v>
      </c>
      <c r="G262" s="3017" t="s">
        <v>3055</v>
      </c>
    </row>
    <row r="263" spans="1:7" ht="14.25" thickBot="1">
      <c r="A263" s="3016">
        <v>262</v>
      </c>
      <c r="B263" s="3008" t="s">
        <v>3242</v>
      </c>
      <c r="C263" s="3020" t="s">
        <v>3156</v>
      </c>
      <c r="D263" s="3008" t="s">
        <v>70</v>
      </c>
      <c r="E263" s="3020" t="s">
        <v>3147</v>
      </c>
      <c r="F263" s="3008">
        <v>69.06</v>
      </c>
      <c r="G263" s="3017" t="s">
        <v>3055</v>
      </c>
    </row>
    <row r="264" spans="1:7" ht="14.25" thickBot="1">
      <c r="A264" s="3016">
        <v>263</v>
      </c>
      <c r="B264" s="3008" t="s">
        <v>3242</v>
      </c>
      <c r="C264" s="3020" t="s">
        <v>3156</v>
      </c>
      <c r="D264" s="3008" t="s">
        <v>70</v>
      </c>
      <c r="E264" s="3020" t="s">
        <v>3148</v>
      </c>
      <c r="F264" s="3008">
        <v>69.06</v>
      </c>
      <c r="G264" s="3017" t="s">
        <v>3055</v>
      </c>
    </row>
    <row r="265" spans="1:7" ht="14.25" thickBot="1">
      <c r="A265" s="3016">
        <v>264</v>
      </c>
      <c r="B265" s="3008" t="s">
        <v>3242</v>
      </c>
      <c r="C265" s="3020" t="s">
        <v>3156</v>
      </c>
      <c r="D265" s="3008" t="s">
        <v>70</v>
      </c>
      <c r="E265" s="3020" t="s">
        <v>3149</v>
      </c>
      <c r="F265" s="3008">
        <v>69.12</v>
      </c>
      <c r="G265" s="3017" t="s">
        <v>3055</v>
      </c>
    </row>
    <row r="266" spans="1:7" ht="14.25" thickBot="1">
      <c r="A266" s="3016">
        <v>265</v>
      </c>
      <c r="B266" s="3008" t="s">
        <v>3242</v>
      </c>
      <c r="C266" s="3020" t="s">
        <v>3156</v>
      </c>
      <c r="D266" s="3008" t="s">
        <v>70</v>
      </c>
      <c r="E266" s="3020" t="s">
        <v>3150</v>
      </c>
      <c r="F266" s="3008">
        <v>65.69</v>
      </c>
      <c r="G266" s="3017" t="s">
        <v>3055</v>
      </c>
    </row>
    <row r="267" spans="1:7" ht="14.25" thickBot="1">
      <c r="A267" s="3016">
        <v>266</v>
      </c>
      <c r="B267" s="3008" t="s">
        <v>3242</v>
      </c>
      <c r="C267" s="3020" t="s">
        <v>3157</v>
      </c>
      <c r="D267" s="3008" t="s">
        <v>70</v>
      </c>
      <c r="E267" s="3020">
        <v>501</v>
      </c>
      <c r="F267" s="3008">
        <v>93.97999999999999</v>
      </c>
      <c r="G267" s="3017" t="s">
        <v>3055</v>
      </c>
    </row>
    <row r="268" spans="1:7" ht="14.25" thickBot="1">
      <c r="A268" s="3016">
        <v>267</v>
      </c>
      <c r="B268" s="3008" t="s">
        <v>3242</v>
      </c>
      <c r="C268" s="3020" t="s">
        <v>3157</v>
      </c>
      <c r="D268" s="3008" t="s">
        <v>70</v>
      </c>
      <c r="E268" s="3020">
        <v>502</v>
      </c>
      <c r="F268" s="3008">
        <v>69.12</v>
      </c>
      <c r="G268" s="3017" t="s">
        <v>3055</v>
      </c>
    </row>
    <row r="269" spans="1:7" ht="14.25" thickBot="1">
      <c r="A269" s="3016">
        <v>268</v>
      </c>
      <c r="B269" s="3008" t="s">
        <v>3242</v>
      </c>
      <c r="C269" s="3020" t="s">
        <v>3157</v>
      </c>
      <c r="D269" s="3008" t="s">
        <v>70</v>
      </c>
      <c r="E269" s="3020">
        <v>503</v>
      </c>
      <c r="F269" s="3008">
        <v>69.06</v>
      </c>
      <c r="G269" s="3017" t="s">
        <v>3055</v>
      </c>
    </row>
    <row r="270" spans="1:7" ht="14.25" thickBot="1">
      <c r="A270" s="3016">
        <v>269</v>
      </c>
      <c r="B270" s="3008" t="s">
        <v>3242</v>
      </c>
      <c r="C270" s="3020" t="s">
        <v>3157</v>
      </c>
      <c r="D270" s="3008" t="s">
        <v>70</v>
      </c>
      <c r="E270" s="3020">
        <v>505</v>
      </c>
      <c r="F270" s="3008">
        <v>69.06</v>
      </c>
      <c r="G270" s="3017" t="s">
        <v>3055</v>
      </c>
    </row>
    <row r="271" spans="1:7" ht="14.25" thickBot="1">
      <c r="A271" s="3016">
        <v>270</v>
      </c>
      <c r="B271" s="3008" t="s">
        <v>3242</v>
      </c>
      <c r="C271" s="3020" t="s">
        <v>3157</v>
      </c>
      <c r="D271" s="3008" t="s">
        <v>70</v>
      </c>
      <c r="E271" s="3020">
        <v>506</v>
      </c>
      <c r="F271" s="3008">
        <v>69.12</v>
      </c>
      <c r="G271" s="3017" t="s">
        <v>3055</v>
      </c>
    </row>
    <row r="272" spans="1:7" ht="14.25" thickBot="1">
      <c r="A272" s="3016">
        <v>271</v>
      </c>
      <c r="B272" s="3008" t="s">
        <v>3242</v>
      </c>
      <c r="C272" s="3020" t="s">
        <v>3157</v>
      </c>
      <c r="D272" s="3008" t="s">
        <v>70</v>
      </c>
      <c r="E272" s="3020">
        <v>507</v>
      </c>
      <c r="F272" s="3008">
        <v>65.69</v>
      </c>
      <c r="G272" s="3017" t="s">
        <v>3055</v>
      </c>
    </row>
    <row r="273" spans="1:7" ht="14.25" thickBot="1">
      <c r="A273" s="3016">
        <v>272</v>
      </c>
      <c r="B273" s="3008" t="s">
        <v>3242</v>
      </c>
      <c r="C273" s="3020" t="s">
        <v>3158</v>
      </c>
      <c r="D273" s="3008" t="s">
        <v>70</v>
      </c>
      <c r="E273" s="3020">
        <v>601</v>
      </c>
      <c r="F273" s="3008">
        <v>93.97999999999999</v>
      </c>
      <c r="G273" s="3017" t="s">
        <v>3055</v>
      </c>
    </row>
    <row r="274" spans="1:7" ht="14.25" thickBot="1">
      <c r="A274" s="3016">
        <v>273</v>
      </c>
      <c r="B274" s="3008" t="s">
        <v>3242</v>
      </c>
      <c r="C274" s="3020" t="s">
        <v>3158</v>
      </c>
      <c r="D274" s="3008" t="s">
        <v>70</v>
      </c>
      <c r="E274" s="3020">
        <v>602</v>
      </c>
      <c r="F274" s="3008">
        <v>69.12</v>
      </c>
      <c r="G274" s="3017" t="s">
        <v>3055</v>
      </c>
    </row>
    <row r="275" spans="1:7" ht="14.25" thickBot="1">
      <c r="A275" s="3016">
        <v>274</v>
      </c>
      <c r="B275" s="3008" t="s">
        <v>3242</v>
      </c>
      <c r="C275" s="3020" t="s">
        <v>3158</v>
      </c>
      <c r="D275" s="3008" t="s">
        <v>70</v>
      </c>
      <c r="E275" s="3020">
        <v>603</v>
      </c>
      <c r="F275" s="3008">
        <v>69.06</v>
      </c>
      <c r="G275" s="3017" t="s">
        <v>3055</v>
      </c>
    </row>
    <row r="276" spans="1:7" ht="14.25" thickBot="1">
      <c r="A276" s="3016">
        <v>275</v>
      </c>
      <c r="B276" s="3008" t="s">
        <v>3242</v>
      </c>
      <c r="C276" s="3020" t="s">
        <v>3158</v>
      </c>
      <c r="D276" s="3008" t="s">
        <v>70</v>
      </c>
      <c r="E276" s="3020">
        <v>605</v>
      </c>
      <c r="F276" s="3008">
        <v>69.06</v>
      </c>
      <c r="G276" s="3017" t="s">
        <v>3055</v>
      </c>
    </row>
    <row r="277" spans="1:7" ht="14.25" thickBot="1">
      <c r="A277" s="3016">
        <v>276</v>
      </c>
      <c r="B277" s="3008" t="s">
        <v>3242</v>
      </c>
      <c r="C277" s="3020" t="s">
        <v>3158</v>
      </c>
      <c r="D277" s="3008" t="s">
        <v>70</v>
      </c>
      <c r="E277" s="3020">
        <v>606</v>
      </c>
      <c r="F277" s="3008">
        <v>69.12</v>
      </c>
      <c r="G277" s="3017" t="s">
        <v>3055</v>
      </c>
    </row>
    <row r="278" spans="1:7" ht="14.25" thickBot="1">
      <c r="A278" s="3016">
        <v>277</v>
      </c>
      <c r="B278" s="3008" t="s">
        <v>3242</v>
      </c>
      <c r="C278" s="3020" t="s">
        <v>3158</v>
      </c>
      <c r="D278" s="3008" t="s">
        <v>70</v>
      </c>
      <c r="E278" s="3020">
        <v>607</v>
      </c>
      <c r="F278" s="3008">
        <v>65.69</v>
      </c>
      <c r="G278" s="3017" t="s">
        <v>3055</v>
      </c>
    </row>
    <row r="279" spans="1:7" ht="14.25" thickBot="1">
      <c r="A279" s="3016">
        <v>278</v>
      </c>
      <c r="B279" s="3018" t="s">
        <v>3228</v>
      </c>
      <c r="C279" s="3021" t="s">
        <v>3152</v>
      </c>
      <c r="D279" s="3018" t="s">
        <v>3213</v>
      </c>
      <c r="E279" s="3021">
        <v>101</v>
      </c>
      <c r="F279" s="3018">
        <v>66.28</v>
      </c>
      <c r="G279" s="3019" t="s">
        <v>3055</v>
      </c>
    </row>
    <row r="280" spans="1:7" ht="14.25" thickBot="1">
      <c r="A280" s="3016">
        <v>279</v>
      </c>
      <c r="B280" s="3008" t="s">
        <v>3228</v>
      </c>
      <c r="C280" s="3008" t="s">
        <v>3152</v>
      </c>
      <c r="D280" s="3008" t="s">
        <v>3213</v>
      </c>
      <c r="E280" s="3008">
        <v>102</v>
      </c>
      <c r="F280" s="3008">
        <v>69.77</v>
      </c>
      <c r="G280" s="3017" t="s">
        <v>3055</v>
      </c>
    </row>
    <row r="281" spans="1:7" ht="14.25" thickBot="1">
      <c r="A281" s="3016">
        <v>280</v>
      </c>
      <c r="B281" s="3018" t="s">
        <v>3228</v>
      </c>
      <c r="C281" s="3018" t="s">
        <v>3152</v>
      </c>
      <c r="D281" s="3018" t="s">
        <v>3213</v>
      </c>
      <c r="E281" s="3018">
        <v>103</v>
      </c>
      <c r="F281" s="3018">
        <v>69.94</v>
      </c>
      <c r="G281" s="3019" t="s">
        <v>3055</v>
      </c>
    </row>
    <row r="282" spans="1:7" ht="14.25" thickBot="1">
      <c r="A282" s="3016">
        <v>281</v>
      </c>
      <c r="B282" s="3008" t="s">
        <v>3228</v>
      </c>
      <c r="C282" s="3008" t="s">
        <v>3152</v>
      </c>
      <c r="D282" s="3008" t="s">
        <v>3213</v>
      </c>
      <c r="E282" s="3008">
        <v>105</v>
      </c>
      <c r="F282" s="3008">
        <v>69.94</v>
      </c>
      <c r="G282" s="3017" t="s">
        <v>3055</v>
      </c>
    </row>
    <row r="283" spans="1:7" ht="14.25" thickBot="1">
      <c r="A283" s="3016">
        <v>282</v>
      </c>
      <c r="B283" s="3008" t="s">
        <v>3228</v>
      </c>
      <c r="C283" s="3008" t="s">
        <v>3152</v>
      </c>
      <c r="D283" s="3008" t="s">
        <v>3213</v>
      </c>
      <c r="E283" s="3008">
        <v>106</v>
      </c>
      <c r="F283" s="3008">
        <v>69.77</v>
      </c>
      <c r="G283" s="3017" t="s">
        <v>3055</v>
      </c>
    </row>
    <row r="284" spans="1:7" ht="14.25" thickBot="1">
      <c r="A284" s="3016">
        <v>283</v>
      </c>
      <c r="B284" s="3008" t="s">
        <v>3228</v>
      </c>
      <c r="C284" s="3008" t="s">
        <v>3152</v>
      </c>
      <c r="D284" s="3008" t="s">
        <v>3213</v>
      </c>
      <c r="E284" s="3008">
        <v>107</v>
      </c>
      <c r="F284" s="3008">
        <v>66.28</v>
      </c>
      <c r="G284" s="3017" t="s">
        <v>3055</v>
      </c>
    </row>
    <row r="285" spans="1:7" ht="14.25" thickBot="1">
      <c r="A285" s="3016">
        <v>284</v>
      </c>
      <c r="B285" s="3018" t="s">
        <v>3228</v>
      </c>
      <c r="C285" s="3018" t="s">
        <v>3159</v>
      </c>
      <c r="D285" s="3018" t="s">
        <v>3213</v>
      </c>
      <c r="E285" s="3018">
        <v>201</v>
      </c>
      <c r="F285" s="3018">
        <v>66.28</v>
      </c>
      <c r="G285" s="3019" t="s">
        <v>3055</v>
      </c>
    </row>
    <row r="286" spans="1:7" ht="14.25" thickBot="1">
      <c r="A286" s="3016">
        <v>285</v>
      </c>
      <c r="B286" s="3008" t="s">
        <v>3228</v>
      </c>
      <c r="C286" s="3008" t="s">
        <v>3159</v>
      </c>
      <c r="D286" s="3008" t="s">
        <v>3213</v>
      </c>
      <c r="E286" s="3008">
        <v>202</v>
      </c>
      <c r="F286" s="3008">
        <v>69.77</v>
      </c>
      <c r="G286" s="3017" t="s">
        <v>3055</v>
      </c>
    </row>
    <row r="287" spans="1:7" ht="14.25" thickBot="1">
      <c r="A287" s="3016">
        <v>286</v>
      </c>
      <c r="B287" s="3008" t="s">
        <v>3228</v>
      </c>
      <c r="C287" s="3008" t="s">
        <v>3159</v>
      </c>
      <c r="D287" s="3008" t="s">
        <v>3213</v>
      </c>
      <c r="E287" s="3008">
        <v>203</v>
      </c>
      <c r="F287" s="3008">
        <v>69.94</v>
      </c>
      <c r="G287" s="3017" t="s">
        <v>3055</v>
      </c>
    </row>
    <row r="288" spans="1:7" ht="14.25" thickBot="1">
      <c r="A288" s="3016">
        <v>287</v>
      </c>
      <c r="B288" s="3008" t="s">
        <v>3228</v>
      </c>
      <c r="C288" s="3008" t="s">
        <v>3159</v>
      </c>
      <c r="D288" s="3008" t="s">
        <v>3213</v>
      </c>
      <c r="E288" s="3008">
        <v>205</v>
      </c>
      <c r="F288" s="3008">
        <v>69.94</v>
      </c>
      <c r="G288" s="3017" t="s">
        <v>3055</v>
      </c>
    </row>
    <row r="289" spans="1:7" ht="14.25" thickBot="1">
      <c r="A289" s="3016">
        <v>288</v>
      </c>
      <c r="B289" s="3018" t="s">
        <v>3228</v>
      </c>
      <c r="C289" s="3018" t="s">
        <v>3159</v>
      </c>
      <c r="D289" s="3018" t="s">
        <v>3213</v>
      </c>
      <c r="E289" s="3018">
        <v>206</v>
      </c>
      <c r="F289" s="3018">
        <v>69.77</v>
      </c>
      <c r="G289" s="3019" t="s">
        <v>3055</v>
      </c>
    </row>
    <row r="290" spans="1:7" ht="14.25" thickBot="1">
      <c r="A290" s="3016">
        <v>289</v>
      </c>
      <c r="B290" s="3018" t="s">
        <v>3228</v>
      </c>
      <c r="C290" s="3018" t="s">
        <v>3152</v>
      </c>
      <c r="D290" s="3018" t="s">
        <v>3215</v>
      </c>
      <c r="E290" s="3018">
        <v>101</v>
      </c>
      <c r="F290" s="3018">
        <v>66.28</v>
      </c>
      <c r="G290" s="3018" t="s">
        <v>3055</v>
      </c>
    </row>
    <row r="291" spans="1:7" ht="14.25" thickBot="1">
      <c r="A291" s="3016">
        <v>290</v>
      </c>
      <c r="B291" s="3018" t="s">
        <v>3228</v>
      </c>
      <c r="C291" s="3018" t="s">
        <v>3152</v>
      </c>
      <c r="D291" s="3018" t="s">
        <v>3215</v>
      </c>
      <c r="E291" s="3018">
        <v>103</v>
      </c>
      <c r="F291" s="3018">
        <v>69.94</v>
      </c>
      <c r="G291" s="3018" t="s">
        <v>3055</v>
      </c>
    </row>
    <row r="292" spans="1:7" ht="14.25" thickBot="1">
      <c r="A292" s="3016">
        <v>291</v>
      </c>
      <c r="B292" s="3018" t="s">
        <v>3228</v>
      </c>
      <c r="C292" s="3018" t="s">
        <v>3152</v>
      </c>
      <c r="D292" s="3018" t="s">
        <v>3215</v>
      </c>
      <c r="E292" s="3018">
        <v>105</v>
      </c>
      <c r="F292" s="3018">
        <v>69.94</v>
      </c>
      <c r="G292" s="3018" t="s">
        <v>3055</v>
      </c>
    </row>
    <row r="293" spans="1:7" ht="14.25" thickBot="1">
      <c r="A293" s="3016">
        <v>292</v>
      </c>
      <c r="B293" s="3018" t="s">
        <v>3228</v>
      </c>
      <c r="C293" s="3018" t="s">
        <v>3152</v>
      </c>
      <c r="D293" s="3018" t="s">
        <v>3215</v>
      </c>
      <c r="E293" s="3018">
        <v>106</v>
      </c>
      <c r="F293" s="3018">
        <v>69.77</v>
      </c>
      <c r="G293" s="3018" t="s">
        <v>3055</v>
      </c>
    </row>
    <row r="294" spans="1:7" ht="14.25" thickBot="1">
      <c r="A294" s="3016">
        <v>293</v>
      </c>
      <c r="B294" s="3018" t="s">
        <v>3228</v>
      </c>
      <c r="C294" s="3018" t="s">
        <v>3152</v>
      </c>
      <c r="D294" s="3018" t="s">
        <v>3215</v>
      </c>
      <c r="E294" s="3018">
        <v>107</v>
      </c>
      <c r="F294" s="3018">
        <v>66.28</v>
      </c>
      <c r="G294" s="3018" t="s">
        <v>3055</v>
      </c>
    </row>
    <row r="295" spans="1:7" ht="14.25" thickBot="1">
      <c r="A295" s="3016">
        <v>294</v>
      </c>
      <c r="B295" s="3018" t="s">
        <v>3228</v>
      </c>
      <c r="C295" s="3018" t="s">
        <v>3159</v>
      </c>
      <c r="D295" s="3018" t="s">
        <v>3215</v>
      </c>
      <c r="E295" s="3018">
        <v>201</v>
      </c>
      <c r="F295" s="3018">
        <v>66.28</v>
      </c>
      <c r="G295" s="3018" t="s">
        <v>3055</v>
      </c>
    </row>
    <row r="296" spans="1:7" ht="14.25" thickBot="1">
      <c r="A296" s="3016">
        <v>295</v>
      </c>
      <c r="B296" s="3018" t="s">
        <v>3228</v>
      </c>
      <c r="C296" s="3018" t="s">
        <v>3159</v>
      </c>
      <c r="D296" s="3018" t="s">
        <v>3215</v>
      </c>
      <c r="E296" s="3018">
        <v>202</v>
      </c>
      <c r="F296" s="3018">
        <v>69.77</v>
      </c>
      <c r="G296" s="3018" t="s">
        <v>3055</v>
      </c>
    </row>
    <row r="297" spans="1:7" ht="14.25" thickBot="1">
      <c r="A297" s="3016">
        <v>296</v>
      </c>
      <c r="B297" s="3008" t="s">
        <v>3228</v>
      </c>
      <c r="C297" s="3008" t="s">
        <v>3159</v>
      </c>
      <c r="D297" s="3008" t="s">
        <v>3215</v>
      </c>
      <c r="E297" s="3008">
        <v>203</v>
      </c>
      <c r="F297" s="3008">
        <v>69.94</v>
      </c>
      <c r="G297" s="3017" t="s">
        <v>3055</v>
      </c>
    </row>
    <row r="298" spans="1:7" ht="14.25" thickBot="1">
      <c r="A298" s="3016">
        <v>297</v>
      </c>
      <c r="B298" s="3018" t="s">
        <v>3228</v>
      </c>
      <c r="C298" s="3018" t="s">
        <v>3153</v>
      </c>
      <c r="D298" s="3018" t="s">
        <v>3213</v>
      </c>
      <c r="E298" s="3018">
        <v>301</v>
      </c>
      <c r="F298" s="3018">
        <v>66.28</v>
      </c>
      <c r="G298" s="3019" t="s">
        <v>3055</v>
      </c>
    </row>
    <row r="299" spans="1:7" ht="14.25" thickBot="1">
      <c r="A299" s="3016">
        <v>298</v>
      </c>
      <c r="B299" s="3008" t="s">
        <v>3228</v>
      </c>
      <c r="C299" s="3008" t="s">
        <v>3153</v>
      </c>
      <c r="D299" s="3008" t="s">
        <v>3213</v>
      </c>
      <c r="E299" s="3008">
        <v>302</v>
      </c>
      <c r="F299" s="3008">
        <v>69.77</v>
      </c>
      <c r="G299" s="3017" t="s">
        <v>3055</v>
      </c>
    </row>
    <row r="300" spans="1:7" ht="14.25" thickBot="1">
      <c r="A300" s="3016">
        <v>299</v>
      </c>
      <c r="B300" s="3008" t="s">
        <v>3228</v>
      </c>
      <c r="C300" s="3008" t="s">
        <v>3153</v>
      </c>
      <c r="D300" s="3008" t="s">
        <v>3213</v>
      </c>
      <c r="E300" s="3008">
        <v>303</v>
      </c>
      <c r="F300" s="3008">
        <v>69.94</v>
      </c>
      <c r="G300" s="3017" t="s">
        <v>3055</v>
      </c>
    </row>
    <row r="301" spans="1:7" ht="14.25" thickBot="1">
      <c r="A301" s="3016">
        <v>300</v>
      </c>
      <c r="B301" s="3008" t="s">
        <v>3228</v>
      </c>
      <c r="C301" s="3008" t="s">
        <v>3153</v>
      </c>
      <c r="D301" s="3008" t="s">
        <v>3213</v>
      </c>
      <c r="E301" s="3008">
        <v>305</v>
      </c>
      <c r="F301" s="3008">
        <v>69.94</v>
      </c>
      <c r="G301" s="3017" t="s">
        <v>3055</v>
      </c>
    </row>
    <row r="302" spans="1:7" ht="14.25" thickBot="1">
      <c r="A302" s="3016">
        <v>301</v>
      </c>
      <c r="B302" s="3008" t="s">
        <v>3228</v>
      </c>
      <c r="C302" s="3008" t="s">
        <v>3153</v>
      </c>
      <c r="D302" s="3008" t="s">
        <v>3213</v>
      </c>
      <c r="E302" s="3008">
        <v>306</v>
      </c>
      <c r="F302" s="3008">
        <v>69.77</v>
      </c>
      <c r="G302" s="3017" t="s">
        <v>3055</v>
      </c>
    </row>
    <row r="303" spans="1:7" ht="14.25" thickBot="1">
      <c r="A303" s="3016">
        <v>302</v>
      </c>
      <c r="B303" s="3008" t="s">
        <v>3228</v>
      </c>
      <c r="C303" s="3008" t="s">
        <v>3153</v>
      </c>
      <c r="D303" s="3008" t="s">
        <v>3213</v>
      </c>
      <c r="E303" s="3008">
        <v>307</v>
      </c>
      <c r="F303" s="3008">
        <v>66.28</v>
      </c>
      <c r="G303" s="3017" t="s">
        <v>3055</v>
      </c>
    </row>
    <row r="304" spans="1:7" ht="14.25" thickBot="1">
      <c r="A304" s="3016">
        <v>303</v>
      </c>
      <c r="B304" s="3018" t="s">
        <v>3228</v>
      </c>
      <c r="C304" s="3018" t="s">
        <v>3159</v>
      </c>
      <c r="D304" s="3018" t="s">
        <v>3215</v>
      </c>
      <c r="E304" s="3018">
        <v>206</v>
      </c>
      <c r="F304" s="3018">
        <v>69.77</v>
      </c>
      <c r="G304" s="3019" t="s">
        <v>3055</v>
      </c>
    </row>
    <row r="305" spans="1:7" ht="14.25" thickBot="1">
      <c r="A305" s="3016">
        <v>304</v>
      </c>
      <c r="B305" s="3018" t="s">
        <v>3228</v>
      </c>
      <c r="C305" s="3018" t="s">
        <v>3159</v>
      </c>
      <c r="D305" s="3018" t="s">
        <v>3215</v>
      </c>
      <c r="E305" s="3018">
        <v>207</v>
      </c>
      <c r="F305" s="3018">
        <v>66.28</v>
      </c>
      <c r="G305" s="3019" t="s">
        <v>3055</v>
      </c>
    </row>
    <row r="306" spans="1:7" ht="14.25" thickBot="1">
      <c r="A306" s="3016">
        <v>305</v>
      </c>
      <c r="B306" s="3018" t="s">
        <v>3228</v>
      </c>
      <c r="C306" s="3018" t="s">
        <v>3153</v>
      </c>
      <c r="D306" s="3018" t="s">
        <v>3215</v>
      </c>
      <c r="E306" s="3018">
        <v>301</v>
      </c>
      <c r="F306" s="3018">
        <v>66.28</v>
      </c>
      <c r="G306" s="3019" t="s">
        <v>3055</v>
      </c>
    </row>
    <row r="307" spans="1:7" ht="14.25" thickBot="1">
      <c r="A307" s="3016">
        <v>306</v>
      </c>
      <c r="B307" s="3008" t="s">
        <v>3228</v>
      </c>
      <c r="C307" s="3008" t="s">
        <v>3153</v>
      </c>
      <c r="D307" s="3008" t="s">
        <v>3215</v>
      </c>
      <c r="E307" s="3008">
        <v>302</v>
      </c>
      <c r="F307" s="3008">
        <v>69.77</v>
      </c>
      <c r="G307" s="3017" t="s">
        <v>3055</v>
      </c>
    </row>
    <row r="308" spans="1:7" ht="14.25" thickBot="1">
      <c r="A308" s="3016">
        <v>307</v>
      </c>
      <c r="B308" s="3008" t="s">
        <v>3228</v>
      </c>
      <c r="C308" s="3008" t="s">
        <v>3153</v>
      </c>
      <c r="D308" s="3008" t="s">
        <v>3215</v>
      </c>
      <c r="E308" s="3008">
        <v>303</v>
      </c>
      <c r="F308" s="3008">
        <v>69.94</v>
      </c>
      <c r="G308" s="3017" t="s">
        <v>3055</v>
      </c>
    </row>
    <row r="309" spans="1:7" ht="14.25" thickBot="1">
      <c r="A309" s="3016">
        <v>308</v>
      </c>
      <c r="B309" s="3018" t="s">
        <v>3228</v>
      </c>
      <c r="C309" s="3018" t="s">
        <v>3153</v>
      </c>
      <c r="D309" s="3018" t="s">
        <v>3215</v>
      </c>
      <c r="E309" s="3018">
        <v>305</v>
      </c>
      <c r="F309" s="3018">
        <v>69.94</v>
      </c>
      <c r="G309" s="3019" t="s">
        <v>3055</v>
      </c>
    </row>
    <row r="310" spans="1:7" ht="14.25" thickBot="1">
      <c r="A310" s="3016">
        <v>309</v>
      </c>
      <c r="B310" s="3008" t="s">
        <v>3228</v>
      </c>
      <c r="C310" s="3008" t="s">
        <v>3153</v>
      </c>
      <c r="D310" s="3008" t="s">
        <v>3215</v>
      </c>
      <c r="E310" s="3008">
        <v>306</v>
      </c>
      <c r="F310" s="3008">
        <v>69.77</v>
      </c>
      <c r="G310" s="3017" t="s">
        <v>3055</v>
      </c>
    </row>
    <row r="311" spans="1:7" ht="14.25" thickBot="1">
      <c r="A311" s="3016">
        <v>310</v>
      </c>
      <c r="B311" s="3018" t="s">
        <v>3228</v>
      </c>
      <c r="C311" s="3018" t="s">
        <v>3156</v>
      </c>
      <c r="D311" s="3018" t="s">
        <v>3213</v>
      </c>
      <c r="E311" s="3018" t="s">
        <v>3145</v>
      </c>
      <c r="F311" s="3018">
        <v>66.28</v>
      </c>
      <c r="G311" s="3019" t="s">
        <v>3055</v>
      </c>
    </row>
    <row r="312" spans="1:7" ht="14.25" thickBot="1">
      <c r="A312" s="3016">
        <v>311</v>
      </c>
      <c r="B312" s="3008" t="s">
        <v>3228</v>
      </c>
      <c r="C312" s="3008" t="s">
        <v>3156</v>
      </c>
      <c r="D312" s="3008" t="s">
        <v>3213</v>
      </c>
      <c r="E312" s="3008" t="s">
        <v>3146</v>
      </c>
      <c r="F312" s="3008">
        <v>69.77</v>
      </c>
      <c r="G312" s="3017" t="s">
        <v>3055</v>
      </c>
    </row>
    <row r="313" spans="1:7" ht="14.25" thickBot="1">
      <c r="A313" s="3016">
        <v>312</v>
      </c>
      <c r="B313" s="3008" t="s">
        <v>3228</v>
      </c>
      <c r="C313" s="3008" t="s">
        <v>3156</v>
      </c>
      <c r="D313" s="3008" t="s">
        <v>3213</v>
      </c>
      <c r="E313" s="3008" t="s">
        <v>3147</v>
      </c>
      <c r="F313" s="3008">
        <v>69.94</v>
      </c>
      <c r="G313" s="3017" t="s">
        <v>3055</v>
      </c>
    </row>
    <row r="314" spans="1:7" ht="14.25" thickBot="1">
      <c r="A314" s="3016">
        <v>313</v>
      </c>
      <c r="B314" s="3008" t="s">
        <v>3228</v>
      </c>
      <c r="C314" s="3008" t="s">
        <v>3156</v>
      </c>
      <c r="D314" s="3008" t="s">
        <v>3213</v>
      </c>
      <c r="E314" s="3008" t="s">
        <v>3148</v>
      </c>
      <c r="F314" s="3008">
        <v>69.94</v>
      </c>
      <c r="G314" s="3017" t="s">
        <v>3055</v>
      </c>
    </row>
    <row r="315" spans="1:7" ht="14.25" thickBot="1">
      <c r="A315" s="3016">
        <v>314</v>
      </c>
      <c r="B315" s="3008" t="s">
        <v>3228</v>
      </c>
      <c r="C315" s="3008" t="s">
        <v>3156</v>
      </c>
      <c r="D315" s="3008" t="s">
        <v>3213</v>
      </c>
      <c r="E315" s="3008" t="s">
        <v>3150</v>
      </c>
      <c r="F315" s="3008">
        <v>66.28</v>
      </c>
      <c r="G315" s="3017" t="s">
        <v>3055</v>
      </c>
    </row>
    <row r="316" spans="1:7" ht="14.25" thickBot="1">
      <c r="A316" s="3016">
        <v>315</v>
      </c>
      <c r="B316" s="3008" t="s">
        <v>3228</v>
      </c>
      <c r="C316" s="3008" t="s">
        <v>3156</v>
      </c>
      <c r="D316" s="3008" t="s">
        <v>3215</v>
      </c>
      <c r="E316" s="3008" t="s">
        <v>3145</v>
      </c>
      <c r="F316" s="3008">
        <v>66.28</v>
      </c>
      <c r="G316" s="3017" t="s">
        <v>3055</v>
      </c>
    </row>
    <row r="317" spans="1:7" ht="14.25" thickBot="1">
      <c r="A317" s="3016">
        <v>316</v>
      </c>
      <c r="B317" s="3008" t="s">
        <v>3228</v>
      </c>
      <c r="C317" s="3008" t="s">
        <v>3156</v>
      </c>
      <c r="D317" s="3008" t="s">
        <v>3215</v>
      </c>
      <c r="E317" s="3008" t="s">
        <v>3146</v>
      </c>
      <c r="F317" s="3008">
        <v>69.77</v>
      </c>
      <c r="G317" s="3017" t="s">
        <v>3055</v>
      </c>
    </row>
    <row r="318" spans="1:7" ht="14.25" thickBot="1">
      <c r="A318" s="3016">
        <v>317</v>
      </c>
      <c r="B318" s="3008" t="s">
        <v>3228</v>
      </c>
      <c r="C318" s="3008" t="s">
        <v>3156</v>
      </c>
      <c r="D318" s="3008" t="s">
        <v>3215</v>
      </c>
      <c r="E318" s="3008" t="s">
        <v>3147</v>
      </c>
      <c r="F318" s="3008">
        <v>69.94</v>
      </c>
      <c r="G318" s="3017" t="s">
        <v>3055</v>
      </c>
    </row>
    <row r="319" spans="1:7" ht="14.25" thickBot="1">
      <c r="A319" s="3016">
        <v>318</v>
      </c>
      <c r="B319" s="3008" t="s">
        <v>3228</v>
      </c>
      <c r="C319" s="3008" t="s">
        <v>3156</v>
      </c>
      <c r="D319" s="3008" t="s">
        <v>3215</v>
      </c>
      <c r="E319" s="3008" t="s">
        <v>3148</v>
      </c>
      <c r="F319" s="3008">
        <v>69.94</v>
      </c>
      <c r="G319" s="3017" t="s">
        <v>3055</v>
      </c>
    </row>
    <row r="320" spans="1:7" ht="14.25" thickBot="1">
      <c r="A320" s="3016">
        <v>319</v>
      </c>
      <c r="B320" s="3018" t="s">
        <v>3228</v>
      </c>
      <c r="C320" s="3018" t="s">
        <v>3156</v>
      </c>
      <c r="D320" s="3018" t="s">
        <v>3215</v>
      </c>
      <c r="E320" s="3018" t="s">
        <v>3149</v>
      </c>
      <c r="F320" s="3018">
        <v>69.77</v>
      </c>
      <c r="G320" s="3019" t="s">
        <v>3055</v>
      </c>
    </row>
    <row r="321" spans="1:7" ht="14.25" thickBot="1">
      <c r="A321" s="3016">
        <v>320</v>
      </c>
      <c r="B321" s="3008" t="s">
        <v>3228</v>
      </c>
      <c r="C321" s="3008" t="s">
        <v>3156</v>
      </c>
      <c r="D321" s="3008" t="s">
        <v>3215</v>
      </c>
      <c r="E321" s="3008" t="s">
        <v>3150</v>
      </c>
      <c r="F321" s="3008">
        <v>66.28</v>
      </c>
      <c r="G321" s="3017" t="s">
        <v>3055</v>
      </c>
    </row>
    <row r="322" spans="1:7" ht="14.25" thickBot="1">
      <c r="A322" s="3016">
        <v>321</v>
      </c>
      <c r="B322" s="3008" t="s">
        <v>3228</v>
      </c>
      <c r="C322" s="3008" t="s">
        <v>3157</v>
      </c>
      <c r="D322" s="3008" t="s">
        <v>3213</v>
      </c>
      <c r="E322" s="3008">
        <v>501</v>
      </c>
      <c r="F322" s="3008">
        <v>66.28</v>
      </c>
      <c r="G322" s="3017" t="s">
        <v>3055</v>
      </c>
    </row>
    <row r="323" spans="1:7" ht="14.25" thickBot="1">
      <c r="A323" s="3016">
        <v>322</v>
      </c>
      <c r="B323" s="3018" t="s">
        <v>3228</v>
      </c>
      <c r="C323" s="3018" t="s">
        <v>3157</v>
      </c>
      <c r="D323" s="3018" t="s">
        <v>3213</v>
      </c>
      <c r="E323" s="3018">
        <v>502</v>
      </c>
      <c r="F323" s="3018">
        <v>69.77</v>
      </c>
      <c r="G323" s="3019" t="s">
        <v>3055</v>
      </c>
    </row>
    <row r="324" spans="1:7" ht="14.25" thickBot="1">
      <c r="A324" s="3016">
        <v>323</v>
      </c>
      <c r="B324" s="3018" t="s">
        <v>3228</v>
      </c>
      <c r="C324" s="3018" t="s">
        <v>3157</v>
      </c>
      <c r="D324" s="3018" t="s">
        <v>3213</v>
      </c>
      <c r="E324" s="3018">
        <v>503</v>
      </c>
      <c r="F324" s="3018">
        <v>69.94</v>
      </c>
      <c r="G324" s="3019" t="s">
        <v>3055</v>
      </c>
    </row>
    <row r="325" spans="1:7" ht="14.25" thickBot="1">
      <c r="A325" s="3016">
        <v>324</v>
      </c>
      <c r="B325" s="3008" t="s">
        <v>3228</v>
      </c>
      <c r="C325" s="3008" t="s">
        <v>3157</v>
      </c>
      <c r="D325" s="3008" t="s">
        <v>3213</v>
      </c>
      <c r="E325" s="3008">
        <v>505</v>
      </c>
      <c r="F325" s="3008">
        <v>69.94</v>
      </c>
      <c r="G325" s="3017" t="s">
        <v>3055</v>
      </c>
    </row>
    <row r="326" spans="1:7" ht="14.25" thickBot="1">
      <c r="A326" s="3016">
        <v>325</v>
      </c>
      <c r="B326" s="3008" t="s">
        <v>3228</v>
      </c>
      <c r="C326" s="3008" t="s">
        <v>3157</v>
      </c>
      <c r="D326" s="3008" t="s">
        <v>3213</v>
      </c>
      <c r="E326" s="3008">
        <v>506</v>
      </c>
      <c r="F326" s="3008">
        <v>69.77</v>
      </c>
      <c r="G326" s="3017" t="s">
        <v>3055</v>
      </c>
    </row>
    <row r="327" spans="1:7" ht="14.25" thickBot="1">
      <c r="A327" s="3016">
        <v>326</v>
      </c>
      <c r="B327" s="3008" t="s">
        <v>3228</v>
      </c>
      <c r="C327" s="3008" t="s">
        <v>3157</v>
      </c>
      <c r="D327" s="3008" t="s">
        <v>3213</v>
      </c>
      <c r="E327" s="3008">
        <v>507</v>
      </c>
      <c r="F327" s="3008">
        <v>66.28</v>
      </c>
      <c r="G327" s="3017" t="s">
        <v>3055</v>
      </c>
    </row>
    <row r="328" spans="1:7" ht="14.25" thickBot="1">
      <c r="A328" s="3016">
        <v>327</v>
      </c>
      <c r="B328" s="3018" t="s">
        <v>3228</v>
      </c>
      <c r="C328" s="3018" t="s">
        <v>3157</v>
      </c>
      <c r="D328" s="3018" t="s">
        <v>3215</v>
      </c>
      <c r="E328" s="3018">
        <v>501</v>
      </c>
      <c r="F328" s="3018">
        <v>66.28</v>
      </c>
      <c r="G328" s="3019" t="s">
        <v>3055</v>
      </c>
    </row>
    <row r="329" spans="1:7" ht="14.25" thickBot="1">
      <c r="A329" s="3016">
        <v>328</v>
      </c>
      <c r="B329" s="3018" t="s">
        <v>3228</v>
      </c>
      <c r="C329" s="3018" t="s">
        <v>3157</v>
      </c>
      <c r="D329" s="3018" t="s">
        <v>3215</v>
      </c>
      <c r="E329" s="3018">
        <v>502</v>
      </c>
      <c r="F329" s="3018">
        <v>69.77</v>
      </c>
      <c r="G329" s="3019" t="s">
        <v>3055</v>
      </c>
    </row>
    <row r="330" spans="1:7" ht="14.25" thickBot="1">
      <c r="A330" s="3016">
        <v>329</v>
      </c>
      <c r="B330" s="3018" t="s">
        <v>3228</v>
      </c>
      <c r="C330" s="3018" t="s">
        <v>3157</v>
      </c>
      <c r="D330" s="3018" t="s">
        <v>3215</v>
      </c>
      <c r="E330" s="3018">
        <v>503</v>
      </c>
      <c r="F330" s="3018">
        <v>69.94</v>
      </c>
      <c r="G330" s="3019" t="s">
        <v>3055</v>
      </c>
    </row>
    <row r="331" spans="1:7" ht="14.25" thickBot="1">
      <c r="A331" s="3016">
        <v>330</v>
      </c>
      <c r="B331" s="3018" t="s">
        <v>3228</v>
      </c>
      <c r="C331" s="3018" t="s">
        <v>3157</v>
      </c>
      <c r="D331" s="3018" t="s">
        <v>3215</v>
      </c>
      <c r="E331" s="3018">
        <v>505</v>
      </c>
      <c r="F331" s="3018">
        <v>69.94</v>
      </c>
      <c r="G331" s="3019" t="s">
        <v>3055</v>
      </c>
    </row>
    <row r="332" spans="1:7" ht="14.25" thickBot="1">
      <c r="A332" s="3016">
        <v>331</v>
      </c>
      <c r="B332" s="3008" t="s">
        <v>3228</v>
      </c>
      <c r="C332" s="3008" t="s">
        <v>3157</v>
      </c>
      <c r="D332" s="3008" t="s">
        <v>3215</v>
      </c>
      <c r="E332" s="3008">
        <v>506</v>
      </c>
      <c r="F332" s="3008">
        <v>69.77</v>
      </c>
      <c r="G332" s="3017" t="s">
        <v>3055</v>
      </c>
    </row>
    <row r="333" spans="1:7" ht="14.25" thickBot="1">
      <c r="A333" s="3016">
        <v>332</v>
      </c>
      <c r="B333" s="3008" t="s">
        <v>3228</v>
      </c>
      <c r="C333" s="3008" t="s">
        <v>3157</v>
      </c>
      <c r="D333" s="3008" t="s">
        <v>3215</v>
      </c>
      <c r="E333" s="3008">
        <v>507</v>
      </c>
      <c r="F333" s="3008">
        <v>66.28</v>
      </c>
      <c r="G333" s="3017" t="s">
        <v>3055</v>
      </c>
    </row>
    <row r="334" spans="1:7" ht="14.25" thickBot="1">
      <c r="A334" s="3016">
        <v>333</v>
      </c>
      <c r="B334" s="3008" t="s">
        <v>3228</v>
      </c>
      <c r="C334" s="3008" t="s">
        <v>3158</v>
      </c>
      <c r="D334" s="3008" t="s">
        <v>3213</v>
      </c>
      <c r="E334" s="3008">
        <v>601</v>
      </c>
      <c r="F334" s="3008">
        <v>66.28</v>
      </c>
      <c r="G334" s="3017" t="s">
        <v>3055</v>
      </c>
    </row>
    <row r="335" spans="1:7" ht="14.25" thickBot="1">
      <c r="A335" s="3016">
        <v>334</v>
      </c>
      <c r="B335" s="3008" t="s">
        <v>3228</v>
      </c>
      <c r="C335" s="3008" t="s">
        <v>3158</v>
      </c>
      <c r="D335" s="3008" t="s">
        <v>3213</v>
      </c>
      <c r="E335" s="3008">
        <v>602</v>
      </c>
      <c r="F335" s="3008">
        <v>69.77</v>
      </c>
      <c r="G335" s="3017" t="s">
        <v>3055</v>
      </c>
    </row>
    <row r="336" spans="1:7" ht="14.25" thickBot="1">
      <c r="A336" s="3016">
        <v>335</v>
      </c>
      <c r="B336" s="3018" t="s">
        <v>3228</v>
      </c>
      <c r="C336" s="3018" t="s">
        <v>3158</v>
      </c>
      <c r="D336" s="3018" t="s">
        <v>3213</v>
      </c>
      <c r="E336" s="3018">
        <v>603</v>
      </c>
      <c r="F336" s="3018">
        <v>69.94</v>
      </c>
      <c r="G336" s="3019" t="s">
        <v>3055</v>
      </c>
    </row>
    <row r="337" spans="1:14" ht="14.25" thickBot="1">
      <c r="A337" s="3016">
        <v>336</v>
      </c>
      <c r="B337" s="3018" t="s">
        <v>3228</v>
      </c>
      <c r="C337" s="3018" t="s">
        <v>3158</v>
      </c>
      <c r="D337" s="3018" t="s">
        <v>3213</v>
      </c>
      <c r="E337" s="3018">
        <v>605</v>
      </c>
      <c r="F337" s="3018">
        <v>69.94</v>
      </c>
      <c r="G337" s="3019" t="s">
        <v>3055</v>
      </c>
    </row>
    <row r="338" spans="1:14" ht="14.25" thickBot="1">
      <c r="A338" s="3016">
        <v>337</v>
      </c>
      <c r="B338" s="3008" t="s">
        <v>3228</v>
      </c>
      <c r="C338" s="3008" t="s">
        <v>3158</v>
      </c>
      <c r="D338" s="3008" t="s">
        <v>3213</v>
      </c>
      <c r="E338" s="3008">
        <v>606</v>
      </c>
      <c r="F338" s="3008">
        <v>69.77</v>
      </c>
      <c r="G338" s="3017" t="s">
        <v>3055</v>
      </c>
    </row>
    <row r="339" spans="1:14" ht="14.25" thickBot="1">
      <c r="A339" s="3016">
        <v>338</v>
      </c>
      <c r="B339" s="3018" t="s">
        <v>3228</v>
      </c>
      <c r="C339" s="3018" t="s">
        <v>3158</v>
      </c>
      <c r="D339" s="3018" t="s">
        <v>3213</v>
      </c>
      <c r="E339" s="3018">
        <v>607</v>
      </c>
      <c r="F339" s="3018">
        <v>66.28</v>
      </c>
      <c r="G339" s="3019" t="s">
        <v>3055</v>
      </c>
    </row>
    <row r="340" spans="1:14" ht="14.25" thickBot="1">
      <c r="A340" s="3016">
        <v>339</v>
      </c>
      <c r="B340" s="3008" t="s">
        <v>3228</v>
      </c>
      <c r="C340" s="3008" t="s">
        <v>3158</v>
      </c>
      <c r="D340" s="3008" t="s">
        <v>3215</v>
      </c>
      <c r="E340" s="3008">
        <v>601</v>
      </c>
      <c r="F340" s="3008">
        <v>66.28</v>
      </c>
      <c r="G340" s="3017" t="s">
        <v>3055</v>
      </c>
    </row>
    <row r="341" spans="1:14" ht="14.25" thickBot="1">
      <c r="A341" s="3016">
        <v>340</v>
      </c>
      <c r="B341" s="3008" t="s">
        <v>3228</v>
      </c>
      <c r="C341" s="3008" t="s">
        <v>3158</v>
      </c>
      <c r="D341" s="3008" t="s">
        <v>3215</v>
      </c>
      <c r="E341" s="3008">
        <v>602</v>
      </c>
      <c r="F341" s="3008">
        <v>69.77</v>
      </c>
      <c r="G341" s="3017" t="s">
        <v>3055</v>
      </c>
    </row>
    <row r="342" spans="1:14" ht="14.25" thickBot="1">
      <c r="A342" s="3016">
        <v>341</v>
      </c>
      <c r="B342" s="3008" t="s">
        <v>3228</v>
      </c>
      <c r="C342" s="3008" t="s">
        <v>3158</v>
      </c>
      <c r="D342" s="3008" t="s">
        <v>3215</v>
      </c>
      <c r="E342" s="3008">
        <v>603</v>
      </c>
      <c r="F342" s="3008">
        <v>69.94</v>
      </c>
      <c r="G342" s="3017" t="s">
        <v>3055</v>
      </c>
    </row>
    <row r="343" spans="1:14" ht="14.25" thickBot="1">
      <c r="A343" s="3016">
        <v>342</v>
      </c>
      <c r="B343" s="3018" t="s">
        <v>3228</v>
      </c>
      <c r="C343" s="3018" t="s">
        <v>3158</v>
      </c>
      <c r="D343" s="3018" t="s">
        <v>3215</v>
      </c>
      <c r="E343" s="3018">
        <v>605</v>
      </c>
      <c r="F343" s="3018">
        <v>69.94</v>
      </c>
      <c r="G343" s="3019" t="s">
        <v>3055</v>
      </c>
    </row>
    <row r="344" spans="1:14" ht="14.25" thickBot="1">
      <c r="A344" s="3016">
        <v>343</v>
      </c>
      <c r="B344" s="3008" t="s">
        <v>3228</v>
      </c>
      <c r="C344" s="3008" t="s">
        <v>3158</v>
      </c>
      <c r="D344" s="3008" t="s">
        <v>3215</v>
      </c>
      <c r="E344" s="3008">
        <v>606</v>
      </c>
      <c r="F344" s="3008">
        <v>69.77</v>
      </c>
      <c r="G344" s="3017" t="s">
        <v>3055</v>
      </c>
    </row>
    <row r="345" spans="1:14" ht="14.25" thickBot="1">
      <c r="A345" s="3016">
        <v>344</v>
      </c>
      <c r="B345" s="3018" t="s">
        <v>3228</v>
      </c>
      <c r="C345" s="3018" t="s">
        <v>3158</v>
      </c>
      <c r="D345" s="3018" t="s">
        <v>3215</v>
      </c>
      <c r="E345" s="3018">
        <v>607</v>
      </c>
      <c r="F345" s="3018">
        <v>66.28</v>
      </c>
      <c r="G345" s="3019" t="s">
        <v>3055</v>
      </c>
    </row>
    <row r="346" spans="1:14" ht="14.25" thickBot="1">
      <c r="A346" s="3016">
        <v>345</v>
      </c>
      <c r="B346" s="3008" t="s">
        <v>3229</v>
      </c>
      <c r="C346" s="3008" t="s">
        <v>3152</v>
      </c>
      <c r="D346" s="3008" t="s">
        <v>3213</v>
      </c>
      <c r="E346" s="3008">
        <v>101</v>
      </c>
      <c r="F346" s="3008">
        <v>66.069999999999993</v>
      </c>
      <c r="G346" s="3017" t="s">
        <v>3055</v>
      </c>
      <c r="I346" s="3025">
        <v>19</v>
      </c>
      <c r="J346" s="3025">
        <v>6</v>
      </c>
      <c r="K346" s="3025">
        <v>2</v>
      </c>
      <c r="L346" s="3026" t="s">
        <v>3408</v>
      </c>
      <c r="M346" s="3025">
        <v>66.069999999999993</v>
      </c>
      <c r="N346" s="3023" t="s">
        <v>3248</v>
      </c>
    </row>
    <row r="347" spans="1:14" ht="14.25" thickBot="1">
      <c r="A347" s="3016">
        <v>346</v>
      </c>
      <c r="B347" s="3008" t="s">
        <v>3229</v>
      </c>
      <c r="C347" s="3008" t="s">
        <v>3152</v>
      </c>
      <c r="D347" s="3008" t="s">
        <v>3213</v>
      </c>
      <c r="E347" s="3008">
        <v>102</v>
      </c>
      <c r="F347" s="3008">
        <v>69.56</v>
      </c>
      <c r="G347" s="3017" t="s">
        <v>3055</v>
      </c>
      <c r="I347" s="3025">
        <v>19</v>
      </c>
      <c r="J347" s="3025">
        <v>6</v>
      </c>
      <c r="K347" s="3025">
        <v>2</v>
      </c>
      <c r="L347" s="3026" t="s">
        <v>3409</v>
      </c>
      <c r="M347" s="3025">
        <v>69.75</v>
      </c>
      <c r="N347" s="3023" t="s">
        <v>3248</v>
      </c>
    </row>
    <row r="348" spans="1:14" ht="14.25" thickBot="1">
      <c r="A348" s="3016">
        <v>347</v>
      </c>
      <c r="B348" s="3008" t="s">
        <v>3229</v>
      </c>
      <c r="C348" s="3008" t="s">
        <v>3152</v>
      </c>
      <c r="D348" s="3008" t="s">
        <v>3213</v>
      </c>
      <c r="E348" s="3008">
        <v>103</v>
      </c>
      <c r="F348" s="3008">
        <v>69.72</v>
      </c>
      <c r="G348" s="3017" t="s">
        <v>3055</v>
      </c>
      <c r="I348" s="3025">
        <v>19</v>
      </c>
      <c r="J348" s="3025">
        <v>4</v>
      </c>
      <c r="K348" s="3025">
        <v>2</v>
      </c>
      <c r="L348" s="3026" t="s">
        <v>3410</v>
      </c>
      <c r="M348" s="3025">
        <v>66.069999999999993</v>
      </c>
      <c r="N348" s="3023" t="s">
        <v>3248</v>
      </c>
    </row>
    <row r="349" spans="1:14" ht="14.25" thickBot="1">
      <c r="A349" s="3016">
        <v>348</v>
      </c>
      <c r="B349" s="3008" t="s">
        <v>3229</v>
      </c>
      <c r="C349" s="3008" t="s">
        <v>3152</v>
      </c>
      <c r="D349" s="3008" t="s">
        <v>3213</v>
      </c>
      <c r="E349" s="3008">
        <v>105</v>
      </c>
      <c r="F349" s="3008">
        <v>69.56</v>
      </c>
      <c r="G349" s="3017" t="s">
        <v>3055</v>
      </c>
      <c r="I349" s="3025">
        <v>19</v>
      </c>
      <c r="J349" s="3025">
        <v>4</v>
      </c>
      <c r="K349" s="3025">
        <v>2</v>
      </c>
      <c r="L349" s="3026" t="s">
        <v>3411</v>
      </c>
      <c r="M349" s="3025">
        <v>94.74</v>
      </c>
      <c r="N349" s="3023" t="s">
        <v>3248</v>
      </c>
    </row>
    <row r="350" spans="1:14" ht="14.25" thickBot="1">
      <c r="A350" s="3016">
        <v>349</v>
      </c>
      <c r="B350" s="3008" t="s">
        <v>3229</v>
      </c>
      <c r="C350" s="3008" t="s">
        <v>3152</v>
      </c>
      <c r="D350" s="3008" t="s">
        <v>3213</v>
      </c>
      <c r="E350" s="3008">
        <v>106</v>
      </c>
      <c r="F350" s="3008">
        <v>94.74</v>
      </c>
      <c r="G350" s="3017" t="s">
        <v>3055</v>
      </c>
      <c r="I350" s="3025">
        <v>19</v>
      </c>
      <c r="J350" s="3025">
        <v>3</v>
      </c>
      <c r="K350" s="3025">
        <v>2</v>
      </c>
      <c r="L350" s="3026" t="s">
        <v>3412</v>
      </c>
      <c r="M350" s="3025">
        <v>69.56</v>
      </c>
      <c r="N350" s="3023" t="s">
        <v>3248</v>
      </c>
    </row>
    <row r="351" spans="1:14" ht="14.25" thickBot="1">
      <c r="A351" s="3016">
        <v>350</v>
      </c>
      <c r="B351" s="3008" t="s">
        <v>3229</v>
      </c>
      <c r="C351" s="3008" t="s">
        <v>3152</v>
      </c>
      <c r="D351" s="3008" t="s">
        <v>3215</v>
      </c>
      <c r="E351" s="3008">
        <v>101</v>
      </c>
      <c r="F351" s="3008">
        <v>94.74</v>
      </c>
      <c r="G351" s="3017" t="s">
        <v>3055</v>
      </c>
      <c r="I351" s="3025">
        <v>19</v>
      </c>
      <c r="J351" s="3025">
        <v>3</v>
      </c>
      <c r="K351" s="3025">
        <v>2</v>
      </c>
      <c r="L351" s="3026" t="s">
        <v>3413</v>
      </c>
      <c r="M351" s="3025">
        <v>69.75</v>
      </c>
      <c r="N351" s="3023" t="s">
        <v>3248</v>
      </c>
    </row>
    <row r="352" spans="1:14" ht="14.25" thickBot="1">
      <c r="A352" s="3016">
        <v>351</v>
      </c>
      <c r="B352" s="3008" t="s">
        <v>3229</v>
      </c>
      <c r="C352" s="3008" t="s">
        <v>3152</v>
      </c>
      <c r="D352" s="3008" t="s">
        <v>3215</v>
      </c>
      <c r="E352" s="3008">
        <v>102</v>
      </c>
      <c r="F352" s="3008">
        <v>69.56</v>
      </c>
      <c r="G352" s="3017" t="s">
        <v>3055</v>
      </c>
      <c r="I352" s="3025">
        <v>19</v>
      </c>
      <c r="J352" s="3025">
        <v>2</v>
      </c>
      <c r="K352" s="3025">
        <v>2</v>
      </c>
      <c r="L352" s="3026" t="s">
        <v>3414</v>
      </c>
      <c r="M352" s="3025">
        <v>69.75</v>
      </c>
      <c r="N352" s="3023" t="s">
        <v>3248</v>
      </c>
    </row>
    <row r="353" spans="1:14" ht="14.25" thickBot="1">
      <c r="A353" s="3016">
        <v>352</v>
      </c>
      <c r="B353" s="3008" t="s">
        <v>3229</v>
      </c>
      <c r="C353" s="3008" t="s">
        <v>3152</v>
      </c>
      <c r="D353" s="3008" t="s">
        <v>3215</v>
      </c>
      <c r="E353" s="3008">
        <v>103</v>
      </c>
      <c r="F353" s="3008">
        <v>69.72</v>
      </c>
      <c r="G353" s="3017" t="s">
        <v>3055</v>
      </c>
      <c r="I353" s="3025">
        <v>19</v>
      </c>
      <c r="J353" s="3025">
        <v>2</v>
      </c>
      <c r="K353" s="3025">
        <v>2</v>
      </c>
      <c r="L353" s="3026" t="s">
        <v>3415</v>
      </c>
      <c r="M353" s="3025">
        <v>69.56</v>
      </c>
      <c r="N353" s="3023" t="s">
        <v>3248</v>
      </c>
    </row>
    <row r="354" spans="1:14" ht="14.25" thickBot="1">
      <c r="A354" s="3016">
        <v>353</v>
      </c>
      <c r="B354" s="3008" t="s">
        <v>3229</v>
      </c>
      <c r="C354" s="3008" t="s">
        <v>3152</v>
      </c>
      <c r="D354" s="3008" t="s">
        <v>3215</v>
      </c>
      <c r="E354" s="3008">
        <v>105</v>
      </c>
      <c r="F354" s="3008">
        <v>69.56</v>
      </c>
      <c r="G354" s="3017" t="s">
        <v>3055</v>
      </c>
      <c r="I354" s="3025">
        <v>19</v>
      </c>
      <c r="J354" s="3025">
        <v>6</v>
      </c>
      <c r="K354" s="3025">
        <v>1</v>
      </c>
      <c r="L354" s="3026" t="s">
        <v>3416</v>
      </c>
      <c r="M354" s="3025">
        <v>69.75</v>
      </c>
      <c r="N354" s="3023" t="s">
        <v>3248</v>
      </c>
    </row>
    <row r="355" spans="1:14" ht="14.25" thickBot="1">
      <c r="A355" s="3016">
        <v>354</v>
      </c>
      <c r="B355" s="3008" t="s">
        <v>3229</v>
      </c>
      <c r="C355" s="3008" t="s">
        <v>3152</v>
      </c>
      <c r="D355" s="3008" t="s">
        <v>3215</v>
      </c>
      <c r="E355" s="3008">
        <v>106</v>
      </c>
      <c r="F355" s="3008">
        <v>66.069999999999993</v>
      </c>
      <c r="G355" s="3017" t="s">
        <v>3055</v>
      </c>
      <c r="I355" s="3025">
        <v>19</v>
      </c>
      <c r="J355" s="3025">
        <v>6</v>
      </c>
      <c r="K355" s="3025">
        <v>1</v>
      </c>
      <c r="L355" s="3026" t="s">
        <v>3417</v>
      </c>
      <c r="M355" s="3025">
        <v>69.56</v>
      </c>
      <c r="N355" s="3023" t="s">
        <v>3248</v>
      </c>
    </row>
    <row r="356" spans="1:14" ht="14.25" thickBot="1">
      <c r="A356" s="3016">
        <v>355</v>
      </c>
      <c r="B356" s="3008" t="s">
        <v>3229</v>
      </c>
      <c r="C356" s="3008" t="s">
        <v>3159</v>
      </c>
      <c r="D356" s="3008" t="s">
        <v>3213</v>
      </c>
      <c r="E356" s="3008">
        <v>201</v>
      </c>
      <c r="F356" s="3008">
        <v>66.069999999999993</v>
      </c>
      <c r="G356" s="3017" t="s">
        <v>3055</v>
      </c>
      <c r="I356" s="3025">
        <v>19</v>
      </c>
      <c r="J356" s="3025">
        <v>6</v>
      </c>
      <c r="K356" s="3025">
        <v>1</v>
      </c>
      <c r="L356" s="3026" t="s">
        <v>3418</v>
      </c>
      <c r="M356" s="3025">
        <v>66.069999999999993</v>
      </c>
      <c r="N356" s="3023" t="s">
        <v>3248</v>
      </c>
    </row>
    <row r="357" spans="1:14" ht="14.25" thickBot="1">
      <c r="A357" s="3016">
        <v>356</v>
      </c>
      <c r="B357" s="3008" t="s">
        <v>3229</v>
      </c>
      <c r="C357" s="3008" t="s">
        <v>3159</v>
      </c>
      <c r="D357" s="3008" t="s">
        <v>3213</v>
      </c>
      <c r="E357" s="3008">
        <v>203</v>
      </c>
      <c r="F357" s="3008">
        <v>69.75</v>
      </c>
      <c r="G357" s="3017" t="s">
        <v>3055</v>
      </c>
      <c r="I357" s="3025">
        <v>19</v>
      </c>
      <c r="J357" s="3025">
        <v>5</v>
      </c>
      <c r="K357" s="3025">
        <v>1</v>
      </c>
      <c r="L357" s="3026" t="s">
        <v>3419</v>
      </c>
      <c r="M357" s="3025">
        <v>66.069999999999993</v>
      </c>
      <c r="N357" s="3023" t="s">
        <v>3248</v>
      </c>
    </row>
    <row r="358" spans="1:14" ht="14.25" thickBot="1">
      <c r="A358" s="3016">
        <v>357</v>
      </c>
      <c r="B358" s="3008" t="s">
        <v>3229</v>
      </c>
      <c r="C358" s="3008" t="s">
        <v>3159</v>
      </c>
      <c r="D358" s="3008" t="s">
        <v>3213</v>
      </c>
      <c r="E358" s="3008">
        <v>205</v>
      </c>
      <c r="F358" s="3008">
        <v>69.75</v>
      </c>
      <c r="G358" s="3017" t="s">
        <v>3055</v>
      </c>
      <c r="I358" s="3025">
        <v>19</v>
      </c>
      <c r="J358" s="3025">
        <v>4</v>
      </c>
      <c r="K358" s="3025">
        <v>1</v>
      </c>
      <c r="L358" s="3026" t="s">
        <v>3421</v>
      </c>
      <c r="M358" s="3025">
        <v>69.56</v>
      </c>
      <c r="N358" s="3023" t="s">
        <v>3248</v>
      </c>
    </row>
    <row r="359" spans="1:14" ht="14.25" thickBot="1">
      <c r="A359" s="3016">
        <v>358</v>
      </c>
      <c r="B359" s="3008" t="s">
        <v>3229</v>
      </c>
      <c r="C359" s="3008" t="s">
        <v>3159</v>
      </c>
      <c r="D359" s="3008" t="s">
        <v>3213</v>
      </c>
      <c r="E359" s="3008">
        <v>207</v>
      </c>
      <c r="F359" s="3008">
        <v>94.74</v>
      </c>
      <c r="G359" s="3017" t="s">
        <v>3055</v>
      </c>
      <c r="I359" s="3025">
        <v>19</v>
      </c>
      <c r="J359" s="3025">
        <v>4</v>
      </c>
      <c r="K359" s="3025">
        <v>1</v>
      </c>
      <c r="L359" s="3026" t="s">
        <v>3422</v>
      </c>
      <c r="M359" s="3025">
        <v>69.56</v>
      </c>
      <c r="N359" s="3023" t="s">
        <v>3248</v>
      </c>
    </row>
    <row r="360" spans="1:14" ht="14.25" thickBot="1">
      <c r="A360" s="3016">
        <v>359</v>
      </c>
      <c r="B360" s="3008" t="s">
        <v>3229</v>
      </c>
      <c r="C360" s="3008" t="s">
        <v>3159</v>
      </c>
      <c r="D360" s="3008" t="s">
        <v>3215</v>
      </c>
      <c r="E360" s="3008">
        <v>203</v>
      </c>
      <c r="F360" s="3008">
        <v>69.75</v>
      </c>
      <c r="G360" s="3017" t="s">
        <v>3055</v>
      </c>
      <c r="I360" s="3025">
        <v>19</v>
      </c>
      <c r="J360" s="3025">
        <v>4</v>
      </c>
      <c r="K360" s="3025">
        <v>1</v>
      </c>
      <c r="L360" s="3026" t="s">
        <v>3423</v>
      </c>
      <c r="M360" s="3025">
        <v>66.069999999999993</v>
      </c>
      <c r="N360" s="3023" t="s">
        <v>3248</v>
      </c>
    </row>
    <row r="361" spans="1:14" ht="14.25" thickBot="1">
      <c r="A361" s="3016">
        <v>360</v>
      </c>
      <c r="B361" s="3008" t="s">
        <v>3229</v>
      </c>
      <c r="C361" s="3008" t="s">
        <v>3159</v>
      </c>
      <c r="D361" s="3008" t="s">
        <v>3215</v>
      </c>
      <c r="E361" s="3008">
        <v>207</v>
      </c>
      <c r="F361" s="3008">
        <v>66.069999999999993</v>
      </c>
      <c r="G361" s="3017" t="s">
        <v>3055</v>
      </c>
      <c r="I361" s="3025">
        <v>19</v>
      </c>
      <c r="J361" s="3025">
        <v>3</v>
      </c>
      <c r="K361" s="3025">
        <v>1</v>
      </c>
      <c r="L361" s="3026" t="s">
        <v>3424</v>
      </c>
      <c r="M361" s="3025">
        <v>66.069999999999993</v>
      </c>
      <c r="N361" s="3023" t="s">
        <v>3248</v>
      </c>
    </row>
    <row r="362" spans="1:14" ht="14.25" thickBot="1">
      <c r="A362" s="3016">
        <v>361</v>
      </c>
      <c r="B362" s="3008" t="s">
        <v>3229</v>
      </c>
      <c r="C362" s="3008" t="s">
        <v>3153</v>
      </c>
      <c r="D362" s="3008" t="s">
        <v>3213</v>
      </c>
      <c r="E362" s="3008">
        <v>303</v>
      </c>
      <c r="F362" s="3008">
        <v>69.75</v>
      </c>
      <c r="G362" s="3017" t="s">
        <v>3055</v>
      </c>
      <c r="I362" s="3025">
        <v>19</v>
      </c>
      <c r="J362" s="3025">
        <v>2</v>
      </c>
      <c r="K362" s="3025">
        <v>1</v>
      </c>
      <c r="L362" s="3026" t="s">
        <v>3425</v>
      </c>
      <c r="M362" s="3025">
        <v>69.56</v>
      </c>
      <c r="N362" s="3023" t="s">
        <v>3248</v>
      </c>
    </row>
    <row r="363" spans="1:14" ht="14.25" thickBot="1">
      <c r="A363" s="3016">
        <v>362</v>
      </c>
      <c r="B363" s="3008" t="s">
        <v>3229</v>
      </c>
      <c r="C363" s="3008" t="s">
        <v>3153</v>
      </c>
      <c r="D363" s="3008" t="s">
        <v>3213</v>
      </c>
      <c r="E363" s="3008">
        <v>305</v>
      </c>
      <c r="F363" s="3008">
        <v>69.75</v>
      </c>
      <c r="G363" s="3017" t="s">
        <v>3055</v>
      </c>
      <c r="I363" s="3025">
        <v>19</v>
      </c>
      <c r="J363" s="3025">
        <v>2</v>
      </c>
      <c r="K363" s="3025">
        <v>1</v>
      </c>
      <c r="L363" s="3026" t="s">
        <v>3426</v>
      </c>
      <c r="M363" s="3025">
        <v>69.56</v>
      </c>
      <c r="N363" s="3023" t="s">
        <v>3248</v>
      </c>
    </row>
    <row r="364" spans="1:14" ht="14.25" thickBot="1">
      <c r="A364" s="3016">
        <v>363</v>
      </c>
      <c r="B364" s="3008" t="s">
        <v>3229</v>
      </c>
      <c r="C364" s="3008" t="s">
        <v>3153</v>
      </c>
      <c r="D364" s="3008" t="s">
        <v>3213</v>
      </c>
      <c r="E364" s="3008">
        <v>306</v>
      </c>
      <c r="F364" s="3008">
        <v>69.56</v>
      </c>
      <c r="G364" s="3017" t="s">
        <v>3055</v>
      </c>
    </row>
    <row r="365" spans="1:14" ht="14.25" thickBot="1">
      <c r="A365" s="3016">
        <v>364</v>
      </c>
      <c r="B365" s="3008" t="s">
        <v>3229</v>
      </c>
      <c r="C365" s="3008" t="s">
        <v>3153</v>
      </c>
      <c r="D365" s="3008" t="s">
        <v>3215</v>
      </c>
      <c r="E365" s="3008">
        <v>307</v>
      </c>
      <c r="F365" s="3008">
        <v>66.069999999999993</v>
      </c>
      <c r="G365" s="3017" t="s">
        <v>3055</v>
      </c>
    </row>
    <row r="366" spans="1:14" ht="14.25" thickBot="1">
      <c r="A366" s="3016">
        <v>365</v>
      </c>
      <c r="B366" s="3008" t="s">
        <v>3229</v>
      </c>
      <c r="C366" s="3008" t="s">
        <v>3156</v>
      </c>
      <c r="D366" s="3008" t="s">
        <v>3213</v>
      </c>
      <c r="E366" s="3008" t="s">
        <v>3148</v>
      </c>
      <c r="F366" s="3008">
        <v>69.75</v>
      </c>
      <c r="G366" s="3017" t="s">
        <v>3055</v>
      </c>
    </row>
    <row r="367" spans="1:14" ht="14.25" thickBot="1">
      <c r="A367" s="3016">
        <v>366</v>
      </c>
      <c r="B367" s="3008" t="s">
        <v>3229</v>
      </c>
      <c r="C367" s="3008" t="s">
        <v>3156</v>
      </c>
      <c r="D367" s="3008" t="s">
        <v>3213</v>
      </c>
      <c r="E367" s="3008" t="s">
        <v>3150</v>
      </c>
      <c r="F367" s="3008">
        <v>94.74</v>
      </c>
      <c r="G367" s="3017" t="s">
        <v>3055</v>
      </c>
    </row>
    <row r="368" spans="1:14" ht="14.25" thickBot="1">
      <c r="A368" s="3016">
        <v>367</v>
      </c>
      <c r="B368" s="3008" t="s">
        <v>3229</v>
      </c>
      <c r="C368" s="3008" t="s">
        <v>3156</v>
      </c>
      <c r="D368" s="3008" t="s">
        <v>3215</v>
      </c>
      <c r="E368" s="3008" t="s">
        <v>3146</v>
      </c>
      <c r="F368" s="3008">
        <v>69.56</v>
      </c>
      <c r="G368" s="3017" t="s">
        <v>3055</v>
      </c>
    </row>
    <row r="369" spans="1:14" ht="14.25" thickBot="1">
      <c r="A369" s="3016">
        <v>368</v>
      </c>
      <c r="B369" s="3008" t="s">
        <v>3229</v>
      </c>
      <c r="C369" s="3008" t="s">
        <v>3156</v>
      </c>
      <c r="D369" s="3008" t="s">
        <v>3215</v>
      </c>
      <c r="E369" s="3008" t="s">
        <v>3147</v>
      </c>
      <c r="F369" s="3008">
        <v>69.75</v>
      </c>
      <c r="G369" s="3017" t="s">
        <v>3055</v>
      </c>
    </row>
    <row r="370" spans="1:14" ht="14.25" thickBot="1">
      <c r="A370" s="3016">
        <v>369</v>
      </c>
      <c r="B370" s="3008" t="s">
        <v>3229</v>
      </c>
      <c r="C370" s="3008" t="s">
        <v>3156</v>
      </c>
      <c r="D370" s="3008" t="s">
        <v>3215</v>
      </c>
      <c r="E370" s="3008" t="s">
        <v>3149</v>
      </c>
      <c r="F370" s="3008">
        <v>69.56</v>
      </c>
      <c r="G370" s="3017" t="s">
        <v>3055</v>
      </c>
    </row>
    <row r="371" spans="1:14" ht="14.25" thickBot="1">
      <c r="A371" s="3016">
        <v>370</v>
      </c>
      <c r="B371" s="3008" t="s">
        <v>3229</v>
      </c>
      <c r="C371" s="3008" t="s">
        <v>3157</v>
      </c>
      <c r="D371" s="3008" t="s">
        <v>3213</v>
      </c>
      <c r="E371" s="3008">
        <v>503</v>
      </c>
      <c r="F371" s="3008">
        <v>69.75</v>
      </c>
      <c r="G371" s="3017" t="s">
        <v>3055</v>
      </c>
    </row>
    <row r="372" spans="1:14" ht="14.25" thickBot="1">
      <c r="A372" s="3016">
        <v>371</v>
      </c>
      <c r="B372" s="3008" t="s">
        <v>3229</v>
      </c>
      <c r="C372" s="3008" t="s">
        <v>3157</v>
      </c>
      <c r="D372" s="3008" t="s">
        <v>3213</v>
      </c>
      <c r="E372" s="3008">
        <v>505</v>
      </c>
      <c r="F372" s="3008">
        <v>69.75</v>
      </c>
      <c r="G372" s="3017" t="s">
        <v>3055</v>
      </c>
    </row>
    <row r="373" spans="1:14" ht="14.25" thickBot="1">
      <c r="A373" s="3016">
        <v>372</v>
      </c>
      <c r="B373" s="3008" t="s">
        <v>3229</v>
      </c>
      <c r="C373" s="3008" t="s">
        <v>3157</v>
      </c>
      <c r="D373" s="3008" t="s">
        <v>3213</v>
      </c>
      <c r="E373" s="3008">
        <v>506</v>
      </c>
      <c r="F373" s="3008">
        <v>69.56</v>
      </c>
      <c r="G373" s="3017" t="s">
        <v>3055</v>
      </c>
    </row>
    <row r="374" spans="1:14" ht="14.25" thickBot="1">
      <c r="A374" s="3016">
        <v>373</v>
      </c>
      <c r="B374" s="3008" t="s">
        <v>3229</v>
      </c>
      <c r="C374" s="3008" t="s">
        <v>3157</v>
      </c>
      <c r="D374" s="3008" t="s">
        <v>3213</v>
      </c>
      <c r="E374" s="3008">
        <v>507</v>
      </c>
      <c r="F374" s="3008">
        <v>94.74</v>
      </c>
      <c r="G374" s="3017" t="s">
        <v>3055</v>
      </c>
    </row>
    <row r="375" spans="1:14" ht="14.25" thickBot="1">
      <c r="A375" s="3016">
        <v>374</v>
      </c>
      <c r="B375" s="3008" t="s">
        <v>3229</v>
      </c>
      <c r="C375" s="3008" t="s">
        <v>3157</v>
      </c>
      <c r="D375" s="3008" t="s">
        <v>3215</v>
      </c>
      <c r="E375" s="3008">
        <v>502</v>
      </c>
      <c r="F375" s="3008">
        <v>69.56</v>
      </c>
      <c r="G375" s="3017" t="s">
        <v>3055</v>
      </c>
    </row>
    <row r="376" spans="1:14" ht="14.25" thickBot="1">
      <c r="A376" s="3016">
        <v>375</v>
      </c>
      <c r="B376" s="3008" t="s">
        <v>3229</v>
      </c>
      <c r="C376" s="3008" t="s">
        <v>3157</v>
      </c>
      <c r="D376" s="3008" t="s">
        <v>3215</v>
      </c>
      <c r="E376" s="3008">
        <v>503</v>
      </c>
      <c r="F376" s="3008">
        <v>69.75</v>
      </c>
      <c r="G376" s="3017" t="s">
        <v>3055</v>
      </c>
    </row>
    <row r="377" spans="1:14" ht="14.25" thickBot="1">
      <c r="A377" s="3016">
        <v>376</v>
      </c>
      <c r="B377" s="3008" t="s">
        <v>3229</v>
      </c>
      <c r="C377" s="3008" t="s">
        <v>3157</v>
      </c>
      <c r="D377" s="3008" t="s">
        <v>3215</v>
      </c>
      <c r="E377" s="3008">
        <v>505</v>
      </c>
      <c r="F377" s="3008">
        <v>69.75</v>
      </c>
      <c r="G377" s="3017" t="s">
        <v>3055</v>
      </c>
    </row>
    <row r="378" spans="1:14" ht="14.25" thickBot="1">
      <c r="A378" s="3016">
        <v>377</v>
      </c>
      <c r="B378" s="3008" t="s">
        <v>3229</v>
      </c>
      <c r="C378" s="3008" t="s">
        <v>3157</v>
      </c>
      <c r="D378" s="3008" t="s">
        <v>3215</v>
      </c>
      <c r="E378" s="3008">
        <v>506</v>
      </c>
      <c r="F378" s="3008">
        <v>69.56</v>
      </c>
      <c r="G378" s="3017" t="s">
        <v>3055</v>
      </c>
    </row>
    <row r="379" spans="1:14" ht="14.25" thickBot="1">
      <c r="A379" s="3016">
        <v>378</v>
      </c>
      <c r="B379" s="3008" t="s">
        <v>3229</v>
      </c>
      <c r="C379" s="3008" t="s">
        <v>3157</v>
      </c>
      <c r="D379" s="3008" t="s">
        <v>3215</v>
      </c>
      <c r="E379" s="3008">
        <v>507</v>
      </c>
      <c r="F379" s="3008">
        <v>66.069999999999993</v>
      </c>
      <c r="G379" s="3017" t="s">
        <v>3055</v>
      </c>
    </row>
    <row r="380" spans="1:14" ht="14.25" thickBot="1">
      <c r="A380" s="3016">
        <v>379</v>
      </c>
      <c r="B380" s="3008" t="s">
        <v>3229</v>
      </c>
      <c r="C380" s="3008" t="s">
        <v>3158</v>
      </c>
      <c r="D380" s="3008" t="s">
        <v>3213</v>
      </c>
      <c r="E380" s="3008">
        <v>606</v>
      </c>
      <c r="F380" s="3008">
        <v>69.56</v>
      </c>
      <c r="G380" s="3017" t="s">
        <v>3055</v>
      </c>
    </row>
    <row r="381" spans="1:14" ht="14.25" thickBot="1">
      <c r="A381" s="3016">
        <v>380</v>
      </c>
      <c r="B381" s="3008" t="s">
        <v>3230</v>
      </c>
      <c r="C381" s="3008" t="s">
        <v>3152</v>
      </c>
      <c r="D381" s="3008" t="s">
        <v>3213</v>
      </c>
      <c r="E381" s="3008">
        <v>101</v>
      </c>
      <c r="F381" s="3008">
        <v>65.67</v>
      </c>
      <c r="G381" s="3017" t="s">
        <v>3055</v>
      </c>
      <c r="I381" s="3025">
        <v>20</v>
      </c>
      <c r="J381" s="3025">
        <v>6</v>
      </c>
      <c r="K381" s="3025">
        <v>2</v>
      </c>
      <c r="L381" s="3026" t="s">
        <v>3427</v>
      </c>
      <c r="M381" s="3025">
        <v>65.510000000000005</v>
      </c>
      <c r="N381" s="3023" t="s">
        <v>3248</v>
      </c>
    </row>
    <row r="382" spans="1:14" ht="14.25" thickBot="1">
      <c r="A382" s="3016">
        <v>381</v>
      </c>
      <c r="B382" s="3008" t="s">
        <v>3230</v>
      </c>
      <c r="C382" s="3008" t="s">
        <v>3152</v>
      </c>
      <c r="D382" s="3008" t="s">
        <v>3213</v>
      </c>
      <c r="E382" s="3008">
        <v>102</v>
      </c>
      <c r="F382" s="3008">
        <v>68.94</v>
      </c>
      <c r="G382" s="3017" t="s">
        <v>3055</v>
      </c>
      <c r="I382" s="3025">
        <v>20</v>
      </c>
      <c r="J382" s="3025">
        <v>6</v>
      </c>
      <c r="K382" s="3025">
        <v>2</v>
      </c>
      <c r="L382" s="3026" t="s">
        <v>3428</v>
      </c>
      <c r="M382" s="3025">
        <v>93.91</v>
      </c>
      <c r="N382" s="3023" t="s">
        <v>3248</v>
      </c>
    </row>
    <row r="383" spans="1:14" ht="14.25" thickBot="1">
      <c r="A383" s="3016">
        <v>382</v>
      </c>
      <c r="B383" s="3008" t="s">
        <v>3230</v>
      </c>
      <c r="C383" s="3008" t="s">
        <v>3152</v>
      </c>
      <c r="D383" s="3008" t="s">
        <v>3213</v>
      </c>
      <c r="E383" s="3008">
        <v>103</v>
      </c>
      <c r="F383" s="3008">
        <v>69.290000000000006</v>
      </c>
      <c r="G383" s="3017" t="s">
        <v>3055</v>
      </c>
      <c r="I383" s="3025">
        <v>20</v>
      </c>
      <c r="J383" s="3025">
        <v>5</v>
      </c>
      <c r="K383" s="3025">
        <v>2</v>
      </c>
      <c r="L383" s="3026" t="s">
        <v>3429</v>
      </c>
      <c r="M383" s="3025">
        <v>69.290000000000006</v>
      </c>
      <c r="N383" s="3023" t="s">
        <v>3248</v>
      </c>
    </row>
    <row r="384" spans="1:14" ht="14.25" thickBot="1">
      <c r="A384" s="3016">
        <v>383</v>
      </c>
      <c r="B384" s="3008" t="s">
        <v>3230</v>
      </c>
      <c r="C384" s="3008" t="s">
        <v>3152</v>
      </c>
      <c r="D384" s="3008" t="s">
        <v>3213</v>
      </c>
      <c r="E384" s="3008">
        <v>105</v>
      </c>
      <c r="F384" s="3008">
        <v>69.290000000000006</v>
      </c>
      <c r="G384" s="3017" t="s">
        <v>3055</v>
      </c>
      <c r="I384" s="3025">
        <v>20</v>
      </c>
      <c r="J384" s="3025">
        <v>5</v>
      </c>
      <c r="K384" s="3025">
        <v>2</v>
      </c>
      <c r="L384" s="3026" t="s">
        <v>3430</v>
      </c>
      <c r="M384" s="3025">
        <v>69.290000000000006</v>
      </c>
      <c r="N384" s="3023" t="s">
        <v>3248</v>
      </c>
    </row>
    <row r="385" spans="1:14" ht="14.25" thickBot="1">
      <c r="A385" s="3016">
        <v>384</v>
      </c>
      <c r="B385" s="3008" t="s">
        <v>3230</v>
      </c>
      <c r="C385" s="3008" t="s">
        <v>3152</v>
      </c>
      <c r="D385" s="3008" t="s">
        <v>3213</v>
      </c>
      <c r="E385" s="3008">
        <v>106</v>
      </c>
      <c r="F385" s="3008">
        <v>68.94</v>
      </c>
      <c r="G385" s="3017" t="s">
        <v>3055</v>
      </c>
      <c r="I385" s="3025">
        <v>20</v>
      </c>
      <c r="J385" s="3025">
        <v>5</v>
      </c>
      <c r="K385" s="3025">
        <v>2</v>
      </c>
      <c r="L385" s="3026" t="s">
        <v>3431</v>
      </c>
      <c r="M385" s="3025">
        <v>68.94</v>
      </c>
      <c r="N385" s="3023" t="s">
        <v>3248</v>
      </c>
    </row>
    <row r="386" spans="1:14" ht="14.25" thickBot="1">
      <c r="A386" s="3016">
        <v>385</v>
      </c>
      <c r="B386" s="3008" t="s">
        <v>3230</v>
      </c>
      <c r="C386" s="3008" t="s">
        <v>3152</v>
      </c>
      <c r="D386" s="3008" t="s">
        <v>3213</v>
      </c>
      <c r="E386" s="3008">
        <v>107</v>
      </c>
      <c r="F386" s="3008">
        <v>94.13</v>
      </c>
      <c r="G386" s="3017" t="s">
        <v>3055</v>
      </c>
      <c r="I386" s="3025">
        <v>20</v>
      </c>
      <c r="J386" s="3025">
        <v>4</v>
      </c>
      <c r="K386" s="3025">
        <v>2</v>
      </c>
      <c r="L386" s="3026" t="s">
        <v>3432</v>
      </c>
      <c r="M386" s="3025">
        <v>68.94</v>
      </c>
      <c r="N386" s="3023" t="s">
        <v>3248</v>
      </c>
    </row>
    <row r="387" spans="1:14" ht="14.25" thickBot="1">
      <c r="A387" s="3016">
        <v>386</v>
      </c>
      <c r="B387" s="3008" t="s">
        <v>3230</v>
      </c>
      <c r="C387" s="3008" t="s">
        <v>3152</v>
      </c>
      <c r="D387" s="3008" t="s">
        <v>3215</v>
      </c>
      <c r="E387" s="3008">
        <v>101</v>
      </c>
      <c r="F387" s="3008">
        <v>94.13</v>
      </c>
      <c r="G387" s="3017" t="s">
        <v>3055</v>
      </c>
      <c r="I387" s="3025">
        <v>20</v>
      </c>
      <c r="J387" s="3025">
        <v>4</v>
      </c>
      <c r="K387" s="3025">
        <v>2</v>
      </c>
      <c r="L387" s="3026" t="s">
        <v>3433</v>
      </c>
      <c r="M387" s="3025">
        <v>69.290000000000006</v>
      </c>
      <c r="N387" s="3023" t="s">
        <v>3248</v>
      </c>
    </row>
    <row r="388" spans="1:14" ht="14.25" thickBot="1">
      <c r="A388" s="3016">
        <v>387</v>
      </c>
      <c r="B388" s="3008" t="s">
        <v>3230</v>
      </c>
      <c r="C388" s="3008" t="s">
        <v>3152</v>
      </c>
      <c r="D388" s="3008" t="s">
        <v>3215</v>
      </c>
      <c r="E388" s="3008">
        <v>103</v>
      </c>
      <c r="F388" s="3008">
        <v>69.290000000000006</v>
      </c>
      <c r="G388" s="3017" t="s">
        <v>3055</v>
      </c>
      <c r="I388" s="3025">
        <v>20</v>
      </c>
      <c r="J388" s="3025">
        <v>4</v>
      </c>
      <c r="K388" s="3025">
        <v>2</v>
      </c>
      <c r="L388" s="3026" t="s">
        <v>3434</v>
      </c>
      <c r="M388" s="3025">
        <v>68.94</v>
      </c>
      <c r="N388" s="3023" t="s">
        <v>3248</v>
      </c>
    </row>
    <row r="389" spans="1:14" ht="14.25" thickBot="1">
      <c r="A389" s="3016">
        <v>388</v>
      </c>
      <c r="B389" s="3008" t="s">
        <v>3230</v>
      </c>
      <c r="C389" s="3008" t="s">
        <v>3152</v>
      </c>
      <c r="D389" s="3008" t="s">
        <v>3215</v>
      </c>
      <c r="E389" s="3008">
        <v>105</v>
      </c>
      <c r="F389" s="3008">
        <v>69.290000000000006</v>
      </c>
      <c r="G389" s="3017" t="s">
        <v>3055</v>
      </c>
      <c r="I389" s="3025">
        <v>20</v>
      </c>
      <c r="J389" s="3025">
        <v>3</v>
      </c>
      <c r="K389" s="3025">
        <v>2</v>
      </c>
      <c r="L389" s="3026" t="s">
        <v>3435</v>
      </c>
      <c r="M389" s="3025">
        <v>69.290000000000006</v>
      </c>
      <c r="N389" s="3023" t="s">
        <v>3248</v>
      </c>
    </row>
    <row r="390" spans="1:14" ht="14.25" thickBot="1">
      <c r="A390" s="3016">
        <v>389</v>
      </c>
      <c r="B390" s="3008" t="s">
        <v>3230</v>
      </c>
      <c r="C390" s="3008" t="s">
        <v>3152</v>
      </c>
      <c r="D390" s="3008" t="s">
        <v>3215</v>
      </c>
      <c r="E390" s="3008">
        <v>106</v>
      </c>
      <c r="F390" s="3008">
        <v>68.94</v>
      </c>
      <c r="G390" s="3017" t="s">
        <v>3055</v>
      </c>
      <c r="I390" s="3025">
        <v>20</v>
      </c>
      <c r="J390" s="3025">
        <v>3</v>
      </c>
      <c r="K390" s="3025">
        <v>2</v>
      </c>
      <c r="L390" s="3026" t="s">
        <v>3436</v>
      </c>
      <c r="M390" s="3025">
        <v>69.290000000000006</v>
      </c>
      <c r="N390" s="3023" t="s">
        <v>3248</v>
      </c>
    </row>
    <row r="391" spans="1:14" ht="14.25" thickBot="1">
      <c r="A391" s="3016">
        <v>390</v>
      </c>
      <c r="B391" s="3008" t="s">
        <v>3230</v>
      </c>
      <c r="C391" s="3008" t="s">
        <v>3152</v>
      </c>
      <c r="D391" s="3008" t="s">
        <v>3215</v>
      </c>
      <c r="E391" s="3008">
        <v>107</v>
      </c>
      <c r="F391" s="3008">
        <v>65.67</v>
      </c>
      <c r="G391" s="3017" t="s">
        <v>3055</v>
      </c>
      <c r="I391" s="3025">
        <v>20</v>
      </c>
      <c r="J391" s="3025">
        <v>3</v>
      </c>
      <c r="K391" s="3025">
        <v>2</v>
      </c>
      <c r="L391" s="3026" t="s">
        <v>3437</v>
      </c>
      <c r="M391" s="3025">
        <v>68.94</v>
      </c>
      <c r="N391" s="3023" t="s">
        <v>3248</v>
      </c>
    </row>
    <row r="392" spans="1:14" ht="14.25" thickBot="1">
      <c r="A392" s="3016">
        <v>391</v>
      </c>
      <c r="B392" s="3008" t="s">
        <v>3230</v>
      </c>
      <c r="C392" s="3008" t="s">
        <v>3159</v>
      </c>
      <c r="D392" s="3008" t="s">
        <v>3213</v>
      </c>
      <c r="E392" s="3008">
        <v>201</v>
      </c>
      <c r="F392" s="3008">
        <v>65.510000000000005</v>
      </c>
      <c r="G392" s="3017" t="s">
        <v>3055</v>
      </c>
      <c r="I392" s="3025">
        <v>20</v>
      </c>
      <c r="J392" s="3025">
        <v>3</v>
      </c>
      <c r="K392" s="3025">
        <v>2</v>
      </c>
      <c r="L392" s="3026" t="s">
        <v>3439</v>
      </c>
      <c r="M392" s="3025">
        <v>93.91</v>
      </c>
      <c r="N392" s="3023" t="s">
        <v>3248</v>
      </c>
    </row>
    <row r="393" spans="1:14" ht="14.25" thickBot="1">
      <c r="A393" s="3016">
        <v>392</v>
      </c>
      <c r="B393" s="3008" t="s">
        <v>3230</v>
      </c>
      <c r="C393" s="3008" t="s">
        <v>3159</v>
      </c>
      <c r="D393" s="3008" t="s">
        <v>3215</v>
      </c>
      <c r="E393" s="3008">
        <v>207</v>
      </c>
      <c r="F393" s="3008">
        <v>65.510000000000005</v>
      </c>
      <c r="G393" s="3017" t="s">
        <v>3055</v>
      </c>
      <c r="I393" s="3025">
        <v>20</v>
      </c>
      <c r="J393" s="3025">
        <v>2</v>
      </c>
      <c r="K393" s="3025">
        <v>2</v>
      </c>
      <c r="L393" s="3026" t="s">
        <v>3440</v>
      </c>
      <c r="M393" s="3025">
        <v>68.94</v>
      </c>
      <c r="N393" s="3023" t="s">
        <v>3248</v>
      </c>
    </row>
    <row r="394" spans="1:14" ht="14.25" thickBot="1">
      <c r="A394" s="3016">
        <v>393</v>
      </c>
      <c r="B394" s="3008" t="s">
        <v>3230</v>
      </c>
      <c r="C394" s="3008" t="s">
        <v>3153</v>
      </c>
      <c r="D394" s="3008" t="s">
        <v>3213</v>
      </c>
      <c r="E394" s="3008">
        <v>301</v>
      </c>
      <c r="F394" s="3008">
        <v>65.510000000000005</v>
      </c>
      <c r="G394" s="3017" t="s">
        <v>3055</v>
      </c>
      <c r="I394" s="3025">
        <v>20</v>
      </c>
      <c r="J394" s="3025">
        <v>2</v>
      </c>
      <c r="K394" s="3025">
        <v>2</v>
      </c>
      <c r="L394" s="3026" t="s">
        <v>3441</v>
      </c>
      <c r="M394" s="3025">
        <v>69.290000000000006</v>
      </c>
      <c r="N394" s="3023" t="s">
        <v>3248</v>
      </c>
    </row>
    <row r="395" spans="1:14" ht="14.25" thickBot="1">
      <c r="A395" s="3016">
        <v>394</v>
      </c>
      <c r="B395" s="3008" t="s">
        <v>3230</v>
      </c>
      <c r="C395" s="3008" t="s">
        <v>3153</v>
      </c>
      <c r="D395" s="3008" t="s">
        <v>3213</v>
      </c>
      <c r="E395" s="3008">
        <v>302</v>
      </c>
      <c r="F395" s="3008">
        <v>68.94</v>
      </c>
      <c r="G395" s="3017" t="s">
        <v>3055</v>
      </c>
      <c r="I395" s="3025">
        <v>20</v>
      </c>
      <c r="J395" s="3025">
        <v>2</v>
      </c>
      <c r="K395" s="3025">
        <v>2</v>
      </c>
      <c r="L395" s="3026" t="s">
        <v>3443</v>
      </c>
      <c r="M395" s="3025">
        <v>69.290000000000006</v>
      </c>
      <c r="N395" s="3023" t="s">
        <v>3248</v>
      </c>
    </row>
    <row r="396" spans="1:14" ht="14.25" thickBot="1">
      <c r="A396" s="3016">
        <v>395</v>
      </c>
      <c r="B396" s="3008" t="s">
        <v>3230</v>
      </c>
      <c r="C396" s="3008" t="s">
        <v>3153</v>
      </c>
      <c r="D396" s="3008" t="s">
        <v>3215</v>
      </c>
      <c r="E396" s="3008">
        <v>306</v>
      </c>
      <c r="F396" s="3008">
        <v>68.94</v>
      </c>
      <c r="G396" s="3017" t="s">
        <v>3055</v>
      </c>
      <c r="I396" s="3025">
        <v>20</v>
      </c>
      <c r="J396" s="3025">
        <v>2</v>
      </c>
      <c r="K396" s="3025">
        <v>2</v>
      </c>
      <c r="L396" s="3026" t="s">
        <v>3444</v>
      </c>
      <c r="M396" s="3025">
        <v>68.94</v>
      </c>
      <c r="N396" s="3023" t="s">
        <v>3248</v>
      </c>
    </row>
    <row r="397" spans="1:14" ht="14.25" thickBot="1">
      <c r="A397" s="3016">
        <v>396</v>
      </c>
      <c r="B397" s="3008" t="s">
        <v>3230</v>
      </c>
      <c r="C397" s="3008" t="s">
        <v>3156</v>
      </c>
      <c r="D397" s="3008" t="s">
        <v>3213</v>
      </c>
      <c r="E397" s="3008" t="s">
        <v>3150</v>
      </c>
      <c r="F397" s="3008">
        <v>93.91</v>
      </c>
      <c r="G397" s="3017" t="s">
        <v>3055</v>
      </c>
      <c r="I397" s="3025">
        <v>20</v>
      </c>
      <c r="J397" s="3025">
        <v>2</v>
      </c>
      <c r="K397" s="3025">
        <v>2</v>
      </c>
      <c r="L397" s="3026" t="s">
        <v>3445</v>
      </c>
      <c r="M397" s="3025">
        <v>93.91</v>
      </c>
      <c r="N397" s="3023" t="s">
        <v>3248</v>
      </c>
    </row>
    <row r="398" spans="1:14" ht="14.25" thickBot="1">
      <c r="A398" s="3016">
        <v>397</v>
      </c>
      <c r="B398" s="3008" t="s">
        <v>3230</v>
      </c>
      <c r="C398" s="3008" t="s">
        <v>3156</v>
      </c>
      <c r="D398" s="3008" t="s">
        <v>3215</v>
      </c>
      <c r="E398" s="3008" t="s">
        <v>3150</v>
      </c>
      <c r="F398" s="3008">
        <v>65.510000000000005</v>
      </c>
      <c r="G398" s="3017" t="s">
        <v>3055</v>
      </c>
      <c r="I398" s="3025">
        <v>20</v>
      </c>
      <c r="J398" s="3025">
        <v>1</v>
      </c>
      <c r="K398" s="3025">
        <v>2</v>
      </c>
      <c r="L398" s="3026" t="s">
        <v>3446</v>
      </c>
      <c r="M398" s="3025">
        <v>68.94</v>
      </c>
      <c r="N398" s="3023" t="s">
        <v>3248</v>
      </c>
    </row>
    <row r="399" spans="1:14" ht="14.25" thickBot="1">
      <c r="A399" s="3016">
        <v>398</v>
      </c>
      <c r="B399" s="3008" t="s">
        <v>3230</v>
      </c>
      <c r="C399" s="3008" t="s">
        <v>3157</v>
      </c>
      <c r="D399" s="3008" t="s">
        <v>3213</v>
      </c>
      <c r="E399" s="3008">
        <v>507</v>
      </c>
      <c r="F399" s="3008">
        <v>93.91</v>
      </c>
      <c r="G399" s="3017" t="s">
        <v>3055</v>
      </c>
      <c r="I399" s="3025">
        <v>20</v>
      </c>
      <c r="J399" s="3025">
        <v>6</v>
      </c>
      <c r="K399" s="3025">
        <v>1</v>
      </c>
      <c r="L399" s="3026" t="s">
        <v>3447</v>
      </c>
      <c r="M399" s="3025">
        <v>93.91</v>
      </c>
      <c r="N399" s="3023" t="s">
        <v>3248</v>
      </c>
    </row>
    <row r="400" spans="1:14" ht="14.25" thickBot="1">
      <c r="A400" s="3016">
        <v>399</v>
      </c>
      <c r="B400" s="3008" t="s">
        <v>3230</v>
      </c>
      <c r="C400" s="3008" t="s">
        <v>3157</v>
      </c>
      <c r="D400" s="3008" t="s">
        <v>3215</v>
      </c>
      <c r="E400" s="3008">
        <v>501</v>
      </c>
      <c r="F400" s="3008">
        <v>93.91</v>
      </c>
      <c r="G400" s="3017" t="s">
        <v>3055</v>
      </c>
      <c r="I400" s="3025">
        <v>20</v>
      </c>
      <c r="J400" s="3025">
        <v>6</v>
      </c>
      <c r="K400" s="3025">
        <v>1</v>
      </c>
      <c r="L400" s="3026" t="s">
        <v>3448</v>
      </c>
      <c r="M400" s="3025">
        <v>68.94</v>
      </c>
      <c r="N400" s="3023" t="s">
        <v>3248</v>
      </c>
    </row>
    <row r="401" spans="1:14" ht="14.25" thickBot="1">
      <c r="A401" s="3016">
        <v>400</v>
      </c>
      <c r="B401" s="3008" t="s">
        <v>3230</v>
      </c>
      <c r="C401" s="3008" t="s">
        <v>3157</v>
      </c>
      <c r="D401" s="3008" t="s">
        <v>3215</v>
      </c>
      <c r="E401" s="3008">
        <v>506</v>
      </c>
      <c r="F401" s="3008">
        <v>68.94</v>
      </c>
      <c r="G401" s="3017" t="s">
        <v>3055</v>
      </c>
      <c r="I401" s="3025">
        <v>20</v>
      </c>
      <c r="J401" s="3025">
        <v>6</v>
      </c>
      <c r="K401" s="3025">
        <v>1</v>
      </c>
      <c r="L401" s="3026" t="s">
        <v>3449</v>
      </c>
      <c r="M401" s="3025">
        <v>65.510000000000005</v>
      </c>
      <c r="N401" s="3023" t="s">
        <v>3248</v>
      </c>
    </row>
    <row r="402" spans="1:14" ht="14.25" thickBot="1">
      <c r="A402" s="3016">
        <v>401</v>
      </c>
      <c r="B402" s="3008" t="s">
        <v>3230</v>
      </c>
      <c r="C402" s="3008" t="s">
        <v>3157</v>
      </c>
      <c r="D402" s="3008" t="s">
        <v>3215</v>
      </c>
      <c r="E402" s="3008">
        <v>507</v>
      </c>
      <c r="F402" s="3008">
        <v>65.510000000000005</v>
      </c>
      <c r="G402" s="3017" t="s">
        <v>3055</v>
      </c>
      <c r="I402" s="3025">
        <v>20</v>
      </c>
      <c r="J402" s="3025">
        <v>5</v>
      </c>
      <c r="K402" s="3025">
        <v>1</v>
      </c>
      <c r="L402" s="3026" t="s">
        <v>3450</v>
      </c>
      <c r="M402" s="3025">
        <v>68.94</v>
      </c>
      <c r="N402" s="3023" t="s">
        <v>3248</v>
      </c>
    </row>
    <row r="403" spans="1:14" ht="14.25" thickBot="1">
      <c r="A403" s="3016">
        <v>402</v>
      </c>
      <c r="B403" s="3008" t="s">
        <v>3230</v>
      </c>
      <c r="C403" s="3008" t="s">
        <v>3158</v>
      </c>
      <c r="D403" s="3008" t="s">
        <v>3213</v>
      </c>
      <c r="E403" s="3008">
        <v>602</v>
      </c>
      <c r="F403" s="3008">
        <v>68.94</v>
      </c>
      <c r="G403" s="3017" t="s">
        <v>3055</v>
      </c>
      <c r="I403" s="3025">
        <v>20</v>
      </c>
      <c r="J403" s="3025">
        <v>5</v>
      </c>
      <c r="K403" s="3025">
        <v>1</v>
      </c>
      <c r="L403" s="3026" t="s">
        <v>3451</v>
      </c>
      <c r="M403" s="3025">
        <v>69.290000000000006</v>
      </c>
      <c r="N403" s="3023" t="s">
        <v>3248</v>
      </c>
    </row>
    <row r="404" spans="1:14" ht="14.25" thickBot="1">
      <c r="A404" s="3016">
        <v>403</v>
      </c>
      <c r="B404" s="3008" t="s">
        <v>3230</v>
      </c>
      <c r="C404" s="3008" t="s">
        <v>3158</v>
      </c>
      <c r="D404" s="3008" t="s">
        <v>3213</v>
      </c>
      <c r="E404" s="3008">
        <v>603</v>
      </c>
      <c r="F404" s="3008">
        <v>69.290000000000006</v>
      </c>
      <c r="G404" s="3017" t="s">
        <v>3055</v>
      </c>
      <c r="I404" s="3025">
        <v>20</v>
      </c>
      <c r="J404" s="3025">
        <v>5</v>
      </c>
      <c r="K404" s="3025">
        <v>1</v>
      </c>
      <c r="L404" s="3026" t="s">
        <v>3452</v>
      </c>
      <c r="M404" s="3025">
        <v>69.290000000000006</v>
      </c>
      <c r="N404" s="3023" t="s">
        <v>3248</v>
      </c>
    </row>
    <row r="405" spans="1:14" ht="14.25" thickBot="1">
      <c r="A405" s="3016">
        <v>404</v>
      </c>
      <c r="B405" s="3008" t="s">
        <v>3230</v>
      </c>
      <c r="C405" s="3008" t="s">
        <v>3158</v>
      </c>
      <c r="D405" s="3008" t="s">
        <v>3215</v>
      </c>
      <c r="E405" s="3008">
        <v>602</v>
      </c>
      <c r="F405" s="3008">
        <v>68.94</v>
      </c>
      <c r="G405" s="3017" t="s">
        <v>3055</v>
      </c>
      <c r="I405" s="3025">
        <v>20</v>
      </c>
      <c r="J405" s="3025">
        <v>5</v>
      </c>
      <c r="K405" s="3025">
        <v>1</v>
      </c>
      <c r="L405" s="3026" t="s">
        <v>3453</v>
      </c>
      <c r="M405" s="3025">
        <v>68.94</v>
      </c>
      <c r="N405" s="3023" t="s">
        <v>3248</v>
      </c>
    </row>
    <row r="406" spans="1:14" ht="14.25" thickBot="1">
      <c r="A406" s="3016">
        <v>405</v>
      </c>
      <c r="B406" s="3008" t="s">
        <v>3230</v>
      </c>
      <c r="C406" s="3008" t="s">
        <v>3158</v>
      </c>
      <c r="D406" s="3008" t="s">
        <v>3215</v>
      </c>
      <c r="E406" s="3008">
        <v>605</v>
      </c>
      <c r="F406" s="3008">
        <v>69.290000000000006</v>
      </c>
      <c r="G406" s="3017" t="s">
        <v>3055</v>
      </c>
      <c r="I406" s="3025">
        <v>20</v>
      </c>
      <c r="J406" s="3025">
        <v>5</v>
      </c>
      <c r="K406" s="3025">
        <v>1</v>
      </c>
      <c r="L406" s="3026" t="s">
        <v>3454</v>
      </c>
      <c r="M406" s="3025">
        <v>65.510000000000005</v>
      </c>
      <c r="N406" s="3023" t="s">
        <v>3248</v>
      </c>
    </row>
    <row r="407" spans="1:14" ht="14.25" thickBot="1">
      <c r="A407" s="3016">
        <v>406</v>
      </c>
      <c r="B407" s="3008" t="s">
        <v>3230</v>
      </c>
      <c r="C407" s="3008" t="s">
        <v>3158</v>
      </c>
      <c r="D407" s="3008" t="s">
        <v>3215</v>
      </c>
      <c r="E407" s="3008">
        <v>606</v>
      </c>
      <c r="F407" s="3008">
        <v>68.94</v>
      </c>
      <c r="G407" s="3017" t="s">
        <v>3055</v>
      </c>
      <c r="I407" s="3025">
        <v>20</v>
      </c>
      <c r="J407" s="3025">
        <v>4</v>
      </c>
      <c r="K407" s="3025">
        <v>1</v>
      </c>
      <c r="L407" s="3026" t="s">
        <v>3455</v>
      </c>
      <c r="M407" s="3025">
        <v>69.290000000000006</v>
      </c>
      <c r="N407" s="3023" t="s">
        <v>3248</v>
      </c>
    </row>
    <row r="408" spans="1:14" ht="14.25" thickBot="1">
      <c r="A408" s="3016">
        <v>407</v>
      </c>
      <c r="B408" s="3008" t="s">
        <v>3231</v>
      </c>
      <c r="C408" s="3008" t="s">
        <v>3152</v>
      </c>
      <c r="D408" s="3008" t="s">
        <v>70</v>
      </c>
      <c r="E408" s="3008">
        <v>101</v>
      </c>
      <c r="F408" s="3008">
        <v>93.93</v>
      </c>
      <c r="G408" s="3017" t="s">
        <v>3055</v>
      </c>
      <c r="I408" s="3025">
        <v>20</v>
      </c>
      <c r="J408" s="3025">
        <v>4</v>
      </c>
      <c r="K408" s="3025">
        <v>1</v>
      </c>
      <c r="L408" s="3026" t="s">
        <v>3456</v>
      </c>
      <c r="M408" s="3025">
        <v>69.290000000000006</v>
      </c>
      <c r="N408" s="3023" t="s">
        <v>3248</v>
      </c>
    </row>
    <row r="409" spans="1:14" ht="14.25" thickBot="1">
      <c r="A409" s="3016">
        <v>408</v>
      </c>
      <c r="B409" s="3008" t="s">
        <v>3231</v>
      </c>
      <c r="C409" s="3008" t="s">
        <v>3152</v>
      </c>
      <c r="D409" s="3008" t="s">
        <v>70</v>
      </c>
      <c r="E409" s="3008">
        <v>102</v>
      </c>
      <c r="F409" s="3008">
        <v>69.17</v>
      </c>
      <c r="G409" s="3017" t="s">
        <v>3055</v>
      </c>
      <c r="I409" s="3025">
        <v>20</v>
      </c>
      <c r="J409" s="3025">
        <v>4</v>
      </c>
      <c r="K409" s="3025">
        <v>1</v>
      </c>
      <c r="L409" s="3026" t="s">
        <v>3457</v>
      </c>
      <c r="M409" s="3025">
        <v>68.94</v>
      </c>
      <c r="N409" s="3023" t="s">
        <v>3248</v>
      </c>
    </row>
    <row r="410" spans="1:14" ht="14.25" thickBot="1">
      <c r="A410" s="3016">
        <v>409</v>
      </c>
      <c r="B410" s="3008" t="s">
        <v>3231</v>
      </c>
      <c r="C410" s="3008" t="s">
        <v>3152</v>
      </c>
      <c r="D410" s="3008" t="s">
        <v>70</v>
      </c>
      <c r="E410" s="3008">
        <v>103</v>
      </c>
      <c r="F410" s="3008">
        <v>69.27</v>
      </c>
      <c r="G410" s="3017" t="s">
        <v>3055</v>
      </c>
      <c r="I410" s="3025">
        <v>20</v>
      </c>
      <c r="J410" s="3025">
        <v>4</v>
      </c>
      <c r="K410" s="3025">
        <v>1</v>
      </c>
      <c r="L410" s="3026" t="s">
        <v>3458</v>
      </c>
      <c r="M410" s="3025">
        <v>65.510000000000005</v>
      </c>
      <c r="N410" s="3023" t="s">
        <v>3248</v>
      </c>
    </row>
    <row r="411" spans="1:14" ht="14.25" thickBot="1">
      <c r="A411" s="3016">
        <v>410</v>
      </c>
      <c r="B411" s="3008" t="s">
        <v>3231</v>
      </c>
      <c r="C411" s="3008" t="s">
        <v>3152</v>
      </c>
      <c r="D411" s="3008" t="s">
        <v>70</v>
      </c>
      <c r="E411" s="3008">
        <v>105</v>
      </c>
      <c r="F411" s="3008">
        <v>69.27</v>
      </c>
      <c r="G411" s="3017" t="s">
        <v>3055</v>
      </c>
      <c r="I411" s="3025">
        <v>20</v>
      </c>
      <c r="J411" s="3025">
        <v>3</v>
      </c>
      <c r="K411" s="3025">
        <v>1</v>
      </c>
      <c r="L411" s="3026" t="s">
        <v>3459</v>
      </c>
      <c r="M411" s="3025">
        <v>93.91</v>
      </c>
      <c r="N411" s="3023" t="s">
        <v>3248</v>
      </c>
    </row>
    <row r="412" spans="1:14" ht="14.25" thickBot="1">
      <c r="A412" s="3016">
        <v>411</v>
      </c>
      <c r="B412" s="3008" t="s">
        <v>3231</v>
      </c>
      <c r="C412" s="3008" t="s">
        <v>3152</v>
      </c>
      <c r="D412" s="3008" t="s">
        <v>70</v>
      </c>
      <c r="E412" s="3008">
        <v>106</v>
      </c>
      <c r="F412" s="3008">
        <v>68.95</v>
      </c>
      <c r="G412" s="3017" t="s">
        <v>3055</v>
      </c>
      <c r="I412" s="3025">
        <v>20</v>
      </c>
      <c r="J412" s="3025">
        <v>3</v>
      </c>
      <c r="K412" s="3025">
        <v>1</v>
      </c>
      <c r="L412" s="3026" t="s">
        <v>3460</v>
      </c>
      <c r="M412" s="3025">
        <v>68.94</v>
      </c>
      <c r="N412" s="3023" t="s">
        <v>3248</v>
      </c>
    </row>
    <row r="413" spans="1:14" ht="14.25" thickBot="1">
      <c r="A413" s="3016">
        <v>412</v>
      </c>
      <c r="B413" s="3008" t="s">
        <v>3231</v>
      </c>
      <c r="C413" s="3008" t="s">
        <v>3152</v>
      </c>
      <c r="D413" s="3008" t="s">
        <v>70</v>
      </c>
      <c r="E413" s="3008">
        <v>107</v>
      </c>
      <c r="F413" s="3008">
        <v>65.52</v>
      </c>
      <c r="G413" s="3017" t="s">
        <v>3055</v>
      </c>
      <c r="I413" s="3025">
        <v>20</v>
      </c>
      <c r="J413" s="3025">
        <v>3</v>
      </c>
      <c r="K413" s="3025">
        <v>1</v>
      </c>
      <c r="L413" s="3026" t="s">
        <v>3461</v>
      </c>
      <c r="M413" s="3025">
        <v>69.290000000000006</v>
      </c>
      <c r="N413" s="3023" t="s">
        <v>3248</v>
      </c>
    </row>
    <row r="414" spans="1:14" ht="14.25" thickBot="1">
      <c r="A414" s="3016">
        <v>413</v>
      </c>
      <c r="B414" s="3008" t="s">
        <v>3231</v>
      </c>
      <c r="C414" s="3008" t="s">
        <v>3153</v>
      </c>
      <c r="D414" s="3008" t="s">
        <v>70</v>
      </c>
      <c r="E414" s="3008">
        <v>307</v>
      </c>
      <c r="F414" s="3008">
        <v>65.52</v>
      </c>
      <c r="G414" s="3017" t="s">
        <v>3055</v>
      </c>
      <c r="I414" s="3025">
        <v>20</v>
      </c>
      <c r="J414" s="3025">
        <v>3</v>
      </c>
      <c r="K414" s="3025">
        <v>1</v>
      </c>
      <c r="L414" s="3026" t="s">
        <v>3462</v>
      </c>
      <c r="M414" s="3025">
        <v>69.290000000000006</v>
      </c>
      <c r="N414" s="3023" t="s">
        <v>3248</v>
      </c>
    </row>
    <row r="415" spans="1:14" ht="14.25" thickBot="1">
      <c r="A415" s="3016">
        <v>414</v>
      </c>
      <c r="B415" s="3008" t="s">
        <v>3231</v>
      </c>
      <c r="C415" s="3008" t="s">
        <v>3156</v>
      </c>
      <c r="D415" s="3008" t="s">
        <v>70</v>
      </c>
      <c r="E415" s="3008" t="s">
        <v>3150</v>
      </c>
      <c r="F415" s="3008">
        <v>65.52</v>
      </c>
      <c r="G415" s="3017" t="s">
        <v>3055</v>
      </c>
      <c r="I415" s="3025">
        <v>20</v>
      </c>
      <c r="J415" s="3025">
        <v>2</v>
      </c>
      <c r="K415" s="3025">
        <v>1</v>
      </c>
      <c r="L415" s="3026" t="s">
        <v>3463</v>
      </c>
      <c r="M415" s="3025">
        <v>93.91</v>
      </c>
      <c r="N415" s="3023" t="s">
        <v>3248</v>
      </c>
    </row>
    <row r="416" spans="1:14" ht="14.25" thickBot="1">
      <c r="A416" s="3016">
        <v>415</v>
      </c>
      <c r="B416" s="3008" t="s">
        <v>3231</v>
      </c>
      <c r="C416" s="3008" t="s">
        <v>3158</v>
      </c>
      <c r="D416" s="3008" t="s">
        <v>70</v>
      </c>
      <c r="E416" s="3008">
        <v>602</v>
      </c>
      <c r="F416" s="3008">
        <v>68.95</v>
      </c>
      <c r="G416" s="3017" t="s">
        <v>3055</v>
      </c>
      <c r="I416" s="3025">
        <v>20</v>
      </c>
      <c r="J416" s="3025">
        <v>2</v>
      </c>
      <c r="K416" s="3025">
        <v>1</v>
      </c>
      <c r="L416" s="3026" t="s">
        <v>3464</v>
      </c>
      <c r="M416" s="3025">
        <v>68.94</v>
      </c>
      <c r="N416" s="3023" t="s">
        <v>3248</v>
      </c>
    </row>
    <row r="417" spans="1:14" ht="14.25" thickBot="1">
      <c r="A417" s="3016">
        <v>416</v>
      </c>
      <c r="B417" s="3008" t="s">
        <v>3231</v>
      </c>
      <c r="C417" s="3008" t="s">
        <v>3158</v>
      </c>
      <c r="D417" s="3008" t="s">
        <v>70</v>
      </c>
      <c r="E417" s="3008">
        <v>603</v>
      </c>
      <c r="F417" s="3008">
        <v>69.05</v>
      </c>
      <c r="G417" s="3017" t="s">
        <v>3055</v>
      </c>
      <c r="I417" s="3025">
        <v>20</v>
      </c>
      <c r="J417" s="3025">
        <v>2</v>
      </c>
      <c r="K417" s="3025">
        <v>1</v>
      </c>
      <c r="L417" s="3026" t="s">
        <v>3465</v>
      </c>
      <c r="M417" s="3025">
        <v>69.290000000000006</v>
      </c>
      <c r="N417" s="3023" t="s">
        <v>3248</v>
      </c>
    </row>
    <row r="418" spans="1:14" ht="14.25" thickBot="1">
      <c r="A418" s="3016">
        <v>417</v>
      </c>
      <c r="B418" s="3008" t="s">
        <v>3231</v>
      </c>
      <c r="C418" s="3008" t="s">
        <v>3158</v>
      </c>
      <c r="D418" s="3008" t="s">
        <v>70</v>
      </c>
      <c r="E418" s="3008">
        <v>605</v>
      </c>
      <c r="F418" s="3008">
        <v>69.05</v>
      </c>
      <c r="G418" s="3017" t="s">
        <v>3055</v>
      </c>
      <c r="I418" s="3025">
        <v>20</v>
      </c>
      <c r="J418" s="3025">
        <v>2</v>
      </c>
      <c r="K418" s="3025">
        <v>1</v>
      </c>
      <c r="L418" s="3026" t="s">
        <v>3466</v>
      </c>
      <c r="M418" s="3025">
        <v>69.290000000000006</v>
      </c>
      <c r="N418" s="3023" t="s">
        <v>3248</v>
      </c>
    </row>
    <row r="419" spans="1:14" ht="14.25" thickBot="1">
      <c r="A419" s="3016">
        <v>418</v>
      </c>
      <c r="B419" s="3008" t="s">
        <v>3231</v>
      </c>
      <c r="C419" s="3008" t="s">
        <v>3158</v>
      </c>
      <c r="D419" s="3008" t="s">
        <v>70</v>
      </c>
      <c r="E419" s="3008">
        <v>606</v>
      </c>
      <c r="F419" s="3008">
        <v>68.95</v>
      </c>
      <c r="G419" s="3017" t="s">
        <v>3055</v>
      </c>
    </row>
    <row r="420" spans="1:14" ht="14.25" thickBot="1">
      <c r="A420" s="3016">
        <v>419</v>
      </c>
      <c r="B420" s="3008" t="s">
        <v>3232</v>
      </c>
      <c r="C420" s="3008" t="s">
        <v>3152</v>
      </c>
      <c r="D420" s="3008" t="s">
        <v>70</v>
      </c>
      <c r="E420" s="3008">
        <v>101</v>
      </c>
      <c r="F420" s="3008">
        <v>94.63</v>
      </c>
      <c r="G420" s="3017" t="s">
        <v>3055</v>
      </c>
      <c r="I420" s="3025">
        <v>21</v>
      </c>
      <c r="J420" s="3025">
        <v>6</v>
      </c>
      <c r="K420" s="3025" t="s">
        <v>3341</v>
      </c>
      <c r="L420" s="3026" t="s">
        <v>3468</v>
      </c>
      <c r="M420" s="3025">
        <v>65.52</v>
      </c>
      <c r="N420" s="3023" t="s">
        <v>3248</v>
      </c>
    </row>
    <row r="421" spans="1:14" ht="14.25" thickBot="1">
      <c r="A421" s="3016">
        <v>420</v>
      </c>
      <c r="B421" s="3008" t="s">
        <v>3232</v>
      </c>
      <c r="C421" s="3008" t="s">
        <v>3152</v>
      </c>
      <c r="D421" s="3008" t="s">
        <v>70</v>
      </c>
      <c r="E421" s="3008">
        <v>102</v>
      </c>
      <c r="F421" s="3008">
        <v>69.47</v>
      </c>
      <c r="G421" s="3017" t="s">
        <v>3055</v>
      </c>
      <c r="I421" s="3025">
        <v>21</v>
      </c>
      <c r="J421" s="3025">
        <v>6</v>
      </c>
      <c r="K421" s="3025" t="s">
        <v>3341</v>
      </c>
      <c r="L421" s="3026" t="s">
        <v>3470</v>
      </c>
      <c r="M421" s="3025">
        <v>93.93</v>
      </c>
      <c r="N421" s="3023" t="s">
        <v>3248</v>
      </c>
    </row>
    <row r="422" spans="1:14" ht="14.25" thickBot="1">
      <c r="A422" s="3016">
        <v>421</v>
      </c>
      <c r="B422" s="3008" t="s">
        <v>3232</v>
      </c>
      <c r="C422" s="3008" t="s">
        <v>3152</v>
      </c>
      <c r="D422" s="3008" t="s">
        <v>70</v>
      </c>
      <c r="E422" s="3008">
        <v>103</v>
      </c>
      <c r="F422" s="3008">
        <v>69.569999999999993</v>
      </c>
      <c r="G422" s="3017" t="s">
        <v>3055</v>
      </c>
      <c r="I422" s="3025">
        <v>21</v>
      </c>
      <c r="J422" s="3025">
        <v>5</v>
      </c>
      <c r="K422" s="3025" t="s">
        <v>3341</v>
      </c>
      <c r="L422" s="3026" t="s">
        <v>3471</v>
      </c>
      <c r="M422" s="3025">
        <v>69.05</v>
      </c>
      <c r="N422" s="3023" t="s">
        <v>3248</v>
      </c>
    </row>
    <row r="423" spans="1:14" ht="14.25" thickBot="1">
      <c r="A423" s="3016">
        <v>422</v>
      </c>
      <c r="B423" s="3008" t="s">
        <v>3232</v>
      </c>
      <c r="C423" s="3008" t="s">
        <v>3152</v>
      </c>
      <c r="D423" s="3008" t="s">
        <v>70</v>
      </c>
      <c r="E423" s="3008">
        <v>105</v>
      </c>
      <c r="F423" s="3008">
        <v>69.47</v>
      </c>
      <c r="G423" s="3017" t="s">
        <v>3055</v>
      </c>
      <c r="I423" s="3025">
        <v>21</v>
      </c>
      <c r="J423" s="3025">
        <v>5</v>
      </c>
      <c r="K423" s="3025" t="s">
        <v>3341</v>
      </c>
      <c r="L423" s="3026" t="s">
        <v>3472</v>
      </c>
      <c r="M423" s="3025">
        <v>69.05</v>
      </c>
      <c r="N423" s="3023" t="s">
        <v>3248</v>
      </c>
    </row>
    <row r="424" spans="1:14" ht="14.25" thickBot="1">
      <c r="A424" s="3016">
        <v>423</v>
      </c>
      <c r="B424" s="3008" t="s">
        <v>3232</v>
      </c>
      <c r="C424" s="3008" t="s">
        <v>3152</v>
      </c>
      <c r="D424" s="3008" t="s">
        <v>70</v>
      </c>
      <c r="E424" s="3008">
        <v>106</v>
      </c>
      <c r="F424" s="3008">
        <v>66.010000000000005</v>
      </c>
      <c r="G424" s="3017" t="s">
        <v>3055</v>
      </c>
      <c r="I424" s="3025">
        <v>21</v>
      </c>
      <c r="J424" s="3025">
        <v>5</v>
      </c>
      <c r="K424" s="3025" t="s">
        <v>3341</v>
      </c>
      <c r="L424" s="3026" t="s">
        <v>3473</v>
      </c>
      <c r="M424" s="3025">
        <v>68.95</v>
      </c>
      <c r="N424" s="3023" t="s">
        <v>3248</v>
      </c>
    </row>
    <row r="425" spans="1:14" ht="14.25" thickBot="1">
      <c r="A425" s="3016">
        <v>424</v>
      </c>
      <c r="B425" s="3008" t="s">
        <v>3232</v>
      </c>
      <c r="C425" s="3008" t="s">
        <v>3159</v>
      </c>
      <c r="D425" s="3008" t="s">
        <v>70</v>
      </c>
      <c r="E425" s="3008">
        <v>201</v>
      </c>
      <c r="F425" s="3008">
        <v>94.63</v>
      </c>
      <c r="G425" s="3017" t="s">
        <v>3055</v>
      </c>
      <c r="I425" s="3025">
        <v>21</v>
      </c>
      <c r="J425" s="3025">
        <v>5</v>
      </c>
      <c r="K425" s="3025" t="s">
        <v>3341</v>
      </c>
      <c r="L425" s="3026" t="s">
        <v>3475</v>
      </c>
      <c r="M425" s="3025">
        <v>93.93</v>
      </c>
      <c r="N425" s="3023" t="s">
        <v>3248</v>
      </c>
    </row>
    <row r="426" spans="1:14" ht="14.25" thickBot="1">
      <c r="A426" s="3016">
        <v>425</v>
      </c>
      <c r="B426" s="3008" t="s">
        <v>3232</v>
      </c>
      <c r="C426" s="3008" t="s">
        <v>3159</v>
      </c>
      <c r="D426" s="3008" t="s">
        <v>70</v>
      </c>
      <c r="E426" s="3008">
        <v>202</v>
      </c>
      <c r="F426" s="3008">
        <v>69.47</v>
      </c>
      <c r="G426" s="3017" t="s">
        <v>3055</v>
      </c>
      <c r="I426" s="3025">
        <v>21</v>
      </c>
      <c r="J426" s="3025">
        <v>4</v>
      </c>
      <c r="K426" s="3025" t="s">
        <v>3341</v>
      </c>
      <c r="L426" s="3026" t="s">
        <v>3476</v>
      </c>
      <c r="M426" s="3025">
        <v>68.95</v>
      </c>
      <c r="N426" s="3023" t="s">
        <v>3248</v>
      </c>
    </row>
    <row r="427" spans="1:14" ht="14.25" thickBot="1">
      <c r="A427" s="3016">
        <v>426</v>
      </c>
      <c r="B427" s="3008" t="s">
        <v>3232</v>
      </c>
      <c r="C427" s="3008" t="s">
        <v>3159</v>
      </c>
      <c r="D427" s="3008" t="s">
        <v>70</v>
      </c>
      <c r="E427" s="3008">
        <v>203</v>
      </c>
      <c r="F427" s="3008">
        <v>69.569999999999993</v>
      </c>
      <c r="G427" s="3017" t="s">
        <v>3055</v>
      </c>
      <c r="I427" s="3025">
        <v>21</v>
      </c>
      <c r="J427" s="3025">
        <v>4</v>
      </c>
      <c r="K427" s="3025" t="s">
        <v>3341</v>
      </c>
      <c r="L427" s="3026" t="s">
        <v>3477</v>
      </c>
      <c r="M427" s="3025">
        <v>69.05</v>
      </c>
      <c r="N427" s="3023" t="s">
        <v>3248</v>
      </c>
    </row>
    <row r="428" spans="1:14" ht="14.25" thickBot="1">
      <c r="A428" s="3016">
        <v>427</v>
      </c>
      <c r="B428" s="3008" t="s">
        <v>3232</v>
      </c>
      <c r="C428" s="3008" t="s">
        <v>3159</v>
      </c>
      <c r="D428" s="3008" t="s">
        <v>70</v>
      </c>
      <c r="E428" s="3008">
        <v>205</v>
      </c>
      <c r="F428" s="3008">
        <v>69.569999999999993</v>
      </c>
      <c r="G428" s="3017" t="s">
        <v>3055</v>
      </c>
      <c r="I428" s="3025">
        <v>21</v>
      </c>
      <c r="J428" s="3025">
        <v>4</v>
      </c>
      <c r="K428" s="3025" t="s">
        <v>3341</v>
      </c>
      <c r="L428" s="3026" t="s">
        <v>3478</v>
      </c>
      <c r="M428" s="3025">
        <v>69.05</v>
      </c>
      <c r="N428" s="3023" t="s">
        <v>3248</v>
      </c>
    </row>
    <row r="429" spans="1:14" ht="14.25" thickBot="1">
      <c r="A429" s="3016">
        <v>428</v>
      </c>
      <c r="B429" s="3008" t="s">
        <v>3232</v>
      </c>
      <c r="C429" s="3008" t="s">
        <v>3159</v>
      </c>
      <c r="D429" s="3008" t="s">
        <v>70</v>
      </c>
      <c r="E429" s="3008">
        <v>206</v>
      </c>
      <c r="F429" s="3008">
        <v>69.47</v>
      </c>
      <c r="G429" s="3017" t="s">
        <v>3055</v>
      </c>
      <c r="I429" s="3025">
        <v>21</v>
      </c>
      <c r="J429" s="3025">
        <v>4</v>
      </c>
      <c r="K429" s="3025" t="s">
        <v>3341</v>
      </c>
      <c r="L429" s="3026" t="s">
        <v>3479</v>
      </c>
      <c r="M429" s="3025">
        <v>68.95</v>
      </c>
      <c r="N429" s="3023" t="s">
        <v>3248</v>
      </c>
    </row>
    <row r="430" spans="1:14" ht="14.25" thickBot="1">
      <c r="A430" s="3016">
        <v>429</v>
      </c>
      <c r="B430" s="3008" t="s">
        <v>3232</v>
      </c>
      <c r="C430" s="3008" t="s">
        <v>3159</v>
      </c>
      <c r="D430" s="3008" t="s">
        <v>70</v>
      </c>
      <c r="E430" s="3008">
        <v>207</v>
      </c>
      <c r="F430" s="3008">
        <v>66.010000000000005</v>
      </c>
      <c r="G430" s="3017" t="s">
        <v>3055</v>
      </c>
      <c r="I430" s="3025">
        <v>21</v>
      </c>
      <c r="J430" s="3025">
        <v>4</v>
      </c>
      <c r="K430" s="3025" t="s">
        <v>3341</v>
      </c>
      <c r="L430" s="3026" t="s">
        <v>3480</v>
      </c>
      <c r="M430" s="3025">
        <v>93.93</v>
      </c>
      <c r="N430" s="3023" t="s">
        <v>3248</v>
      </c>
    </row>
    <row r="431" spans="1:14" ht="14.25" thickBot="1">
      <c r="A431" s="3016">
        <v>430</v>
      </c>
      <c r="B431" s="3008" t="s">
        <v>3232</v>
      </c>
      <c r="C431" s="3008" t="s">
        <v>3153</v>
      </c>
      <c r="D431" s="3008" t="s">
        <v>70</v>
      </c>
      <c r="E431" s="3008">
        <v>301</v>
      </c>
      <c r="F431" s="3008">
        <v>94.63</v>
      </c>
      <c r="G431" s="3017" t="s">
        <v>3055</v>
      </c>
      <c r="I431" s="3025">
        <v>21</v>
      </c>
      <c r="J431" s="3025">
        <v>3</v>
      </c>
      <c r="K431" s="3025" t="s">
        <v>3341</v>
      </c>
      <c r="L431" s="3026" t="s">
        <v>3481</v>
      </c>
      <c r="M431" s="3025">
        <v>68.95</v>
      </c>
      <c r="N431" s="3023" t="s">
        <v>3248</v>
      </c>
    </row>
    <row r="432" spans="1:14" ht="14.25" thickBot="1">
      <c r="A432" s="3016">
        <v>431</v>
      </c>
      <c r="B432" s="3008" t="s">
        <v>3232</v>
      </c>
      <c r="C432" s="3008" t="s">
        <v>3153</v>
      </c>
      <c r="D432" s="3008" t="s">
        <v>70</v>
      </c>
      <c r="E432" s="3008">
        <v>303</v>
      </c>
      <c r="F432" s="3008">
        <v>69.569999999999993</v>
      </c>
      <c r="G432" s="3017" t="s">
        <v>3055</v>
      </c>
      <c r="I432" s="3025">
        <v>21</v>
      </c>
      <c r="J432" s="3025">
        <v>3</v>
      </c>
      <c r="K432" s="3025" t="s">
        <v>3341</v>
      </c>
      <c r="L432" s="3026" t="s">
        <v>3482</v>
      </c>
      <c r="M432" s="3025">
        <v>69.05</v>
      </c>
      <c r="N432" s="3023" t="s">
        <v>3248</v>
      </c>
    </row>
    <row r="433" spans="1:14" ht="14.25" thickBot="1">
      <c r="A433" s="3016">
        <v>432</v>
      </c>
      <c r="B433" s="3008" t="s">
        <v>3232</v>
      </c>
      <c r="C433" s="3008" t="s">
        <v>3153</v>
      </c>
      <c r="D433" s="3008" t="s">
        <v>70</v>
      </c>
      <c r="E433" s="3008">
        <v>305</v>
      </c>
      <c r="F433" s="3008">
        <v>69.569999999999993</v>
      </c>
      <c r="G433" s="3017" t="s">
        <v>3055</v>
      </c>
      <c r="I433" s="3025">
        <v>21</v>
      </c>
      <c r="J433" s="3025">
        <v>3</v>
      </c>
      <c r="K433" s="3025" t="s">
        <v>3341</v>
      </c>
      <c r="L433" s="3026" t="s">
        <v>3483</v>
      </c>
      <c r="M433" s="3025">
        <v>69.05</v>
      </c>
      <c r="N433" s="3023" t="s">
        <v>3248</v>
      </c>
    </row>
    <row r="434" spans="1:14" ht="14.25" thickBot="1">
      <c r="A434" s="3016">
        <v>433</v>
      </c>
      <c r="B434" s="3008" t="s">
        <v>3232</v>
      </c>
      <c r="C434" s="3008" t="s">
        <v>3153</v>
      </c>
      <c r="D434" s="3008" t="s">
        <v>70</v>
      </c>
      <c r="E434" s="3008">
        <v>307</v>
      </c>
      <c r="F434" s="3008">
        <v>66.010000000000005</v>
      </c>
      <c r="G434" s="3017" t="s">
        <v>3055</v>
      </c>
      <c r="I434" s="3025">
        <v>21</v>
      </c>
      <c r="J434" s="3025">
        <v>3</v>
      </c>
      <c r="K434" s="3025" t="s">
        <v>3341</v>
      </c>
      <c r="L434" s="3026" t="s">
        <v>3484</v>
      </c>
      <c r="M434" s="3025">
        <v>68.95</v>
      </c>
      <c r="N434" s="3023" t="s">
        <v>3248</v>
      </c>
    </row>
    <row r="435" spans="1:14" ht="14.25" thickBot="1">
      <c r="A435" s="3016">
        <v>434</v>
      </c>
      <c r="B435" s="3008" t="s">
        <v>3232</v>
      </c>
      <c r="C435" s="3008" t="s">
        <v>3156</v>
      </c>
      <c r="D435" s="3008" t="s">
        <v>70</v>
      </c>
      <c r="E435" s="3008" t="s">
        <v>3146</v>
      </c>
      <c r="F435" s="3008">
        <v>69.47</v>
      </c>
      <c r="G435" s="3017" t="s">
        <v>3055</v>
      </c>
      <c r="I435" s="3025">
        <v>21</v>
      </c>
      <c r="J435" s="3025">
        <v>3</v>
      </c>
      <c r="K435" s="3025" t="s">
        <v>3341</v>
      </c>
      <c r="L435" s="3026" t="s">
        <v>3485</v>
      </c>
      <c r="M435" s="3025">
        <v>93.93</v>
      </c>
      <c r="N435" s="3023" t="s">
        <v>3248</v>
      </c>
    </row>
    <row r="436" spans="1:14" ht="14.25" thickBot="1">
      <c r="A436" s="3016">
        <v>435</v>
      </c>
      <c r="B436" s="3008" t="s">
        <v>3232</v>
      </c>
      <c r="C436" s="3008" t="s">
        <v>3156</v>
      </c>
      <c r="D436" s="3008" t="s">
        <v>70</v>
      </c>
      <c r="E436" s="3008" t="s">
        <v>3147</v>
      </c>
      <c r="F436" s="3008">
        <v>69.569999999999993</v>
      </c>
      <c r="G436" s="3017" t="s">
        <v>3055</v>
      </c>
      <c r="I436" s="3025">
        <v>21</v>
      </c>
      <c r="J436" s="3025">
        <v>2</v>
      </c>
      <c r="K436" s="3025" t="s">
        <v>3341</v>
      </c>
      <c r="L436" s="3026" t="s">
        <v>3486</v>
      </c>
      <c r="M436" s="3025">
        <v>65.52</v>
      </c>
      <c r="N436" s="3023" t="s">
        <v>3248</v>
      </c>
    </row>
    <row r="437" spans="1:14" ht="14.25" thickBot="1">
      <c r="A437" s="3016">
        <v>436</v>
      </c>
      <c r="B437" s="3008" t="s">
        <v>3232</v>
      </c>
      <c r="C437" s="3008" t="s">
        <v>3156</v>
      </c>
      <c r="D437" s="3008" t="s">
        <v>70</v>
      </c>
      <c r="E437" s="3008" t="s">
        <v>3148</v>
      </c>
      <c r="F437" s="3008">
        <v>69.569999999999993</v>
      </c>
      <c r="G437" s="3017" t="s">
        <v>3055</v>
      </c>
      <c r="I437" s="3025">
        <v>21</v>
      </c>
      <c r="J437" s="3025">
        <v>2</v>
      </c>
      <c r="K437" s="3025" t="s">
        <v>3341</v>
      </c>
      <c r="L437" s="3026" t="s">
        <v>3487</v>
      </c>
      <c r="M437" s="3025">
        <v>68.95</v>
      </c>
      <c r="N437" s="3023" t="s">
        <v>3248</v>
      </c>
    </row>
    <row r="438" spans="1:14" ht="14.25" thickBot="1">
      <c r="A438" s="3016">
        <v>437</v>
      </c>
      <c r="B438" s="3008" t="s">
        <v>3232</v>
      </c>
      <c r="C438" s="3008" t="s">
        <v>3156</v>
      </c>
      <c r="D438" s="3008" t="s">
        <v>70</v>
      </c>
      <c r="E438" s="3008" t="s">
        <v>3150</v>
      </c>
      <c r="F438" s="3008">
        <v>66.010000000000005</v>
      </c>
      <c r="G438" s="3017" t="s">
        <v>3055</v>
      </c>
      <c r="I438" s="3025">
        <v>21</v>
      </c>
      <c r="J438" s="3025">
        <v>2</v>
      </c>
      <c r="K438" s="3025" t="s">
        <v>3341</v>
      </c>
      <c r="L438" s="3026" t="s">
        <v>3488</v>
      </c>
      <c r="M438" s="3025">
        <v>69.05</v>
      </c>
      <c r="N438" s="3023" t="s">
        <v>3248</v>
      </c>
    </row>
    <row r="439" spans="1:14" ht="14.25" thickBot="1">
      <c r="A439" s="3016">
        <v>438</v>
      </c>
      <c r="B439" s="3008" t="s">
        <v>3232</v>
      </c>
      <c r="C439" s="3008" t="s">
        <v>3157</v>
      </c>
      <c r="D439" s="3008" t="s">
        <v>70</v>
      </c>
      <c r="E439" s="3008">
        <v>502</v>
      </c>
      <c r="F439" s="3008">
        <v>69.47</v>
      </c>
      <c r="G439" s="3017" t="s">
        <v>3055</v>
      </c>
      <c r="I439" s="3025">
        <v>21</v>
      </c>
      <c r="J439" s="3025">
        <v>2</v>
      </c>
      <c r="K439" s="3025" t="s">
        <v>3341</v>
      </c>
      <c r="L439" s="3026" t="s">
        <v>3489</v>
      </c>
      <c r="M439" s="3025">
        <v>69.05</v>
      </c>
      <c r="N439" s="3023" t="s">
        <v>3248</v>
      </c>
    </row>
    <row r="440" spans="1:14" ht="14.25" thickBot="1">
      <c r="A440" s="3016">
        <v>439</v>
      </c>
      <c r="B440" s="3008" t="s">
        <v>3232</v>
      </c>
      <c r="C440" s="3008" t="s">
        <v>3157</v>
      </c>
      <c r="D440" s="3008" t="s">
        <v>70</v>
      </c>
      <c r="E440" s="3008">
        <v>503</v>
      </c>
      <c r="F440" s="3008">
        <v>69.569999999999993</v>
      </c>
      <c r="G440" s="3017" t="s">
        <v>3055</v>
      </c>
      <c r="I440" s="3025">
        <v>21</v>
      </c>
      <c r="J440" s="3025">
        <v>2</v>
      </c>
      <c r="K440" s="3025" t="s">
        <v>3341</v>
      </c>
      <c r="L440" s="3026" t="s">
        <v>3490</v>
      </c>
      <c r="M440" s="3025">
        <v>68.95</v>
      </c>
      <c r="N440" s="3023" t="s">
        <v>3248</v>
      </c>
    </row>
    <row r="441" spans="1:14" ht="14.25" thickBot="1">
      <c r="A441" s="3016">
        <v>440</v>
      </c>
      <c r="B441" s="3008" t="s">
        <v>3232</v>
      </c>
      <c r="C441" s="3008" t="s">
        <v>3157</v>
      </c>
      <c r="D441" s="3008" t="s">
        <v>70</v>
      </c>
      <c r="E441" s="3008">
        <v>505</v>
      </c>
      <c r="F441" s="3008">
        <v>69.569999999999993</v>
      </c>
      <c r="G441" s="3017" t="s">
        <v>3055</v>
      </c>
      <c r="I441" s="3025">
        <v>21</v>
      </c>
      <c r="J441" s="3025">
        <v>2</v>
      </c>
      <c r="K441" s="3025" t="s">
        <v>3341</v>
      </c>
      <c r="L441" s="3026" t="s">
        <v>3491</v>
      </c>
      <c r="M441" s="3025">
        <v>93.93</v>
      </c>
      <c r="N441" s="3023" t="s">
        <v>3248</v>
      </c>
    </row>
    <row r="442" spans="1:14" ht="14.25" thickBot="1">
      <c r="A442" s="3016">
        <v>441</v>
      </c>
      <c r="B442" s="3008" t="s">
        <v>3232</v>
      </c>
      <c r="C442" s="3008" t="s">
        <v>3157</v>
      </c>
      <c r="D442" s="3008" t="s">
        <v>70</v>
      </c>
      <c r="E442" s="3008">
        <v>506</v>
      </c>
      <c r="F442" s="3008">
        <v>69.47</v>
      </c>
      <c r="G442" s="3017" t="s">
        <v>3055</v>
      </c>
    </row>
    <row r="443" spans="1:14" ht="14.25" thickBot="1">
      <c r="A443" s="3016">
        <v>442</v>
      </c>
      <c r="B443" s="3008" t="s">
        <v>3232</v>
      </c>
      <c r="C443" s="3008" t="s">
        <v>3157</v>
      </c>
      <c r="D443" s="3008" t="s">
        <v>70</v>
      </c>
      <c r="E443" s="3008">
        <v>507</v>
      </c>
      <c r="F443" s="3008">
        <v>66.010000000000005</v>
      </c>
      <c r="G443" s="3017" t="s">
        <v>3055</v>
      </c>
      <c r="I443" s="3025">
        <v>22</v>
      </c>
      <c r="J443" s="3025">
        <v>6</v>
      </c>
      <c r="K443" s="3025" t="s">
        <v>3341</v>
      </c>
      <c r="L443" s="3026" t="s">
        <v>3492</v>
      </c>
      <c r="M443" s="3025">
        <v>69.47</v>
      </c>
      <c r="N443" s="3023" t="s">
        <v>3248</v>
      </c>
    </row>
    <row r="444" spans="1:14" ht="14.25" thickBot="1">
      <c r="A444" s="3016">
        <v>443</v>
      </c>
      <c r="B444" s="3008" t="s">
        <v>3232</v>
      </c>
      <c r="C444" s="3008" t="s">
        <v>3158</v>
      </c>
      <c r="D444" s="3008" t="s">
        <v>70</v>
      </c>
      <c r="E444" s="3008">
        <v>601</v>
      </c>
      <c r="F444" s="3008">
        <v>94.63</v>
      </c>
      <c r="G444" s="3017" t="s">
        <v>3055</v>
      </c>
      <c r="I444" s="3025">
        <v>22</v>
      </c>
      <c r="J444" s="3025">
        <v>5</v>
      </c>
      <c r="K444" s="3025" t="s">
        <v>3341</v>
      </c>
      <c r="L444" s="3026" t="s">
        <v>3493</v>
      </c>
      <c r="M444" s="3025">
        <v>94.63</v>
      </c>
      <c r="N444" s="3023" t="s">
        <v>3248</v>
      </c>
    </row>
    <row r="445" spans="1:14" ht="14.25" thickBot="1">
      <c r="A445" s="3016">
        <v>444</v>
      </c>
      <c r="B445" s="3008" t="s">
        <v>3232</v>
      </c>
      <c r="C445" s="3008" t="s">
        <v>3158</v>
      </c>
      <c r="D445" s="3008" t="s">
        <v>70</v>
      </c>
      <c r="E445" s="3008">
        <v>602</v>
      </c>
      <c r="F445" s="3008">
        <v>69.47</v>
      </c>
      <c r="G445" s="3017" t="s">
        <v>3055</v>
      </c>
      <c r="I445" s="3025">
        <v>22</v>
      </c>
      <c r="J445" s="3025">
        <v>4</v>
      </c>
      <c r="K445" s="3025" t="s">
        <v>3341</v>
      </c>
      <c r="L445" s="3026" t="s">
        <v>3494</v>
      </c>
      <c r="M445" s="3025">
        <v>94.63</v>
      </c>
      <c r="N445" s="3023" t="s">
        <v>3248</v>
      </c>
    </row>
    <row r="446" spans="1:14" ht="14.25" thickBot="1">
      <c r="A446" s="3016">
        <v>445</v>
      </c>
      <c r="B446" s="3008" t="s">
        <v>3232</v>
      </c>
      <c r="C446" s="3008" t="s">
        <v>3158</v>
      </c>
      <c r="D446" s="3008" t="s">
        <v>70</v>
      </c>
      <c r="E446" s="3008">
        <v>605</v>
      </c>
      <c r="F446" s="3008">
        <v>69.569999999999993</v>
      </c>
      <c r="G446" s="3017" t="s">
        <v>3055</v>
      </c>
      <c r="I446" s="3025">
        <v>22</v>
      </c>
      <c r="J446" s="3025">
        <v>3</v>
      </c>
      <c r="K446" s="3025" t="s">
        <v>3341</v>
      </c>
      <c r="L446" s="3026" t="s">
        <v>3495</v>
      </c>
      <c r="M446" s="3025">
        <v>69.47</v>
      </c>
      <c r="N446" s="3023" t="s">
        <v>3248</v>
      </c>
    </row>
    <row r="447" spans="1:14" ht="14.25" thickBot="1">
      <c r="A447" s="3016">
        <v>446</v>
      </c>
      <c r="B447" s="3008" t="s">
        <v>3232</v>
      </c>
      <c r="C447" s="3008" t="s">
        <v>3158</v>
      </c>
      <c r="D447" s="3008" t="s">
        <v>70</v>
      </c>
      <c r="E447" s="3008">
        <v>607</v>
      </c>
      <c r="F447" s="3008">
        <v>66.010000000000005</v>
      </c>
      <c r="G447" s="3017" t="s">
        <v>3055</v>
      </c>
    </row>
    <row r="448" spans="1:14" ht="14.25" thickBot="1">
      <c r="A448" s="3016">
        <v>447</v>
      </c>
      <c r="B448" s="3008" t="s">
        <v>3233</v>
      </c>
      <c r="C448" s="3008" t="s">
        <v>3152</v>
      </c>
      <c r="D448" s="3008" t="s">
        <v>3213</v>
      </c>
      <c r="E448" s="3008">
        <v>101</v>
      </c>
      <c r="F448" s="3008">
        <v>66.069999999999993</v>
      </c>
      <c r="G448" s="3017" t="s">
        <v>3055</v>
      </c>
      <c r="I448" s="3025">
        <v>26</v>
      </c>
      <c r="J448" s="3025">
        <v>6</v>
      </c>
      <c r="K448" s="3025">
        <v>2</v>
      </c>
      <c r="L448" s="3026" t="s">
        <v>3496</v>
      </c>
      <c r="M448" s="3025">
        <v>66.069999999999993</v>
      </c>
      <c r="N448" s="3023" t="s">
        <v>3248</v>
      </c>
    </row>
    <row r="449" spans="1:14" ht="14.25" thickBot="1">
      <c r="A449" s="3016">
        <v>448</v>
      </c>
      <c r="B449" s="3008" t="s">
        <v>3233</v>
      </c>
      <c r="C449" s="3008" t="s">
        <v>3152</v>
      </c>
      <c r="D449" s="3008" t="s">
        <v>3213</v>
      </c>
      <c r="E449" s="3008">
        <v>102</v>
      </c>
      <c r="F449" s="3008">
        <v>69.56</v>
      </c>
      <c r="G449" s="3017" t="s">
        <v>3055</v>
      </c>
      <c r="I449" s="3025">
        <v>26</v>
      </c>
      <c r="J449" s="3025">
        <v>6</v>
      </c>
      <c r="K449" s="3025">
        <v>2</v>
      </c>
      <c r="L449" s="3026" t="s">
        <v>3497</v>
      </c>
      <c r="M449" s="3025">
        <v>94.74</v>
      </c>
      <c r="N449" s="3023" t="s">
        <v>3248</v>
      </c>
    </row>
    <row r="450" spans="1:14" ht="14.25" thickBot="1">
      <c r="A450" s="3016">
        <v>449</v>
      </c>
      <c r="B450" s="3008" t="s">
        <v>3233</v>
      </c>
      <c r="C450" s="3008" t="s">
        <v>3152</v>
      </c>
      <c r="D450" s="3008" t="s">
        <v>3213</v>
      </c>
      <c r="E450" s="3008">
        <v>103</v>
      </c>
      <c r="F450" s="3008">
        <v>69.72</v>
      </c>
      <c r="G450" s="3017" t="s">
        <v>3055</v>
      </c>
      <c r="I450" s="3025">
        <v>26</v>
      </c>
      <c r="J450" s="3025">
        <v>5</v>
      </c>
      <c r="K450" s="3025">
        <v>2</v>
      </c>
      <c r="L450" s="3026" t="s">
        <v>3498</v>
      </c>
      <c r="M450" s="3025">
        <v>69.56</v>
      </c>
      <c r="N450" s="3023" t="s">
        <v>3248</v>
      </c>
    </row>
    <row r="451" spans="1:14" ht="14.25" thickBot="1">
      <c r="A451" s="3016">
        <v>450</v>
      </c>
      <c r="B451" s="3008" t="s">
        <v>3233</v>
      </c>
      <c r="C451" s="3008" t="s">
        <v>3152</v>
      </c>
      <c r="D451" s="3008" t="s">
        <v>3213</v>
      </c>
      <c r="E451" s="3008">
        <v>105</v>
      </c>
      <c r="F451" s="3008">
        <v>69.56</v>
      </c>
      <c r="G451" s="3017" t="s">
        <v>3055</v>
      </c>
      <c r="I451" s="3025">
        <v>26</v>
      </c>
      <c r="J451" s="3025">
        <v>5</v>
      </c>
      <c r="K451" s="3025">
        <v>2</v>
      </c>
      <c r="L451" s="3026" t="s">
        <v>3499</v>
      </c>
      <c r="M451" s="3025">
        <v>69.75</v>
      </c>
      <c r="N451" s="3023" t="s">
        <v>3248</v>
      </c>
    </row>
    <row r="452" spans="1:14" ht="14.25" thickBot="1">
      <c r="A452" s="3016">
        <v>451</v>
      </c>
      <c r="B452" s="3008" t="s">
        <v>3233</v>
      </c>
      <c r="C452" s="3008" t="s">
        <v>3152</v>
      </c>
      <c r="D452" s="3008" t="s">
        <v>3213</v>
      </c>
      <c r="E452" s="3008">
        <v>106</v>
      </c>
      <c r="F452" s="3008">
        <v>94.74</v>
      </c>
      <c r="G452" s="3017" t="s">
        <v>3055</v>
      </c>
      <c r="I452" s="3025">
        <v>26</v>
      </c>
      <c r="J452" s="3025">
        <v>4</v>
      </c>
      <c r="K452" s="3025">
        <v>2</v>
      </c>
      <c r="L452" s="3026" t="s">
        <v>3500</v>
      </c>
      <c r="M452" s="3025">
        <v>66.069999999999993</v>
      </c>
      <c r="N452" s="3023" t="s">
        <v>3248</v>
      </c>
    </row>
    <row r="453" spans="1:14" ht="14.25" thickBot="1">
      <c r="A453" s="3016">
        <v>452</v>
      </c>
      <c r="B453" s="3008" t="s">
        <v>3233</v>
      </c>
      <c r="C453" s="3008" t="s">
        <v>3152</v>
      </c>
      <c r="D453" s="3008" t="s">
        <v>3215</v>
      </c>
      <c r="E453" s="3008">
        <v>101</v>
      </c>
      <c r="F453" s="3008">
        <v>94.74</v>
      </c>
      <c r="G453" s="3017" t="s">
        <v>3055</v>
      </c>
      <c r="I453" s="3025">
        <v>26</v>
      </c>
      <c r="J453" s="3025">
        <v>4</v>
      </c>
      <c r="K453" s="3025">
        <v>2</v>
      </c>
      <c r="L453" s="3026" t="s">
        <v>3501</v>
      </c>
      <c r="M453" s="3025">
        <v>69.75</v>
      </c>
      <c r="N453" s="3023" t="s">
        <v>3248</v>
      </c>
    </row>
    <row r="454" spans="1:14" ht="14.25" thickBot="1">
      <c r="A454" s="3016">
        <v>453</v>
      </c>
      <c r="B454" s="3008" t="s">
        <v>3233</v>
      </c>
      <c r="C454" s="3008" t="s">
        <v>3152</v>
      </c>
      <c r="D454" s="3008" t="s">
        <v>3215</v>
      </c>
      <c r="E454" s="3008">
        <v>102</v>
      </c>
      <c r="F454" s="3008">
        <v>69.56</v>
      </c>
      <c r="G454" s="3017" t="s">
        <v>3055</v>
      </c>
      <c r="I454" s="3025">
        <v>26</v>
      </c>
      <c r="J454" s="3025">
        <v>4</v>
      </c>
      <c r="K454" s="3025">
        <v>2</v>
      </c>
      <c r="L454" s="3026" t="s">
        <v>3502</v>
      </c>
      <c r="M454" s="3025">
        <v>69.75</v>
      </c>
      <c r="N454" s="3023" t="s">
        <v>3248</v>
      </c>
    </row>
    <row r="455" spans="1:14" ht="14.25" thickBot="1">
      <c r="A455" s="3016">
        <v>454</v>
      </c>
      <c r="B455" s="3008" t="s">
        <v>3233</v>
      </c>
      <c r="C455" s="3008" t="s">
        <v>3152</v>
      </c>
      <c r="D455" s="3008" t="s">
        <v>3215</v>
      </c>
      <c r="E455" s="3008">
        <v>103</v>
      </c>
      <c r="F455" s="3008">
        <v>69.72</v>
      </c>
      <c r="G455" s="3017" t="s">
        <v>3055</v>
      </c>
      <c r="I455" s="3025">
        <v>26</v>
      </c>
      <c r="J455" s="3025">
        <v>3</v>
      </c>
      <c r="K455" s="3025">
        <v>2</v>
      </c>
      <c r="L455" s="3026" t="s">
        <v>3503</v>
      </c>
      <c r="M455" s="3025">
        <v>69.75</v>
      </c>
      <c r="N455" s="3023" t="s">
        <v>3248</v>
      </c>
    </row>
    <row r="456" spans="1:14" ht="14.25" thickBot="1">
      <c r="A456" s="3016">
        <v>455</v>
      </c>
      <c r="B456" s="3008" t="s">
        <v>3233</v>
      </c>
      <c r="C456" s="3008" t="s">
        <v>3152</v>
      </c>
      <c r="D456" s="3008" t="s">
        <v>3215</v>
      </c>
      <c r="E456" s="3008">
        <v>105</v>
      </c>
      <c r="F456" s="3008">
        <v>69.56</v>
      </c>
      <c r="G456" s="3017" t="s">
        <v>3055</v>
      </c>
      <c r="I456" s="3025">
        <v>26</v>
      </c>
      <c r="J456" s="3025">
        <v>3</v>
      </c>
      <c r="K456" s="3025">
        <v>2</v>
      </c>
      <c r="L456" s="3026" t="s">
        <v>3504</v>
      </c>
      <c r="M456" s="3025">
        <v>69.75</v>
      </c>
      <c r="N456" s="3023" t="s">
        <v>3248</v>
      </c>
    </row>
    <row r="457" spans="1:14" ht="14.25" thickBot="1">
      <c r="A457" s="3016">
        <v>456</v>
      </c>
      <c r="B457" s="3008" t="s">
        <v>3233</v>
      </c>
      <c r="C457" s="3008" t="s">
        <v>3152</v>
      </c>
      <c r="D457" s="3008" t="s">
        <v>3215</v>
      </c>
      <c r="E457" s="3008">
        <v>106</v>
      </c>
      <c r="F457" s="3008">
        <v>66.069999999999993</v>
      </c>
      <c r="G457" s="3017" t="s">
        <v>3055</v>
      </c>
      <c r="I457" s="3025">
        <v>26</v>
      </c>
      <c r="J457" s="3025">
        <v>2</v>
      </c>
      <c r="K457" s="3025">
        <v>2</v>
      </c>
      <c r="L457" s="3026" t="s">
        <v>3505</v>
      </c>
      <c r="M457" s="3025">
        <v>69.75</v>
      </c>
      <c r="N457" s="3023" t="s">
        <v>3248</v>
      </c>
    </row>
    <row r="458" spans="1:14" ht="14.25" thickBot="1">
      <c r="A458" s="3016">
        <v>457</v>
      </c>
      <c r="B458" s="3008" t="s">
        <v>3233</v>
      </c>
      <c r="C458" s="3008" t="s">
        <v>3159</v>
      </c>
      <c r="D458" s="3008" t="s">
        <v>3213</v>
      </c>
      <c r="E458" s="3008">
        <v>201</v>
      </c>
      <c r="F458" s="3008">
        <v>66.069999999999993</v>
      </c>
      <c r="G458" s="3017" t="s">
        <v>3055</v>
      </c>
      <c r="I458" s="3025">
        <v>26</v>
      </c>
      <c r="J458" s="3025">
        <v>2</v>
      </c>
      <c r="K458" s="3025">
        <v>2</v>
      </c>
      <c r="L458" s="3026" t="s">
        <v>3506</v>
      </c>
      <c r="M458" s="3025">
        <v>69.75</v>
      </c>
      <c r="N458" s="3023" t="s">
        <v>3248</v>
      </c>
    </row>
    <row r="459" spans="1:14" ht="14.25" thickBot="1">
      <c r="A459" s="3016">
        <v>458</v>
      </c>
      <c r="B459" s="3008" t="s">
        <v>3233</v>
      </c>
      <c r="C459" s="3008" t="s">
        <v>3159</v>
      </c>
      <c r="D459" s="3008" t="s">
        <v>3213</v>
      </c>
      <c r="E459" s="3008">
        <v>207</v>
      </c>
      <c r="F459" s="3008">
        <v>94.74</v>
      </c>
      <c r="G459" s="3017" t="s">
        <v>3055</v>
      </c>
      <c r="I459" s="3025">
        <v>26</v>
      </c>
      <c r="J459" s="3025">
        <v>6</v>
      </c>
      <c r="K459" s="3025">
        <v>1</v>
      </c>
      <c r="L459" s="3026" t="s">
        <v>3507</v>
      </c>
      <c r="M459" s="3025">
        <v>94.74</v>
      </c>
      <c r="N459" s="3023" t="s">
        <v>3248</v>
      </c>
    </row>
    <row r="460" spans="1:14" ht="14.25" thickBot="1">
      <c r="A460" s="3016">
        <v>459</v>
      </c>
      <c r="B460" s="3008" t="s">
        <v>3233</v>
      </c>
      <c r="C460" s="3008" t="s">
        <v>3159</v>
      </c>
      <c r="D460" s="3008" t="s">
        <v>3215</v>
      </c>
      <c r="E460" s="3008">
        <v>206</v>
      </c>
      <c r="F460" s="3008">
        <v>69.56</v>
      </c>
      <c r="G460" s="3017" t="s">
        <v>3055</v>
      </c>
      <c r="I460" s="3025">
        <v>26</v>
      </c>
      <c r="J460" s="3025">
        <v>5</v>
      </c>
      <c r="K460" s="3025">
        <v>1</v>
      </c>
      <c r="L460" s="3026" t="s">
        <v>3508</v>
      </c>
      <c r="M460" s="3025">
        <v>69.75</v>
      </c>
      <c r="N460" s="3023" t="s">
        <v>3248</v>
      </c>
    </row>
    <row r="461" spans="1:14" ht="14.25" thickBot="1">
      <c r="A461" s="3016">
        <v>460</v>
      </c>
      <c r="B461" s="3008" t="s">
        <v>3233</v>
      </c>
      <c r="C461" s="3008" t="s">
        <v>3159</v>
      </c>
      <c r="D461" s="3008" t="s">
        <v>3215</v>
      </c>
      <c r="E461" s="3008">
        <v>207</v>
      </c>
      <c r="F461" s="3008">
        <v>66.069999999999993</v>
      </c>
      <c r="G461" s="3017" t="s">
        <v>3055</v>
      </c>
      <c r="I461" s="3025">
        <v>26</v>
      </c>
      <c r="J461" s="3025">
        <v>5</v>
      </c>
      <c r="K461" s="3025">
        <v>1</v>
      </c>
      <c r="L461" s="3026" t="s">
        <v>3509</v>
      </c>
      <c r="M461" s="3025">
        <v>69.75</v>
      </c>
      <c r="N461" s="3023" t="s">
        <v>3248</v>
      </c>
    </row>
    <row r="462" spans="1:14" ht="14.25" thickBot="1">
      <c r="A462" s="3016">
        <v>461</v>
      </c>
      <c r="B462" s="3008" t="s">
        <v>3233</v>
      </c>
      <c r="C462" s="3008" t="s">
        <v>3153</v>
      </c>
      <c r="D462" s="3008" t="s">
        <v>3213</v>
      </c>
      <c r="E462" s="3008">
        <v>301</v>
      </c>
      <c r="F462" s="3008">
        <v>66.069999999999993</v>
      </c>
      <c r="G462" s="3017" t="s">
        <v>3055</v>
      </c>
      <c r="I462" s="3025">
        <v>26</v>
      </c>
      <c r="J462" s="3025">
        <v>5</v>
      </c>
      <c r="K462" s="3025">
        <v>1</v>
      </c>
      <c r="L462" s="3026" t="s">
        <v>3510</v>
      </c>
      <c r="M462" s="3025">
        <v>69.56</v>
      </c>
      <c r="N462" s="3023" t="s">
        <v>3248</v>
      </c>
    </row>
    <row r="463" spans="1:14" ht="14.25" thickBot="1">
      <c r="A463" s="3016">
        <v>462</v>
      </c>
      <c r="B463" s="3008" t="s">
        <v>3233</v>
      </c>
      <c r="C463" s="3008" t="s">
        <v>3153</v>
      </c>
      <c r="D463" s="3008" t="s">
        <v>3213</v>
      </c>
      <c r="E463" s="3008">
        <v>306</v>
      </c>
      <c r="F463" s="3008">
        <v>69.56</v>
      </c>
      <c r="G463" s="3017" t="s">
        <v>3055</v>
      </c>
      <c r="I463" s="3025">
        <v>26</v>
      </c>
      <c r="J463" s="3025">
        <v>4</v>
      </c>
      <c r="K463" s="3025">
        <v>1</v>
      </c>
      <c r="L463" s="3026" t="s">
        <v>3511</v>
      </c>
      <c r="M463" s="3025">
        <v>69.56</v>
      </c>
      <c r="N463" s="3023" t="s">
        <v>3248</v>
      </c>
    </row>
    <row r="464" spans="1:14" ht="14.25" thickBot="1">
      <c r="A464" s="3016">
        <v>463</v>
      </c>
      <c r="B464" s="3008" t="s">
        <v>3233</v>
      </c>
      <c r="C464" s="3008" t="s">
        <v>3153</v>
      </c>
      <c r="D464" s="3008" t="s">
        <v>3213</v>
      </c>
      <c r="E464" s="3008">
        <v>307</v>
      </c>
      <c r="F464" s="3008">
        <v>94.74</v>
      </c>
      <c r="G464" s="3017" t="s">
        <v>3055</v>
      </c>
      <c r="I464" s="3025">
        <v>26</v>
      </c>
      <c r="J464" s="3025">
        <v>4</v>
      </c>
      <c r="K464" s="3025">
        <v>1</v>
      </c>
      <c r="L464" s="3026" t="s">
        <v>3512</v>
      </c>
      <c r="M464" s="3025">
        <v>69.75</v>
      </c>
      <c r="N464" s="3023" t="s">
        <v>3248</v>
      </c>
    </row>
    <row r="465" spans="1:14" ht="14.25" thickBot="1">
      <c r="A465" s="3016">
        <v>464</v>
      </c>
      <c r="B465" s="3008" t="s">
        <v>3233</v>
      </c>
      <c r="C465" s="3008" t="s">
        <v>3153</v>
      </c>
      <c r="D465" s="3008" t="s">
        <v>3215</v>
      </c>
      <c r="E465" s="3008">
        <v>301</v>
      </c>
      <c r="F465" s="3008">
        <v>94.74</v>
      </c>
      <c r="G465" s="3017" t="s">
        <v>3055</v>
      </c>
      <c r="I465" s="3025">
        <v>26</v>
      </c>
      <c r="J465" s="3025">
        <v>4</v>
      </c>
      <c r="K465" s="3025">
        <v>1</v>
      </c>
      <c r="L465" s="3026" t="s">
        <v>3513</v>
      </c>
      <c r="M465" s="3025">
        <v>69.75</v>
      </c>
      <c r="N465" s="3023" t="s">
        <v>3248</v>
      </c>
    </row>
    <row r="466" spans="1:14" ht="14.25" thickBot="1">
      <c r="A466" s="3016">
        <v>465</v>
      </c>
      <c r="B466" s="3008" t="s">
        <v>3233</v>
      </c>
      <c r="C466" s="3008" t="s">
        <v>3153</v>
      </c>
      <c r="D466" s="3008" t="s">
        <v>3215</v>
      </c>
      <c r="E466" s="3008">
        <v>302</v>
      </c>
      <c r="F466" s="3008">
        <v>69.56</v>
      </c>
      <c r="G466" s="3017" t="s">
        <v>3055</v>
      </c>
      <c r="I466" s="3025">
        <v>26</v>
      </c>
      <c r="J466" s="3025">
        <v>4</v>
      </c>
      <c r="K466" s="3025">
        <v>1</v>
      </c>
      <c r="L466" s="3026" t="s">
        <v>3514</v>
      </c>
      <c r="M466" s="3025">
        <v>69.56</v>
      </c>
      <c r="N466" s="3023" t="s">
        <v>3248</v>
      </c>
    </row>
    <row r="467" spans="1:14" ht="14.25" thickBot="1">
      <c r="A467" s="3016">
        <v>466</v>
      </c>
      <c r="B467" s="3008" t="s">
        <v>3233</v>
      </c>
      <c r="C467" s="3008" t="s">
        <v>3153</v>
      </c>
      <c r="D467" s="3008" t="s">
        <v>3215</v>
      </c>
      <c r="E467" s="3008">
        <v>306</v>
      </c>
      <c r="F467" s="3008">
        <v>69.56</v>
      </c>
      <c r="G467" s="3017" t="s">
        <v>3055</v>
      </c>
      <c r="I467" s="3025">
        <v>26</v>
      </c>
      <c r="J467" s="3025">
        <v>3</v>
      </c>
      <c r="K467" s="3025">
        <v>1</v>
      </c>
      <c r="L467" s="3026" t="s">
        <v>3515</v>
      </c>
      <c r="M467" s="3025">
        <v>69.75</v>
      </c>
      <c r="N467" s="3023" t="s">
        <v>3248</v>
      </c>
    </row>
    <row r="468" spans="1:14" ht="14.25" thickBot="1">
      <c r="A468" s="3016">
        <v>467</v>
      </c>
      <c r="B468" s="3008" t="s">
        <v>3233</v>
      </c>
      <c r="C468" s="3008" t="s">
        <v>3156</v>
      </c>
      <c r="D468" s="3008" t="s">
        <v>3213</v>
      </c>
      <c r="E468" s="3008" t="s">
        <v>3145</v>
      </c>
      <c r="F468" s="3008">
        <v>66.069999999999993</v>
      </c>
      <c r="G468" s="3017" t="s">
        <v>3055</v>
      </c>
      <c r="I468" s="3025">
        <v>26</v>
      </c>
      <c r="J468" s="3025">
        <v>3</v>
      </c>
      <c r="K468" s="3025">
        <v>1</v>
      </c>
      <c r="L468" s="3026" t="s">
        <v>3516</v>
      </c>
      <c r="M468" s="3025">
        <v>69.75</v>
      </c>
      <c r="N468" s="3023" t="s">
        <v>3248</v>
      </c>
    </row>
    <row r="469" spans="1:14" ht="14.25" thickBot="1">
      <c r="A469" s="3016">
        <v>468</v>
      </c>
      <c r="B469" s="3008" t="s">
        <v>3233</v>
      </c>
      <c r="C469" s="3008" t="s">
        <v>3156</v>
      </c>
      <c r="D469" s="3008" t="s">
        <v>3213</v>
      </c>
      <c r="E469" s="3008" t="s">
        <v>3150</v>
      </c>
      <c r="F469" s="3008">
        <v>94.74</v>
      </c>
      <c r="G469" s="3017" t="s">
        <v>3055</v>
      </c>
      <c r="I469" s="3025">
        <v>26</v>
      </c>
      <c r="J469" s="3025">
        <v>3</v>
      </c>
      <c r="K469" s="3025">
        <v>1</v>
      </c>
      <c r="L469" s="3026" t="s">
        <v>3517</v>
      </c>
      <c r="M469" s="3025">
        <v>69.56</v>
      </c>
      <c r="N469" s="3023" t="s">
        <v>3248</v>
      </c>
    </row>
    <row r="470" spans="1:14" ht="14.25" thickBot="1">
      <c r="A470" s="3016">
        <v>469</v>
      </c>
      <c r="B470" s="3008" t="s">
        <v>3233</v>
      </c>
      <c r="C470" s="3008" t="s">
        <v>3156</v>
      </c>
      <c r="D470" s="3008" t="s">
        <v>3215</v>
      </c>
      <c r="E470" s="3008" t="s">
        <v>3145</v>
      </c>
      <c r="F470" s="3008">
        <v>94.74</v>
      </c>
      <c r="G470" s="3017" t="s">
        <v>3055</v>
      </c>
      <c r="I470" s="3025">
        <v>26</v>
      </c>
      <c r="J470" s="3025">
        <v>2</v>
      </c>
      <c r="K470" s="3025">
        <v>1</v>
      </c>
      <c r="L470" s="3026" t="s">
        <v>3518</v>
      </c>
      <c r="M470" s="3025">
        <v>69.56</v>
      </c>
      <c r="N470" s="3023" t="s">
        <v>3248</v>
      </c>
    </row>
    <row r="471" spans="1:14" ht="14.25" thickBot="1">
      <c r="A471" s="3016">
        <v>470</v>
      </c>
      <c r="B471" s="3008" t="s">
        <v>3233</v>
      </c>
      <c r="C471" s="3008" t="s">
        <v>3156</v>
      </c>
      <c r="D471" s="3008" t="s">
        <v>3215</v>
      </c>
      <c r="E471" s="3008" t="s">
        <v>3146</v>
      </c>
      <c r="F471" s="3008">
        <v>69.56</v>
      </c>
      <c r="G471" s="3017" t="s">
        <v>3055</v>
      </c>
      <c r="I471" s="3025">
        <v>26</v>
      </c>
      <c r="J471" s="3025">
        <v>2</v>
      </c>
      <c r="K471" s="3025">
        <v>1</v>
      </c>
      <c r="L471" s="3026" t="s">
        <v>3519</v>
      </c>
      <c r="M471" s="3025">
        <v>69.75</v>
      </c>
      <c r="N471" s="3023" t="s">
        <v>3248</v>
      </c>
    </row>
    <row r="472" spans="1:14" ht="14.25" thickBot="1">
      <c r="A472" s="3016">
        <v>471</v>
      </c>
      <c r="B472" s="3008" t="s">
        <v>3233</v>
      </c>
      <c r="C472" s="3008" t="s">
        <v>3156</v>
      </c>
      <c r="D472" s="3008" t="s">
        <v>3215</v>
      </c>
      <c r="E472" s="3008" t="s">
        <v>3149</v>
      </c>
      <c r="F472" s="3008">
        <v>69.56</v>
      </c>
      <c r="G472" s="3017" t="s">
        <v>3055</v>
      </c>
      <c r="I472" s="3025">
        <v>26</v>
      </c>
      <c r="J472" s="3025">
        <v>2</v>
      </c>
      <c r="K472" s="3025">
        <v>1</v>
      </c>
      <c r="L472" s="3026" t="s">
        <v>3520</v>
      </c>
      <c r="M472" s="3025">
        <v>69.75</v>
      </c>
      <c r="N472" s="3023" t="s">
        <v>3248</v>
      </c>
    </row>
    <row r="473" spans="1:14" ht="14.25" thickBot="1">
      <c r="A473" s="3016">
        <v>472</v>
      </c>
      <c r="B473" s="3008" t="s">
        <v>3233</v>
      </c>
      <c r="C473" s="3008" t="s">
        <v>3157</v>
      </c>
      <c r="D473" s="3008" t="s">
        <v>3213</v>
      </c>
      <c r="E473" s="3008">
        <v>501</v>
      </c>
      <c r="F473" s="3008">
        <v>66.069999999999993</v>
      </c>
      <c r="G473" s="3017" t="s">
        <v>3055</v>
      </c>
      <c r="I473" s="3025">
        <v>26</v>
      </c>
      <c r="J473" s="3025">
        <v>2</v>
      </c>
      <c r="K473" s="3025">
        <v>1</v>
      </c>
      <c r="L473" s="3026" t="s">
        <v>3521</v>
      </c>
      <c r="M473" s="3025">
        <v>69.56</v>
      </c>
      <c r="N473" s="3023" t="s">
        <v>3248</v>
      </c>
    </row>
    <row r="474" spans="1:14" ht="14.25" thickBot="1">
      <c r="A474" s="3016">
        <v>473</v>
      </c>
      <c r="B474" s="3008" t="s">
        <v>3233</v>
      </c>
      <c r="C474" s="3008" t="s">
        <v>3157</v>
      </c>
      <c r="D474" s="3008" t="s">
        <v>3213</v>
      </c>
      <c r="E474" s="3008">
        <v>507</v>
      </c>
      <c r="F474" s="3008">
        <v>94.74</v>
      </c>
      <c r="G474" s="3017" t="s">
        <v>3055</v>
      </c>
    </row>
    <row r="475" spans="1:14" ht="14.25" thickBot="1">
      <c r="A475" s="3016">
        <v>474</v>
      </c>
      <c r="B475" s="3008" t="s">
        <v>3233</v>
      </c>
      <c r="C475" s="3008" t="s">
        <v>3157</v>
      </c>
      <c r="D475" s="3008" t="s">
        <v>3215</v>
      </c>
      <c r="E475" s="3008">
        <v>501</v>
      </c>
      <c r="F475" s="3008">
        <v>94.74</v>
      </c>
      <c r="G475" s="3017" t="s">
        <v>3055</v>
      </c>
    </row>
    <row r="476" spans="1:14" ht="14.25" thickBot="1">
      <c r="A476" s="3016">
        <v>475</v>
      </c>
      <c r="B476" s="3008" t="s">
        <v>3233</v>
      </c>
      <c r="C476" s="3008" t="s">
        <v>3157</v>
      </c>
      <c r="D476" s="3008" t="s">
        <v>3215</v>
      </c>
      <c r="E476" s="3008">
        <v>502</v>
      </c>
      <c r="F476" s="3008">
        <v>69.56</v>
      </c>
      <c r="G476" s="3017" t="s">
        <v>3055</v>
      </c>
    </row>
    <row r="477" spans="1:14" ht="14.25" thickBot="1">
      <c r="A477" s="3016">
        <v>476</v>
      </c>
      <c r="B477" s="3008" t="s">
        <v>3233</v>
      </c>
      <c r="C477" s="3008" t="s">
        <v>3157</v>
      </c>
      <c r="D477" s="3008" t="s">
        <v>3215</v>
      </c>
      <c r="E477" s="3008">
        <v>507</v>
      </c>
      <c r="F477" s="3008">
        <v>66.069999999999993</v>
      </c>
      <c r="G477" s="3017" t="s">
        <v>3055</v>
      </c>
    </row>
    <row r="478" spans="1:14" ht="14.25" thickBot="1">
      <c r="A478" s="3016">
        <v>477</v>
      </c>
      <c r="B478" s="3008" t="s">
        <v>3233</v>
      </c>
      <c r="C478" s="3008" t="s">
        <v>3158</v>
      </c>
      <c r="D478" s="3008" t="s">
        <v>3213</v>
      </c>
      <c r="E478" s="3008">
        <v>601</v>
      </c>
      <c r="F478" s="3008">
        <v>66.069999999999993</v>
      </c>
      <c r="G478" s="3017" t="s">
        <v>3055</v>
      </c>
    </row>
    <row r="479" spans="1:14" ht="14.25" thickBot="1">
      <c r="A479" s="3016">
        <v>478</v>
      </c>
      <c r="B479" s="3008" t="s">
        <v>3233</v>
      </c>
      <c r="C479" s="3008" t="s">
        <v>3158</v>
      </c>
      <c r="D479" s="3008" t="s">
        <v>3213</v>
      </c>
      <c r="E479" s="3008">
        <v>602</v>
      </c>
      <c r="F479" s="3008">
        <v>69.56</v>
      </c>
      <c r="G479" s="3017" t="s">
        <v>3055</v>
      </c>
    </row>
    <row r="480" spans="1:14" ht="14.25" thickBot="1">
      <c r="A480" s="3016">
        <v>479</v>
      </c>
      <c r="B480" s="3008" t="s">
        <v>3233</v>
      </c>
      <c r="C480" s="3008" t="s">
        <v>3158</v>
      </c>
      <c r="D480" s="3008" t="s">
        <v>3213</v>
      </c>
      <c r="E480" s="3008">
        <v>603</v>
      </c>
      <c r="F480" s="3008">
        <v>69.75</v>
      </c>
      <c r="G480" s="3017" t="s">
        <v>3055</v>
      </c>
    </row>
    <row r="481" spans="1:7" ht="14.25" thickBot="1">
      <c r="A481" s="3016">
        <v>480</v>
      </c>
      <c r="B481" s="3008" t="s">
        <v>3233</v>
      </c>
      <c r="C481" s="3008" t="s">
        <v>3158</v>
      </c>
      <c r="D481" s="3008" t="s">
        <v>3213</v>
      </c>
      <c r="E481" s="3008">
        <v>605</v>
      </c>
      <c r="F481" s="3008">
        <v>69.75</v>
      </c>
      <c r="G481" s="3017" t="s">
        <v>3055</v>
      </c>
    </row>
    <row r="482" spans="1:7" ht="14.25" thickBot="1">
      <c r="A482" s="3016">
        <v>481</v>
      </c>
      <c r="B482" s="3008" t="s">
        <v>3233</v>
      </c>
      <c r="C482" s="3008" t="s">
        <v>3158</v>
      </c>
      <c r="D482" s="3008" t="s">
        <v>3213</v>
      </c>
      <c r="E482" s="3008">
        <v>606</v>
      </c>
      <c r="F482" s="3008">
        <v>69.56</v>
      </c>
      <c r="G482" s="3017" t="s">
        <v>3055</v>
      </c>
    </row>
    <row r="483" spans="1:7" ht="14.25" thickBot="1">
      <c r="A483" s="3016">
        <v>482</v>
      </c>
      <c r="B483" s="3008" t="s">
        <v>3233</v>
      </c>
      <c r="C483" s="3008" t="s">
        <v>3158</v>
      </c>
      <c r="D483" s="3008" t="s">
        <v>3215</v>
      </c>
      <c r="E483" s="3008">
        <v>602</v>
      </c>
      <c r="F483" s="3008">
        <v>69.56</v>
      </c>
      <c r="G483" s="3017" t="s">
        <v>3055</v>
      </c>
    </row>
    <row r="484" spans="1:7" ht="14.25" thickBot="1">
      <c r="A484" s="3016">
        <v>483</v>
      </c>
      <c r="B484" s="3008" t="s">
        <v>3233</v>
      </c>
      <c r="C484" s="3008" t="s">
        <v>3158</v>
      </c>
      <c r="D484" s="3008" t="s">
        <v>3215</v>
      </c>
      <c r="E484" s="3008">
        <v>603</v>
      </c>
      <c r="F484" s="3008">
        <v>69.75</v>
      </c>
      <c r="G484" s="3017" t="s">
        <v>3055</v>
      </c>
    </row>
    <row r="485" spans="1:7" ht="14.25" thickBot="1">
      <c r="A485" s="3016">
        <v>484</v>
      </c>
      <c r="B485" s="3008" t="s">
        <v>3233</v>
      </c>
      <c r="C485" s="3008" t="s">
        <v>3158</v>
      </c>
      <c r="D485" s="3008" t="s">
        <v>3215</v>
      </c>
      <c r="E485" s="3008">
        <v>605</v>
      </c>
      <c r="F485" s="3008">
        <v>69.75</v>
      </c>
      <c r="G485" s="3017" t="s">
        <v>3055</v>
      </c>
    </row>
    <row r="486" spans="1:7" ht="14.25" thickBot="1">
      <c r="A486" s="3016">
        <v>485</v>
      </c>
      <c r="B486" s="3008" t="s">
        <v>3233</v>
      </c>
      <c r="C486" s="3008" t="s">
        <v>3158</v>
      </c>
      <c r="D486" s="3008" t="s">
        <v>3215</v>
      </c>
      <c r="E486" s="3008">
        <v>606</v>
      </c>
      <c r="F486" s="3008">
        <v>69.56</v>
      </c>
      <c r="G486" s="3017" t="s">
        <v>3055</v>
      </c>
    </row>
    <row r="487" spans="1:7" ht="14.25" thickBot="1">
      <c r="A487" s="3016">
        <v>486</v>
      </c>
      <c r="B487" s="3008" t="s">
        <v>3324</v>
      </c>
      <c r="C487" s="3020" t="s">
        <v>3152</v>
      </c>
      <c r="D487" s="3008" t="s">
        <v>70</v>
      </c>
      <c r="E487" s="3020">
        <v>102</v>
      </c>
      <c r="F487" s="3008">
        <v>94.78</v>
      </c>
      <c r="G487" s="3017" t="s">
        <v>3055</v>
      </c>
    </row>
    <row r="488" spans="1:7" ht="14.25" thickBot="1">
      <c r="A488" s="3016">
        <v>487</v>
      </c>
      <c r="B488" s="3008" t="s">
        <v>3324</v>
      </c>
      <c r="C488" s="3020" t="s">
        <v>3152</v>
      </c>
      <c r="D488" s="3008" t="s">
        <v>70</v>
      </c>
      <c r="E488" s="3020">
        <v>103</v>
      </c>
      <c r="F488" s="3008">
        <v>89.72</v>
      </c>
      <c r="G488" s="3017" t="s">
        <v>3055</v>
      </c>
    </row>
    <row r="489" spans="1:7" ht="14.25" thickBot="1">
      <c r="A489" s="3016">
        <v>488</v>
      </c>
      <c r="B489" s="3008" t="s">
        <v>3324</v>
      </c>
      <c r="C489" s="3020" t="s">
        <v>3152</v>
      </c>
      <c r="D489" s="3008" t="s">
        <v>70</v>
      </c>
      <c r="E489" s="3020">
        <v>106</v>
      </c>
      <c r="F489" s="3008">
        <v>95.5</v>
      </c>
      <c r="G489" s="3017" t="s">
        <v>3055</v>
      </c>
    </row>
    <row r="490" spans="1:7" ht="14.25" thickBot="1">
      <c r="A490" s="3016">
        <v>489</v>
      </c>
      <c r="B490" s="3008" t="s">
        <v>3324</v>
      </c>
      <c r="C490" s="3020" t="s">
        <v>3159</v>
      </c>
      <c r="D490" s="3008" t="s">
        <v>70</v>
      </c>
      <c r="E490" s="3020">
        <v>201</v>
      </c>
      <c r="F490" s="3008">
        <v>69.2</v>
      </c>
      <c r="G490" s="3017" t="s">
        <v>3055</v>
      </c>
    </row>
    <row r="491" spans="1:7" ht="14.25" thickBot="1">
      <c r="A491" s="3016">
        <v>490</v>
      </c>
      <c r="B491" s="3008" t="s">
        <v>3324</v>
      </c>
      <c r="C491" s="3020" t="s">
        <v>3159</v>
      </c>
      <c r="D491" s="3008" t="s">
        <v>70</v>
      </c>
      <c r="E491" s="3020">
        <v>202</v>
      </c>
      <c r="F491" s="3008">
        <v>94.76</v>
      </c>
      <c r="G491" s="3017" t="s">
        <v>3055</v>
      </c>
    </row>
    <row r="492" spans="1:7" ht="14.25" thickBot="1">
      <c r="A492" s="3016">
        <v>491</v>
      </c>
      <c r="B492" s="3008" t="s">
        <v>3324</v>
      </c>
      <c r="C492" s="3020" t="s">
        <v>3159</v>
      </c>
      <c r="D492" s="3008" t="s">
        <v>70</v>
      </c>
      <c r="E492" s="3020">
        <v>203</v>
      </c>
      <c r="F492" s="3008">
        <v>93.64</v>
      </c>
      <c r="G492" s="3017" t="s">
        <v>3055</v>
      </c>
    </row>
    <row r="493" spans="1:7" ht="14.25" thickBot="1">
      <c r="A493" s="3016">
        <v>492</v>
      </c>
      <c r="B493" s="3008" t="s">
        <v>3324</v>
      </c>
      <c r="C493" s="3020" t="s">
        <v>3159</v>
      </c>
      <c r="D493" s="3008" t="s">
        <v>70</v>
      </c>
      <c r="E493" s="3020">
        <v>205</v>
      </c>
      <c r="F493" s="3008">
        <v>93.64</v>
      </c>
      <c r="G493" s="3017" t="s">
        <v>3055</v>
      </c>
    </row>
    <row r="494" spans="1:7" ht="14.25" thickBot="1">
      <c r="A494" s="3016">
        <v>493</v>
      </c>
      <c r="B494" s="3008" t="s">
        <v>3324</v>
      </c>
      <c r="C494" s="3020" t="s">
        <v>3159</v>
      </c>
      <c r="D494" s="3008" t="s">
        <v>70</v>
      </c>
      <c r="E494" s="3020">
        <v>206</v>
      </c>
      <c r="F494" s="3008">
        <v>95.5</v>
      </c>
      <c r="G494" s="3017" t="s">
        <v>3055</v>
      </c>
    </row>
    <row r="495" spans="1:7" ht="14.25" thickBot="1">
      <c r="A495" s="3016">
        <v>494</v>
      </c>
      <c r="B495" s="3008" t="s">
        <v>3324</v>
      </c>
      <c r="C495" s="3020" t="s">
        <v>3159</v>
      </c>
      <c r="D495" s="3008" t="s">
        <v>70</v>
      </c>
      <c r="E495" s="3020">
        <v>207</v>
      </c>
      <c r="F495" s="3008">
        <v>69.2</v>
      </c>
      <c r="G495" s="3017" t="s">
        <v>3055</v>
      </c>
    </row>
    <row r="496" spans="1:7" ht="14.25" thickBot="1">
      <c r="A496" s="3016">
        <v>495</v>
      </c>
      <c r="B496" s="3008" t="s">
        <v>3324</v>
      </c>
      <c r="C496" s="3020" t="s">
        <v>3153</v>
      </c>
      <c r="D496" s="3008" t="s">
        <v>70</v>
      </c>
      <c r="E496" s="3020">
        <v>301</v>
      </c>
      <c r="F496" s="3008">
        <v>69.2</v>
      </c>
      <c r="G496" s="3017" t="s">
        <v>3055</v>
      </c>
    </row>
    <row r="497" spans="1:7" ht="14.25" thickBot="1">
      <c r="A497" s="3016">
        <v>496</v>
      </c>
      <c r="B497" s="3008" t="s">
        <v>3324</v>
      </c>
      <c r="C497" s="3020" t="s">
        <v>3153</v>
      </c>
      <c r="D497" s="3008" t="s">
        <v>70</v>
      </c>
      <c r="E497" s="3020">
        <v>302</v>
      </c>
      <c r="F497" s="3008">
        <v>94.76</v>
      </c>
      <c r="G497" s="3017" t="s">
        <v>3055</v>
      </c>
    </row>
    <row r="498" spans="1:7" ht="14.25" thickBot="1">
      <c r="A498" s="3016">
        <v>497</v>
      </c>
      <c r="B498" s="3008" t="s">
        <v>3324</v>
      </c>
      <c r="C498" s="3020" t="s">
        <v>3153</v>
      </c>
      <c r="D498" s="3008" t="s">
        <v>70</v>
      </c>
      <c r="E498" s="3020">
        <v>303</v>
      </c>
      <c r="F498" s="3008">
        <v>93.64</v>
      </c>
      <c r="G498" s="3017" t="s">
        <v>3055</v>
      </c>
    </row>
    <row r="499" spans="1:7" ht="14.25" thickBot="1">
      <c r="A499" s="3016">
        <v>498</v>
      </c>
      <c r="B499" s="3008" t="s">
        <v>3324</v>
      </c>
      <c r="C499" s="3020" t="s">
        <v>3153</v>
      </c>
      <c r="D499" s="3008" t="s">
        <v>70</v>
      </c>
      <c r="E499" s="3020">
        <v>305</v>
      </c>
      <c r="F499" s="3008">
        <v>93.64</v>
      </c>
      <c r="G499" s="3017" t="s">
        <v>3055</v>
      </c>
    </row>
    <row r="500" spans="1:7" ht="14.25" thickBot="1">
      <c r="A500" s="3016">
        <v>499</v>
      </c>
      <c r="B500" s="3008" t="s">
        <v>3324</v>
      </c>
      <c r="C500" s="3020" t="s">
        <v>3153</v>
      </c>
      <c r="D500" s="3008" t="s">
        <v>70</v>
      </c>
      <c r="E500" s="3020">
        <v>306</v>
      </c>
      <c r="F500" s="3008">
        <v>95.5</v>
      </c>
      <c r="G500" s="3017" t="s">
        <v>3055</v>
      </c>
    </row>
    <row r="501" spans="1:7" ht="14.25" thickBot="1">
      <c r="A501" s="3016">
        <v>500</v>
      </c>
      <c r="B501" s="3008" t="s">
        <v>3324</v>
      </c>
      <c r="C501" s="3020" t="s">
        <v>3153</v>
      </c>
      <c r="D501" s="3008" t="s">
        <v>70</v>
      </c>
      <c r="E501" s="3020">
        <v>307</v>
      </c>
      <c r="F501" s="3008">
        <v>69.2</v>
      </c>
      <c r="G501" s="3017" t="s">
        <v>3055</v>
      </c>
    </row>
    <row r="502" spans="1:7" ht="14.25" thickBot="1">
      <c r="A502" s="3016">
        <v>501</v>
      </c>
      <c r="B502" s="3008" t="s">
        <v>3324</v>
      </c>
      <c r="C502" s="3020" t="s">
        <v>3156</v>
      </c>
      <c r="D502" s="3008" t="s">
        <v>70</v>
      </c>
      <c r="E502" s="3020" t="s">
        <v>3145</v>
      </c>
      <c r="F502" s="3008">
        <v>69.2</v>
      </c>
      <c r="G502" s="3017" t="s">
        <v>3055</v>
      </c>
    </row>
    <row r="503" spans="1:7" ht="14.25" thickBot="1">
      <c r="A503" s="3016">
        <v>502</v>
      </c>
      <c r="B503" s="3008" t="s">
        <v>3324</v>
      </c>
      <c r="C503" s="3020" t="s">
        <v>3156</v>
      </c>
      <c r="D503" s="3008" t="s">
        <v>70</v>
      </c>
      <c r="E503" s="3020" t="s">
        <v>3146</v>
      </c>
      <c r="F503" s="3008">
        <v>94.76</v>
      </c>
      <c r="G503" s="3017" t="s">
        <v>3055</v>
      </c>
    </row>
    <row r="504" spans="1:7" ht="14.25" thickBot="1">
      <c r="A504" s="3016">
        <v>503</v>
      </c>
      <c r="B504" s="3008" t="s">
        <v>3324</v>
      </c>
      <c r="C504" s="3020" t="s">
        <v>3156</v>
      </c>
      <c r="D504" s="3008" t="s">
        <v>70</v>
      </c>
      <c r="E504" s="3020" t="s">
        <v>3147</v>
      </c>
      <c r="F504" s="3008">
        <v>93.64</v>
      </c>
      <c r="G504" s="3017" t="s">
        <v>3055</v>
      </c>
    </row>
    <row r="505" spans="1:7" ht="14.25" thickBot="1">
      <c r="A505" s="3016">
        <v>504</v>
      </c>
      <c r="B505" s="3008" t="s">
        <v>3324</v>
      </c>
      <c r="C505" s="3020" t="s">
        <v>3156</v>
      </c>
      <c r="D505" s="3008" t="s">
        <v>70</v>
      </c>
      <c r="E505" s="3020" t="s">
        <v>3148</v>
      </c>
      <c r="F505" s="3008">
        <v>93.64</v>
      </c>
      <c r="G505" s="3017" t="s">
        <v>3055</v>
      </c>
    </row>
    <row r="506" spans="1:7" ht="14.25" thickBot="1">
      <c r="A506" s="3016">
        <v>505</v>
      </c>
      <c r="B506" s="3008" t="s">
        <v>3324</v>
      </c>
      <c r="C506" s="3020" t="s">
        <v>3156</v>
      </c>
      <c r="D506" s="3008" t="s">
        <v>70</v>
      </c>
      <c r="E506" s="3020" t="s">
        <v>3149</v>
      </c>
      <c r="F506" s="3008">
        <v>95.5</v>
      </c>
      <c r="G506" s="3017" t="s">
        <v>3055</v>
      </c>
    </row>
    <row r="507" spans="1:7" ht="14.25" thickBot="1">
      <c r="A507" s="3016">
        <v>506</v>
      </c>
      <c r="B507" s="3008" t="s">
        <v>3324</v>
      </c>
      <c r="C507" s="3020" t="s">
        <v>3156</v>
      </c>
      <c r="D507" s="3008" t="s">
        <v>70</v>
      </c>
      <c r="E507" s="3020" t="s">
        <v>3150</v>
      </c>
      <c r="F507" s="3008">
        <v>69.2</v>
      </c>
      <c r="G507" s="3017" t="s">
        <v>3055</v>
      </c>
    </row>
    <row r="508" spans="1:7" ht="14.25" thickBot="1">
      <c r="A508" s="3016">
        <v>507</v>
      </c>
      <c r="B508" s="3008" t="s">
        <v>3324</v>
      </c>
      <c r="C508" s="3020" t="s">
        <v>3157</v>
      </c>
      <c r="D508" s="3008" t="s">
        <v>70</v>
      </c>
      <c r="E508" s="3020">
        <v>501</v>
      </c>
      <c r="F508" s="3008">
        <v>69.2</v>
      </c>
      <c r="G508" s="3017" t="s">
        <v>3055</v>
      </c>
    </row>
    <row r="509" spans="1:7" ht="14.25" thickBot="1">
      <c r="A509" s="3016">
        <v>508</v>
      </c>
      <c r="B509" s="3008" t="s">
        <v>3324</v>
      </c>
      <c r="C509" s="3020" t="s">
        <v>3157</v>
      </c>
      <c r="D509" s="3008" t="s">
        <v>70</v>
      </c>
      <c r="E509" s="3020">
        <v>502</v>
      </c>
      <c r="F509" s="3008">
        <v>94.76</v>
      </c>
      <c r="G509" s="3017" t="s">
        <v>3055</v>
      </c>
    </row>
    <row r="510" spans="1:7" ht="14.25" thickBot="1">
      <c r="A510" s="3016">
        <v>509</v>
      </c>
      <c r="B510" s="3008" t="s">
        <v>3324</v>
      </c>
      <c r="C510" s="3020" t="s">
        <v>3157</v>
      </c>
      <c r="D510" s="3008" t="s">
        <v>70</v>
      </c>
      <c r="E510" s="3020">
        <v>503</v>
      </c>
      <c r="F510" s="3008">
        <v>93.64</v>
      </c>
      <c r="G510" s="3017" t="s">
        <v>3055</v>
      </c>
    </row>
    <row r="511" spans="1:7" ht="14.25" thickBot="1">
      <c r="A511" s="3016">
        <v>510</v>
      </c>
      <c r="B511" s="3008" t="s">
        <v>3324</v>
      </c>
      <c r="C511" s="3020" t="s">
        <v>3157</v>
      </c>
      <c r="D511" s="3008" t="s">
        <v>70</v>
      </c>
      <c r="E511" s="3020">
        <v>505</v>
      </c>
      <c r="F511" s="3008">
        <v>93.64</v>
      </c>
      <c r="G511" s="3017" t="s">
        <v>3055</v>
      </c>
    </row>
    <row r="512" spans="1:7" ht="14.25" thickBot="1">
      <c r="A512" s="3016">
        <v>511</v>
      </c>
      <c r="B512" s="3008" t="s">
        <v>3324</v>
      </c>
      <c r="C512" s="3020" t="s">
        <v>3157</v>
      </c>
      <c r="D512" s="3008" t="s">
        <v>70</v>
      </c>
      <c r="E512" s="3020">
        <v>506</v>
      </c>
      <c r="F512" s="3008">
        <v>95.5</v>
      </c>
      <c r="G512" s="3017" t="s">
        <v>3055</v>
      </c>
    </row>
    <row r="513" spans="1:7" ht="14.25" thickBot="1">
      <c r="A513" s="3016">
        <v>512</v>
      </c>
      <c r="B513" s="3008" t="s">
        <v>3324</v>
      </c>
      <c r="C513" s="3020" t="s">
        <v>3157</v>
      </c>
      <c r="D513" s="3008" t="s">
        <v>70</v>
      </c>
      <c r="E513" s="3020">
        <v>507</v>
      </c>
      <c r="F513" s="3008">
        <v>69.2</v>
      </c>
      <c r="G513" s="3017" t="s">
        <v>3055</v>
      </c>
    </row>
    <row r="514" spans="1:7" ht="14.25" thickBot="1">
      <c r="A514" s="3016">
        <v>513</v>
      </c>
      <c r="B514" s="3008" t="s">
        <v>3324</v>
      </c>
      <c r="C514" s="3020" t="s">
        <v>3158</v>
      </c>
      <c r="D514" s="3008" t="s">
        <v>70</v>
      </c>
      <c r="E514" s="3020">
        <v>601</v>
      </c>
      <c r="F514" s="3008">
        <v>69.2</v>
      </c>
      <c r="G514" s="3017" t="s">
        <v>3055</v>
      </c>
    </row>
    <row r="515" spans="1:7" ht="14.25" thickBot="1">
      <c r="A515" s="3016">
        <v>514</v>
      </c>
      <c r="B515" s="3008" t="s">
        <v>3324</v>
      </c>
      <c r="C515" s="3020" t="s">
        <v>3158</v>
      </c>
      <c r="D515" s="3008" t="s">
        <v>70</v>
      </c>
      <c r="E515" s="3020">
        <v>602</v>
      </c>
      <c r="F515" s="3008">
        <v>94.76</v>
      </c>
      <c r="G515" s="3017" t="s">
        <v>3055</v>
      </c>
    </row>
    <row r="516" spans="1:7" ht="14.25" thickBot="1">
      <c r="A516" s="3016">
        <v>515</v>
      </c>
      <c r="B516" s="3008" t="s">
        <v>3324</v>
      </c>
      <c r="C516" s="3020" t="s">
        <v>3158</v>
      </c>
      <c r="D516" s="3008" t="s">
        <v>70</v>
      </c>
      <c r="E516" s="3020">
        <v>603</v>
      </c>
      <c r="F516" s="3008">
        <v>93.64</v>
      </c>
      <c r="G516" s="3017" t="s">
        <v>3055</v>
      </c>
    </row>
    <row r="517" spans="1:7" ht="14.25" thickBot="1">
      <c r="A517" s="3016">
        <v>516</v>
      </c>
      <c r="B517" s="3008" t="s">
        <v>3324</v>
      </c>
      <c r="C517" s="3020" t="s">
        <v>3158</v>
      </c>
      <c r="D517" s="3008" t="s">
        <v>70</v>
      </c>
      <c r="E517" s="3020">
        <v>605</v>
      </c>
      <c r="F517" s="3008">
        <v>93.64</v>
      </c>
      <c r="G517" s="3017" t="s">
        <v>3055</v>
      </c>
    </row>
    <row r="518" spans="1:7" ht="14.25" thickBot="1">
      <c r="A518" s="3016">
        <v>517</v>
      </c>
      <c r="B518" s="3008" t="s">
        <v>3324</v>
      </c>
      <c r="C518" s="3020" t="s">
        <v>3158</v>
      </c>
      <c r="D518" s="3008" t="s">
        <v>70</v>
      </c>
      <c r="E518" s="3020">
        <v>606</v>
      </c>
      <c r="F518" s="3008">
        <v>95.5</v>
      </c>
      <c r="G518" s="3017" t="s">
        <v>3055</v>
      </c>
    </row>
    <row r="519" spans="1:7" ht="14.25" thickBot="1">
      <c r="A519" s="3016">
        <v>518</v>
      </c>
      <c r="B519" s="3008" t="s">
        <v>3324</v>
      </c>
      <c r="C519" s="3020" t="s">
        <v>3158</v>
      </c>
      <c r="D519" s="3008" t="s">
        <v>70</v>
      </c>
      <c r="E519" s="3020">
        <v>607</v>
      </c>
      <c r="F519" s="3008">
        <v>69.2</v>
      </c>
      <c r="G519" s="3017" t="s">
        <v>3055</v>
      </c>
    </row>
    <row r="520" spans="1:7" ht="14.25" thickBot="1">
      <c r="A520" s="3016">
        <v>519</v>
      </c>
      <c r="B520" s="3008" t="s">
        <v>3244</v>
      </c>
      <c r="C520" s="3020" t="s">
        <v>3152</v>
      </c>
      <c r="D520" s="3008" t="s">
        <v>70</v>
      </c>
      <c r="E520" s="3020">
        <v>102</v>
      </c>
      <c r="F520" s="3008">
        <v>94.949999999999989</v>
      </c>
      <c r="G520" s="3017" t="s">
        <v>3055</v>
      </c>
    </row>
    <row r="521" spans="1:7" ht="14.25" thickBot="1">
      <c r="A521" s="3016">
        <v>520</v>
      </c>
      <c r="B521" s="3008" t="s">
        <v>3244</v>
      </c>
      <c r="C521" s="3020" t="s">
        <v>3152</v>
      </c>
      <c r="D521" s="3008" t="s">
        <v>70</v>
      </c>
      <c r="E521" s="3020">
        <v>103</v>
      </c>
      <c r="F521" s="3008">
        <v>89.89</v>
      </c>
      <c r="G521" s="3017" t="s">
        <v>3055</v>
      </c>
    </row>
    <row r="522" spans="1:7" ht="14.25" thickBot="1">
      <c r="A522" s="3016">
        <v>521</v>
      </c>
      <c r="B522" s="3008" t="s">
        <v>3244</v>
      </c>
      <c r="C522" s="3020" t="s">
        <v>3152</v>
      </c>
      <c r="D522" s="3008" t="s">
        <v>70</v>
      </c>
      <c r="E522" s="3020">
        <v>106</v>
      </c>
      <c r="F522" s="3008">
        <v>95.68</v>
      </c>
      <c r="G522" s="3017" t="s">
        <v>3055</v>
      </c>
    </row>
    <row r="523" spans="1:7" ht="14.25" thickBot="1">
      <c r="A523" s="3016">
        <v>522</v>
      </c>
      <c r="B523" s="3008" t="s">
        <v>3244</v>
      </c>
      <c r="C523" s="3020" t="s">
        <v>3159</v>
      </c>
      <c r="D523" s="3008" t="s">
        <v>70</v>
      </c>
      <c r="E523" s="3020">
        <v>201</v>
      </c>
      <c r="F523" s="3008">
        <v>69.33</v>
      </c>
      <c r="G523" s="3017" t="s">
        <v>3055</v>
      </c>
    </row>
    <row r="524" spans="1:7" ht="14.25" thickBot="1">
      <c r="A524" s="3016">
        <v>523</v>
      </c>
      <c r="B524" s="3008" t="s">
        <v>3244</v>
      </c>
      <c r="C524" s="3020" t="s">
        <v>3159</v>
      </c>
      <c r="D524" s="3008" t="s">
        <v>70</v>
      </c>
      <c r="E524" s="3020">
        <v>202</v>
      </c>
      <c r="F524" s="3008">
        <v>94.94</v>
      </c>
      <c r="G524" s="3017" t="s">
        <v>3055</v>
      </c>
    </row>
    <row r="525" spans="1:7" ht="14.25" thickBot="1">
      <c r="A525" s="3016">
        <v>524</v>
      </c>
      <c r="B525" s="3008" t="s">
        <v>3244</v>
      </c>
      <c r="C525" s="3020" t="s">
        <v>3159</v>
      </c>
      <c r="D525" s="3008" t="s">
        <v>70</v>
      </c>
      <c r="E525" s="3020">
        <v>203</v>
      </c>
      <c r="F525" s="3008">
        <v>93.81</v>
      </c>
      <c r="G525" s="3017" t="s">
        <v>3055</v>
      </c>
    </row>
    <row r="526" spans="1:7" ht="14.25" thickBot="1">
      <c r="A526" s="3016">
        <v>525</v>
      </c>
      <c r="B526" s="3008" t="s">
        <v>3244</v>
      </c>
      <c r="C526" s="3020" t="s">
        <v>3159</v>
      </c>
      <c r="D526" s="3008" t="s">
        <v>70</v>
      </c>
      <c r="E526" s="3020">
        <v>205</v>
      </c>
      <c r="F526" s="3008">
        <v>93.81</v>
      </c>
      <c r="G526" s="3017" t="s">
        <v>3055</v>
      </c>
    </row>
    <row r="527" spans="1:7" ht="14.25" thickBot="1">
      <c r="A527" s="3016">
        <v>526</v>
      </c>
      <c r="B527" s="3008" t="s">
        <v>3244</v>
      </c>
      <c r="C527" s="3020" t="s">
        <v>3159</v>
      </c>
      <c r="D527" s="3008" t="s">
        <v>70</v>
      </c>
      <c r="E527" s="3020">
        <v>206</v>
      </c>
      <c r="F527" s="3008">
        <v>95.68</v>
      </c>
      <c r="G527" s="3017" t="s">
        <v>3055</v>
      </c>
    </row>
    <row r="528" spans="1:7" ht="14.25" thickBot="1">
      <c r="A528" s="3016">
        <v>527</v>
      </c>
      <c r="B528" s="3008" t="s">
        <v>3244</v>
      </c>
      <c r="C528" s="3020" t="s">
        <v>3159</v>
      </c>
      <c r="D528" s="3008" t="s">
        <v>70</v>
      </c>
      <c r="E528" s="3020">
        <v>207</v>
      </c>
      <c r="F528" s="3008">
        <v>69.33</v>
      </c>
      <c r="G528" s="3017" t="s">
        <v>3055</v>
      </c>
    </row>
    <row r="529" spans="1:7" ht="14.25" thickBot="1">
      <c r="A529" s="3016">
        <v>528</v>
      </c>
      <c r="B529" s="3008" t="s">
        <v>3244</v>
      </c>
      <c r="C529" s="3020" t="s">
        <v>3153</v>
      </c>
      <c r="D529" s="3008" t="s">
        <v>70</v>
      </c>
      <c r="E529" s="3020">
        <v>301</v>
      </c>
      <c r="F529" s="3008">
        <v>69.33</v>
      </c>
      <c r="G529" s="3017" t="s">
        <v>3055</v>
      </c>
    </row>
    <row r="530" spans="1:7" ht="14.25" thickBot="1">
      <c r="A530" s="3016">
        <v>529</v>
      </c>
      <c r="B530" s="3008" t="s">
        <v>3244</v>
      </c>
      <c r="C530" s="3020" t="s">
        <v>3153</v>
      </c>
      <c r="D530" s="3008" t="s">
        <v>70</v>
      </c>
      <c r="E530" s="3020">
        <v>302</v>
      </c>
      <c r="F530" s="3008">
        <v>94.94</v>
      </c>
      <c r="G530" s="3017" t="s">
        <v>3055</v>
      </c>
    </row>
    <row r="531" spans="1:7" ht="14.25" thickBot="1">
      <c r="A531" s="3016">
        <v>530</v>
      </c>
      <c r="B531" s="3008" t="s">
        <v>3244</v>
      </c>
      <c r="C531" s="3020" t="s">
        <v>3153</v>
      </c>
      <c r="D531" s="3008" t="s">
        <v>70</v>
      </c>
      <c r="E531" s="3020">
        <v>303</v>
      </c>
      <c r="F531" s="3008">
        <v>93.81</v>
      </c>
      <c r="G531" s="3017" t="s">
        <v>3055</v>
      </c>
    </row>
    <row r="532" spans="1:7" ht="14.25" thickBot="1">
      <c r="A532" s="3016">
        <v>531</v>
      </c>
      <c r="B532" s="3008" t="s">
        <v>3244</v>
      </c>
      <c r="C532" s="3020" t="s">
        <v>3153</v>
      </c>
      <c r="D532" s="3008" t="s">
        <v>70</v>
      </c>
      <c r="E532" s="3020">
        <v>305</v>
      </c>
      <c r="F532" s="3008">
        <v>93.81</v>
      </c>
      <c r="G532" s="3017" t="s">
        <v>3055</v>
      </c>
    </row>
    <row r="533" spans="1:7" ht="14.25" thickBot="1">
      <c r="A533" s="3016">
        <v>532</v>
      </c>
      <c r="B533" s="3008" t="s">
        <v>3244</v>
      </c>
      <c r="C533" s="3020" t="s">
        <v>3153</v>
      </c>
      <c r="D533" s="3008" t="s">
        <v>70</v>
      </c>
      <c r="E533" s="3020">
        <v>306</v>
      </c>
      <c r="F533" s="3008">
        <v>95.68</v>
      </c>
      <c r="G533" s="3017" t="s">
        <v>3055</v>
      </c>
    </row>
    <row r="534" spans="1:7" ht="14.25" thickBot="1">
      <c r="A534" s="3016">
        <v>533</v>
      </c>
      <c r="B534" s="3008" t="s">
        <v>3244</v>
      </c>
      <c r="C534" s="3020" t="s">
        <v>3153</v>
      </c>
      <c r="D534" s="3008" t="s">
        <v>70</v>
      </c>
      <c r="E534" s="3020">
        <v>307</v>
      </c>
      <c r="F534" s="3008">
        <v>69.33</v>
      </c>
      <c r="G534" s="3017" t="s">
        <v>3055</v>
      </c>
    </row>
    <row r="535" spans="1:7" ht="14.25" thickBot="1">
      <c r="A535" s="3016">
        <v>534</v>
      </c>
      <c r="B535" s="3008" t="s">
        <v>3244</v>
      </c>
      <c r="C535" s="3020" t="s">
        <v>3156</v>
      </c>
      <c r="D535" s="3008" t="s">
        <v>70</v>
      </c>
      <c r="E535" s="3020" t="s">
        <v>3145</v>
      </c>
      <c r="F535" s="3008">
        <v>69.33</v>
      </c>
      <c r="G535" s="3017" t="s">
        <v>3055</v>
      </c>
    </row>
    <row r="536" spans="1:7" ht="14.25" thickBot="1">
      <c r="A536" s="3016">
        <v>535</v>
      </c>
      <c r="B536" s="3008" t="s">
        <v>3244</v>
      </c>
      <c r="C536" s="3020" t="s">
        <v>3156</v>
      </c>
      <c r="D536" s="3008" t="s">
        <v>70</v>
      </c>
      <c r="E536" s="3020" t="s">
        <v>3146</v>
      </c>
      <c r="F536" s="3008">
        <v>94.94</v>
      </c>
      <c r="G536" s="3017" t="s">
        <v>3055</v>
      </c>
    </row>
    <row r="537" spans="1:7" ht="14.25" thickBot="1">
      <c r="A537" s="3016">
        <v>536</v>
      </c>
      <c r="B537" s="3008" t="s">
        <v>3244</v>
      </c>
      <c r="C537" s="3020" t="s">
        <v>3156</v>
      </c>
      <c r="D537" s="3008" t="s">
        <v>70</v>
      </c>
      <c r="E537" s="3020" t="s">
        <v>3147</v>
      </c>
      <c r="F537" s="3008">
        <v>93.81</v>
      </c>
      <c r="G537" s="3017" t="s">
        <v>3055</v>
      </c>
    </row>
    <row r="538" spans="1:7" ht="14.25" thickBot="1">
      <c r="A538" s="3016">
        <v>537</v>
      </c>
      <c r="B538" s="3008" t="s">
        <v>3244</v>
      </c>
      <c r="C538" s="3020" t="s">
        <v>3156</v>
      </c>
      <c r="D538" s="3008" t="s">
        <v>70</v>
      </c>
      <c r="E538" s="3020" t="s">
        <v>3148</v>
      </c>
      <c r="F538" s="3008">
        <v>93.81</v>
      </c>
      <c r="G538" s="3017" t="s">
        <v>3055</v>
      </c>
    </row>
    <row r="539" spans="1:7" ht="14.25" thickBot="1">
      <c r="A539" s="3016">
        <v>538</v>
      </c>
      <c r="B539" s="3008" t="s">
        <v>3244</v>
      </c>
      <c r="C539" s="3020" t="s">
        <v>3156</v>
      </c>
      <c r="D539" s="3008" t="s">
        <v>70</v>
      </c>
      <c r="E539" s="3020" t="s">
        <v>3149</v>
      </c>
      <c r="F539" s="3008">
        <v>95.68</v>
      </c>
      <c r="G539" s="3017" t="s">
        <v>3055</v>
      </c>
    </row>
    <row r="540" spans="1:7" ht="14.25" thickBot="1">
      <c r="A540" s="3016">
        <v>539</v>
      </c>
      <c r="B540" s="3008" t="s">
        <v>3244</v>
      </c>
      <c r="C540" s="3020" t="s">
        <v>3156</v>
      </c>
      <c r="D540" s="3008" t="s">
        <v>70</v>
      </c>
      <c r="E540" s="3020" t="s">
        <v>3150</v>
      </c>
      <c r="F540" s="3008">
        <v>69.33</v>
      </c>
      <c r="G540" s="3017" t="s">
        <v>3055</v>
      </c>
    </row>
    <row r="541" spans="1:7" ht="14.25" thickBot="1">
      <c r="A541" s="3016">
        <v>540</v>
      </c>
      <c r="B541" s="3008" t="s">
        <v>3244</v>
      </c>
      <c r="C541" s="3020" t="s">
        <v>3157</v>
      </c>
      <c r="D541" s="3008" t="s">
        <v>70</v>
      </c>
      <c r="E541" s="3020">
        <v>501</v>
      </c>
      <c r="F541" s="3008">
        <v>69.33</v>
      </c>
      <c r="G541" s="3017" t="s">
        <v>3055</v>
      </c>
    </row>
    <row r="542" spans="1:7" ht="14.25" thickBot="1">
      <c r="A542" s="3016">
        <v>541</v>
      </c>
      <c r="B542" s="3008" t="s">
        <v>3244</v>
      </c>
      <c r="C542" s="3020" t="s">
        <v>3157</v>
      </c>
      <c r="D542" s="3008" t="s">
        <v>70</v>
      </c>
      <c r="E542" s="3020">
        <v>502</v>
      </c>
      <c r="F542" s="3008">
        <v>94.94</v>
      </c>
      <c r="G542" s="3017" t="s">
        <v>3055</v>
      </c>
    </row>
    <row r="543" spans="1:7" ht="14.25" thickBot="1">
      <c r="A543" s="3016">
        <v>542</v>
      </c>
      <c r="B543" s="3008" t="s">
        <v>3244</v>
      </c>
      <c r="C543" s="3020" t="s">
        <v>3157</v>
      </c>
      <c r="D543" s="3008" t="s">
        <v>70</v>
      </c>
      <c r="E543" s="3020">
        <v>503</v>
      </c>
      <c r="F543" s="3008">
        <v>93.81</v>
      </c>
      <c r="G543" s="3017" t="s">
        <v>3055</v>
      </c>
    </row>
    <row r="544" spans="1:7" ht="14.25" thickBot="1">
      <c r="A544" s="3016">
        <v>543</v>
      </c>
      <c r="B544" s="3008" t="s">
        <v>3244</v>
      </c>
      <c r="C544" s="3020" t="s">
        <v>3157</v>
      </c>
      <c r="D544" s="3008" t="s">
        <v>70</v>
      </c>
      <c r="E544" s="3020">
        <v>505</v>
      </c>
      <c r="F544" s="3008">
        <v>93.81</v>
      </c>
      <c r="G544" s="3017" t="s">
        <v>3055</v>
      </c>
    </row>
    <row r="545" spans="1:14" ht="14.25" thickBot="1">
      <c r="A545" s="3016">
        <v>544</v>
      </c>
      <c r="B545" s="3008" t="s">
        <v>3244</v>
      </c>
      <c r="C545" s="3020" t="s">
        <v>3157</v>
      </c>
      <c r="D545" s="3008" t="s">
        <v>70</v>
      </c>
      <c r="E545" s="3020">
        <v>506</v>
      </c>
      <c r="F545" s="3008">
        <v>95.68</v>
      </c>
      <c r="G545" s="3017" t="s">
        <v>3055</v>
      </c>
    </row>
    <row r="546" spans="1:14" ht="14.25" thickBot="1">
      <c r="A546" s="3016">
        <v>545</v>
      </c>
      <c r="B546" s="3008" t="s">
        <v>3244</v>
      </c>
      <c r="C546" s="3020" t="s">
        <v>3157</v>
      </c>
      <c r="D546" s="3008" t="s">
        <v>70</v>
      </c>
      <c r="E546" s="3020">
        <v>507</v>
      </c>
      <c r="F546" s="3008">
        <v>69.33</v>
      </c>
      <c r="G546" s="3017" t="s">
        <v>3055</v>
      </c>
    </row>
    <row r="547" spans="1:14" ht="14.25" thickBot="1">
      <c r="A547" s="3016">
        <v>546</v>
      </c>
      <c r="B547" s="3008" t="s">
        <v>3244</v>
      </c>
      <c r="C547" s="3020" t="s">
        <v>3158</v>
      </c>
      <c r="D547" s="3008" t="s">
        <v>70</v>
      </c>
      <c r="E547" s="3020">
        <v>601</v>
      </c>
      <c r="F547" s="3008">
        <v>69.33</v>
      </c>
      <c r="G547" s="3017" t="s">
        <v>3055</v>
      </c>
    </row>
    <row r="548" spans="1:14" ht="14.25" thickBot="1">
      <c r="A548" s="3016">
        <v>547</v>
      </c>
      <c r="B548" s="3008" t="s">
        <v>3244</v>
      </c>
      <c r="C548" s="3020" t="s">
        <v>3158</v>
      </c>
      <c r="D548" s="3008" t="s">
        <v>70</v>
      </c>
      <c r="E548" s="3020">
        <v>602</v>
      </c>
      <c r="F548" s="3008">
        <v>94.94</v>
      </c>
      <c r="G548" s="3017" t="s">
        <v>3055</v>
      </c>
    </row>
    <row r="549" spans="1:14" ht="14.25" thickBot="1">
      <c r="A549" s="3016">
        <v>548</v>
      </c>
      <c r="B549" s="3008" t="s">
        <v>3244</v>
      </c>
      <c r="C549" s="3020" t="s">
        <v>3158</v>
      </c>
      <c r="D549" s="3008" t="s">
        <v>70</v>
      </c>
      <c r="E549" s="3020">
        <v>603</v>
      </c>
      <c r="F549" s="3008">
        <v>93.81</v>
      </c>
      <c r="G549" s="3017" t="s">
        <v>3055</v>
      </c>
    </row>
    <row r="550" spans="1:14" ht="14.25" thickBot="1">
      <c r="A550" s="3016">
        <v>549</v>
      </c>
      <c r="B550" s="3008" t="s">
        <v>3244</v>
      </c>
      <c r="C550" s="3020" t="s">
        <v>3158</v>
      </c>
      <c r="D550" s="3008" t="s">
        <v>70</v>
      </c>
      <c r="E550" s="3020">
        <v>605</v>
      </c>
      <c r="F550" s="3008">
        <v>93.81</v>
      </c>
      <c r="G550" s="3017" t="s">
        <v>3055</v>
      </c>
    </row>
    <row r="551" spans="1:14" ht="14.25" thickBot="1">
      <c r="A551" s="3016">
        <v>550</v>
      </c>
      <c r="B551" s="3008" t="s">
        <v>3244</v>
      </c>
      <c r="C551" s="3020" t="s">
        <v>3158</v>
      </c>
      <c r="D551" s="3008" t="s">
        <v>70</v>
      </c>
      <c r="E551" s="3020">
        <v>606</v>
      </c>
      <c r="F551" s="3008">
        <v>95.68</v>
      </c>
      <c r="G551" s="3017" t="s">
        <v>3055</v>
      </c>
    </row>
    <row r="552" spans="1:14" ht="14.25" thickBot="1">
      <c r="A552" s="3016">
        <v>551</v>
      </c>
      <c r="B552" s="3008" t="s">
        <v>3244</v>
      </c>
      <c r="C552" s="3020" t="s">
        <v>3158</v>
      </c>
      <c r="D552" s="3008" t="s">
        <v>70</v>
      </c>
      <c r="E552" s="3020">
        <v>607</v>
      </c>
      <c r="F552" s="3008">
        <v>69.33</v>
      </c>
      <c r="G552" s="3017" t="s">
        <v>3055</v>
      </c>
    </row>
    <row r="553" spans="1:14" ht="14.25" thickBot="1">
      <c r="A553" s="3016">
        <v>552</v>
      </c>
      <c r="B553" s="3008" t="s">
        <v>3200</v>
      </c>
      <c r="C553" s="3008" t="s">
        <v>3152</v>
      </c>
      <c r="D553" s="3008" t="s">
        <v>70</v>
      </c>
      <c r="E553" s="3008">
        <v>102</v>
      </c>
      <c r="F553" s="3008">
        <v>69.5</v>
      </c>
      <c r="G553" s="3017" t="s">
        <v>3055</v>
      </c>
      <c r="I553" s="3025">
        <v>3</v>
      </c>
      <c r="J553" s="3025">
        <v>6</v>
      </c>
      <c r="K553" s="3025" t="s">
        <v>3341</v>
      </c>
      <c r="L553" s="3026" t="s">
        <v>3342</v>
      </c>
      <c r="M553" s="3025">
        <v>64.430000000000007</v>
      </c>
      <c r="N553" s="3025" t="s">
        <v>3248</v>
      </c>
    </row>
    <row r="554" spans="1:14" ht="14.25" thickBot="1">
      <c r="A554" s="3016">
        <v>553</v>
      </c>
      <c r="B554" s="3008" t="s">
        <v>3200</v>
      </c>
      <c r="C554" s="3008" t="s">
        <v>3152</v>
      </c>
      <c r="D554" s="3008" t="s">
        <v>70</v>
      </c>
      <c r="E554" s="3008">
        <v>105</v>
      </c>
      <c r="F554" s="3008">
        <v>69.55</v>
      </c>
      <c r="G554" s="3017" t="s">
        <v>3055</v>
      </c>
      <c r="I554" s="3025">
        <v>3</v>
      </c>
      <c r="J554" s="3025">
        <v>5</v>
      </c>
      <c r="K554" s="3025" t="s">
        <v>3341</v>
      </c>
      <c r="L554" s="3026" t="s">
        <v>3344</v>
      </c>
      <c r="M554" s="3025">
        <v>69.5</v>
      </c>
      <c r="N554" s="3025" t="s">
        <v>3248</v>
      </c>
    </row>
    <row r="555" spans="1:14" ht="14.25" thickBot="1">
      <c r="A555" s="3016">
        <v>554</v>
      </c>
      <c r="B555" s="3008" t="s">
        <v>3200</v>
      </c>
      <c r="C555" s="3008" t="s">
        <v>3159</v>
      </c>
      <c r="D555" s="3008" t="s">
        <v>70</v>
      </c>
      <c r="E555" s="3008">
        <v>201</v>
      </c>
      <c r="F555" s="3008">
        <v>68.23</v>
      </c>
      <c r="G555" s="3017" t="s">
        <v>3055</v>
      </c>
      <c r="I555" s="3025">
        <v>3</v>
      </c>
      <c r="J555" s="3025">
        <v>4</v>
      </c>
      <c r="K555" s="3025" t="s">
        <v>3341</v>
      </c>
      <c r="L555" s="3026" t="s">
        <v>3345</v>
      </c>
      <c r="M555" s="3025">
        <v>64.430000000000007</v>
      </c>
      <c r="N555" s="3025" t="s">
        <v>3248</v>
      </c>
    </row>
    <row r="556" spans="1:14" ht="14.25" thickBot="1">
      <c r="A556" s="3016">
        <v>555</v>
      </c>
      <c r="B556" s="3008" t="s">
        <v>3200</v>
      </c>
      <c r="C556" s="3008" t="s">
        <v>3159</v>
      </c>
      <c r="D556" s="3008" t="s">
        <v>70</v>
      </c>
      <c r="E556" s="3008">
        <v>202</v>
      </c>
      <c r="F556" s="3008">
        <v>69.5</v>
      </c>
      <c r="G556" s="3017" t="s">
        <v>3055</v>
      </c>
    </row>
    <row r="557" spans="1:14" ht="14.25" thickBot="1">
      <c r="A557" s="3016">
        <v>556</v>
      </c>
      <c r="B557" s="3008" t="s">
        <v>3200</v>
      </c>
      <c r="C557" s="3008" t="s">
        <v>3159</v>
      </c>
      <c r="D557" s="3008" t="s">
        <v>70</v>
      </c>
      <c r="E557" s="3008">
        <v>205</v>
      </c>
      <c r="F557" s="3008">
        <v>69.55</v>
      </c>
      <c r="G557" s="3017" t="s">
        <v>3055</v>
      </c>
    </row>
    <row r="558" spans="1:14" ht="14.25" thickBot="1">
      <c r="A558" s="3016">
        <v>557</v>
      </c>
      <c r="B558" s="3008" t="s">
        <v>3200</v>
      </c>
      <c r="C558" s="3008" t="s">
        <v>3159</v>
      </c>
      <c r="D558" s="3008" t="s">
        <v>70</v>
      </c>
      <c r="E558" s="3008">
        <v>206</v>
      </c>
      <c r="F558" s="3008">
        <v>69.739999999999995</v>
      </c>
      <c r="G558" s="3017" t="s">
        <v>3055</v>
      </c>
    </row>
    <row r="559" spans="1:14" ht="14.25" thickBot="1">
      <c r="A559" s="3016">
        <v>558</v>
      </c>
      <c r="B559" s="3008" t="s">
        <v>3200</v>
      </c>
      <c r="C559" s="3008" t="s">
        <v>3153</v>
      </c>
      <c r="D559" s="3008" t="s">
        <v>70</v>
      </c>
      <c r="E559" s="3008">
        <v>302</v>
      </c>
      <c r="F559" s="3008">
        <v>69.5</v>
      </c>
      <c r="G559" s="3017" t="s">
        <v>3055</v>
      </c>
    </row>
    <row r="560" spans="1:14" ht="14.25" thickBot="1">
      <c r="A560" s="3016">
        <v>559</v>
      </c>
      <c r="B560" s="3008" t="s">
        <v>3200</v>
      </c>
      <c r="C560" s="3008" t="s">
        <v>3153</v>
      </c>
      <c r="D560" s="3008" t="s">
        <v>70</v>
      </c>
      <c r="E560" s="3008">
        <v>303</v>
      </c>
      <c r="F560" s="3008">
        <v>69.55</v>
      </c>
      <c r="G560" s="3017" t="s">
        <v>3055</v>
      </c>
    </row>
    <row r="561" spans="1:7" ht="14.25" thickBot="1">
      <c r="A561" s="3016">
        <v>560</v>
      </c>
      <c r="B561" s="3008" t="s">
        <v>3200</v>
      </c>
      <c r="C561" s="3008" t="s">
        <v>3153</v>
      </c>
      <c r="D561" s="3008" t="s">
        <v>70</v>
      </c>
      <c r="E561" s="3008">
        <v>306</v>
      </c>
      <c r="F561" s="3008">
        <v>69.739999999999995</v>
      </c>
      <c r="G561" s="3017" t="s">
        <v>3055</v>
      </c>
    </row>
    <row r="562" spans="1:7" ht="14.25" thickBot="1">
      <c r="A562" s="3016">
        <v>561</v>
      </c>
      <c r="B562" s="3008" t="s">
        <v>3200</v>
      </c>
      <c r="C562" s="3008" t="s">
        <v>3153</v>
      </c>
      <c r="D562" s="3008" t="s">
        <v>70</v>
      </c>
      <c r="E562" s="3008">
        <v>307</v>
      </c>
      <c r="F562" s="3008">
        <v>68.37</v>
      </c>
      <c r="G562" s="3017" t="s">
        <v>3055</v>
      </c>
    </row>
    <row r="563" spans="1:7" ht="14.25" thickBot="1">
      <c r="A563" s="3016">
        <v>562</v>
      </c>
      <c r="B563" s="3008" t="s">
        <v>3200</v>
      </c>
      <c r="C563" s="3008" t="s">
        <v>3156</v>
      </c>
      <c r="D563" s="3008" t="s">
        <v>70</v>
      </c>
      <c r="E563" s="3008" t="s">
        <v>3145</v>
      </c>
      <c r="F563" s="3008">
        <v>68.23</v>
      </c>
      <c r="G563" s="3017" t="s">
        <v>3055</v>
      </c>
    </row>
    <row r="564" spans="1:7" ht="14.25" thickBot="1">
      <c r="A564" s="3016">
        <v>563</v>
      </c>
      <c r="B564" s="3008" t="s">
        <v>3200</v>
      </c>
      <c r="C564" s="3008" t="s">
        <v>3156</v>
      </c>
      <c r="D564" s="3008" t="s">
        <v>70</v>
      </c>
      <c r="E564" s="3008" t="s">
        <v>3146</v>
      </c>
      <c r="F564" s="3008">
        <v>69.5</v>
      </c>
      <c r="G564" s="3017" t="s">
        <v>3055</v>
      </c>
    </row>
    <row r="565" spans="1:7" ht="14.25" thickBot="1">
      <c r="A565" s="3016">
        <v>564</v>
      </c>
      <c r="B565" s="3008" t="s">
        <v>3200</v>
      </c>
      <c r="C565" s="3008" t="s">
        <v>3156</v>
      </c>
      <c r="D565" s="3008" t="s">
        <v>70</v>
      </c>
      <c r="E565" s="3008" t="s">
        <v>3147</v>
      </c>
      <c r="F565" s="3008">
        <v>69.55</v>
      </c>
      <c r="G565" s="3017" t="s">
        <v>3055</v>
      </c>
    </row>
    <row r="566" spans="1:7" ht="14.25" thickBot="1">
      <c r="A566" s="3016">
        <v>565</v>
      </c>
      <c r="B566" s="3008" t="s">
        <v>3200</v>
      </c>
      <c r="C566" s="3008" t="s">
        <v>3156</v>
      </c>
      <c r="D566" s="3008" t="s">
        <v>70</v>
      </c>
      <c r="E566" s="3008" t="s">
        <v>3148</v>
      </c>
      <c r="F566" s="3008">
        <v>69.55</v>
      </c>
      <c r="G566" s="3017" t="s">
        <v>3055</v>
      </c>
    </row>
    <row r="567" spans="1:7" ht="14.25" thickBot="1">
      <c r="A567" s="3016">
        <v>566</v>
      </c>
      <c r="B567" s="3008" t="s">
        <v>3200</v>
      </c>
      <c r="C567" s="3008" t="s">
        <v>3156</v>
      </c>
      <c r="D567" s="3008" t="s">
        <v>70</v>
      </c>
      <c r="E567" s="3008" t="s">
        <v>3149</v>
      </c>
      <c r="F567" s="3008">
        <v>69.739999999999995</v>
      </c>
      <c r="G567" s="3017" t="s">
        <v>3055</v>
      </c>
    </row>
    <row r="568" spans="1:7" ht="14.25" thickBot="1">
      <c r="A568" s="3016">
        <v>567</v>
      </c>
      <c r="B568" s="3008" t="s">
        <v>3200</v>
      </c>
      <c r="C568" s="3008" t="s">
        <v>3157</v>
      </c>
      <c r="D568" s="3008" t="s">
        <v>70</v>
      </c>
      <c r="E568" s="3008">
        <v>501</v>
      </c>
      <c r="F568" s="3008">
        <v>68.23</v>
      </c>
      <c r="G568" s="3017" t="s">
        <v>3055</v>
      </c>
    </row>
    <row r="569" spans="1:7" ht="14.25" thickBot="1">
      <c r="A569" s="3016">
        <v>568</v>
      </c>
      <c r="B569" s="3008" t="s">
        <v>3200</v>
      </c>
      <c r="C569" s="3008" t="s">
        <v>3157</v>
      </c>
      <c r="D569" s="3008" t="s">
        <v>70</v>
      </c>
      <c r="E569" s="3008">
        <v>503</v>
      </c>
      <c r="F569" s="3008">
        <v>69.55</v>
      </c>
      <c r="G569" s="3017" t="s">
        <v>3055</v>
      </c>
    </row>
    <row r="570" spans="1:7" ht="14.25" thickBot="1">
      <c r="A570" s="3016">
        <v>569</v>
      </c>
      <c r="B570" s="3008" t="s">
        <v>3200</v>
      </c>
      <c r="C570" s="3008" t="s">
        <v>3157</v>
      </c>
      <c r="D570" s="3008" t="s">
        <v>70</v>
      </c>
      <c r="E570" s="3008">
        <v>505</v>
      </c>
      <c r="F570" s="3008">
        <v>69.55</v>
      </c>
      <c r="G570" s="3017" t="s">
        <v>3055</v>
      </c>
    </row>
    <row r="571" spans="1:7" ht="14.25" thickBot="1">
      <c r="A571" s="3016">
        <v>570</v>
      </c>
      <c r="B571" s="3008" t="s">
        <v>3200</v>
      </c>
      <c r="C571" s="3008" t="s">
        <v>3157</v>
      </c>
      <c r="D571" s="3008" t="s">
        <v>70</v>
      </c>
      <c r="E571" s="3008">
        <v>506</v>
      </c>
      <c r="F571" s="3008">
        <v>69.739999999999995</v>
      </c>
      <c r="G571" s="3017" t="s">
        <v>3055</v>
      </c>
    </row>
    <row r="572" spans="1:7" ht="14.25" thickBot="1">
      <c r="A572" s="3016">
        <v>571</v>
      </c>
      <c r="B572" s="3008" t="s">
        <v>3200</v>
      </c>
      <c r="C572" s="3008" t="s">
        <v>3157</v>
      </c>
      <c r="D572" s="3008" t="s">
        <v>70</v>
      </c>
      <c r="E572" s="3008">
        <v>507</v>
      </c>
      <c r="F572" s="3008">
        <v>68.37</v>
      </c>
      <c r="G572" s="3017" t="s">
        <v>3055</v>
      </c>
    </row>
    <row r="573" spans="1:7" ht="14.25" thickBot="1">
      <c r="A573" s="3016">
        <v>572</v>
      </c>
      <c r="B573" s="3008" t="s">
        <v>3200</v>
      </c>
      <c r="C573" s="3008" t="s">
        <v>3158</v>
      </c>
      <c r="D573" s="3008" t="s">
        <v>70</v>
      </c>
      <c r="E573" s="3008">
        <v>602</v>
      </c>
      <c r="F573" s="3008">
        <v>69.5</v>
      </c>
      <c r="G573" s="3017" t="s">
        <v>3055</v>
      </c>
    </row>
    <row r="574" spans="1:7" ht="14.25" thickBot="1">
      <c r="A574" s="3016">
        <v>573</v>
      </c>
      <c r="B574" s="3008" t="s">
        <v>3200</v>
      </c>
      <c r="C574" s="3008" t="s">
        <v>3158</v>
      </c>
      <c r="D574" s="3008" t="s">
        <v>70</v>
      </c>
      <c r="E574" s="3008">
        <v>603</v>
      </c>
      <c r="F574" s="3008">
        <v>69.55</v>
      </c>
      <c r="G574" s="3017" t="s">
        <v>3055</v>
      </c>
    </row>
    <row r="575" spans="1:7" ht="14.25" thickBot="1">
      <c r="A575" s="3016">
        <v>574</v>
      </c>
      <c r="B575" s="3008" t="s">
        <v>3325</v>
      </c>
      <c r="C575" s="3020" t="s">
        <v>3153</v>
      </c>
      <c r="D575" s="3008" t="s">
        <v>70</v>
      </c>
      <c r="E575" s="3008">
        <v>301</v>
      </c>
      <c r="F575" s="3008">
        <v>68.92</v>
      </c>
      <c r="G575" s="3017" t="s">
        <v>3055</v>
      </c>
    </row>
    <row r="576" spans="1:7" ht="14.25" thickBot="1">
      <c r="A576" s="3016">
        <v>575</v>
      </c>
      <c r="B576" s="3008" t="s">
        <v>3325</v>
      </c>
      <c r="C576" s="3020" t="s">
        <v>3153</v>
      </c>
      <c r="D576" s="3008" t="s">
        <v>70</v>
      </c>
      <c r="E576" s="3008">
        <v>302</v>
      </c>
      <c r="F576" s="3008">
        <v>72.41</v>
      </c>
      <c r="G576" s="3017" t="s">
        <v>3055</v>
      </c>
    </row>
    <row r="577" spans="1:7" ht="14.25" thickBot="1">
      <c r="A577" s="3016">
        <v>576</v>
      </c>
      <c r="B577" s="3008" t="s">
        <v>3325</v>
      </c>
      <c r="C577" s="3020" t="s">
        <v>3153</v>
      </c>
      <c r="D577" s="3008" t="s">
        <v>70</v>
      </c>
      <c r="E577" s="3008">
        <v>303</v>
      </c>
      <c r="F577" s="3008">
        <v>72.45</v>
      </c>
      <c r="G577" s="3017" t="s">
        <v>3055</v>
      </c>
    </row>
    <row r="578" spans="1:7" ht="14.25" thickBot="1">
      <c r="A578" s="3016">
        <v>577</v>
      </c>
      <c r="B578" s="3008" t="s">
        <v>3325</v>
      </c>
      <c r="C578" s="3020" t="s">
        <v>3153</v>
      </c>
      <c r="D578" s="3008" t="s">
        <v>70</v>
      </c>
      <c r="E578" s="3008">
        <v>305</v>
      </c>
      <c r="F578" s="3008">
        <v>72.45</v>
      </c>
      <c r="G578" s="3017" t="s">
        <v>3055</v>
      </c>
    </row>
    <row r="579" spans="1:7" ht="14.25" thickBot="1">
      <c r="A579" s="3016">
        <v>578</v>
      </c>
      <c r="B579" s="3008" t="s">
        <v>3325</v>
      </c>
      <c r="C579" s="3020" t="s">
        <v>3153</v>
      </c>
      <c r="D579" s="3008" t="s">
        <v>70</v>
      </c>
      <c r="E579" s="3008">
        <v>306</v>
      </c>
      <c r="F579" s="3008">
        <v>72.41</v>
      </c>
      <c r="G579" s="3017" t="s">
        <v>3055</v>
      </c>
    </row>
    <row r="580" spans="1:7" ht="14.25" thickBot="1">
      <c r="A580" s="3016">
        <v>579</v>
      </c>
      <c r="B580" s="3008" t="s">
        <v>3325</v>
      </c>
      <c r="C580" s="3020" t="s">
        <v>3153</v>
      </c>
      <c r="D580" s="3008" t="s">
        <v>70</v>
      </c>
      <c r="E580" s="3008">
        <v>307</v>
      </c>
      <c r="F580" s="3008">
        <v>68.92</v>
      </c>
      <c r="G580" s="3017" t="s">
        <v>3055</v>
      </c>
    </row>
    <row r="581" spans="1:7" ht="14.25" thickBot="1">
      <c r="A581" s="3016">
        <v>580</v>
      </c>
      <c r="B581" s="3008" t="s">
        <v>3325</v>
      </c>
      <c r="C581" s="3020" t="s">
        <v>3156</v>
      </c>
      <c r="D581" s="3008" t="s">
        <v>70</v>
      </c>
      <c r="E581" s="3008" t="s">
        <v>3145</v>
      </c>
      <c r="F581" s="3008">
        <v>68.92</v>
      </c>
      <c r="G581" s="3017" t="s">
        <v>3055</v>
      </c>
    </row>
    <row r="582" spans="1:7" ht="14.25" thickBot="1">
      <c r="A582" s="3016">
        <v>581</v>
      </c>
      <c r="B582" s="3008" t="s">
        <v>3325</v>
      </c>
      <c r="C582" s="3020" t="s">
        <v>3156</v>
      </c>
      <c r="D582" s="3008" t="s">
        <v>70</v>
      </c>
      <c r="E582" s="3008" t="s">
        <v>3146</v>
      </c>
      <c r="F582" s="3008">
        <v>72.41</v>
      </c>
      <c r="G582" s="3017" t="s">
        <v>3055</v>
      </c>
    </row>
    <row r="583" spans="1:7" ht="14.25" thickBot="1">
      <c r="A583" s="3016">
        <v>582</v>
      </c>
      <c r="B583" s="3008" t="s">
        <v>3325</v>
      </c>
      <c r="C583" s="3020" t="s">
        <v>3156</v>
      </c>
      <c r="D583" s="3008" t="s">
        <v>70</v>
      </c>
      <c r="E583" s="3008" t="s">
        <v>3147</v>
      </c>
      <c r="F583" s="3008">
        <v>72.45</v>
      </c>
      <c r="G583" s="3017" t="s">
        <v>3055</v>
      </c>
    </row>
    <row r="584" spans="1:7" ht="14.25" thickBot="1">
      <c r="A584" s="3016">
        <v>583</v>
      </c>
      <c r="B584" s="3008" t="s">
        <v>3325</v>
      </c>
      <c r="C584" s="3020" t="s">
        <v>3156</v>
      </c>
      <c r="D584" s="3008" t="s">
        <v>70</v>
      </c>
      <c r="E584" s="3008" t="s">
        <v>3148</v>
      </c>
      <c r="F584" s="3008">
        <v>72.45</v>
      </c>
      <c r="G584" s="3017" t="s">
        <v>3055</v>
      </c>
    </row>
    <row r="585" spans="1:7" ht="14.25" thickBot="1">
      <c r="A585" s="3016">
        <v>584</v>
      </c>
      <c r="B585" s="3008" t="s">
        <v>3325</v>
      </c>
      <c r="C585" s="3020" t="s">
        <v>3156</v>
      </c>
      <c r="D585" s="3008" t="s">
        <v>70</v>
      </c>
      <c r="E585" s="3008" t="s">
        <v>3149</v>
      </c>
      <c r="F585" s="3008">
        <v>72.41</v>
      </c>
      <c r="G585" s="3017" t="s">
        <v>3055</v>
      </c>
    </row>
    <row r="586" spans="1:7" ht="14.25" thickBot="1">
      <c r="A586" s="3016">
        <v>585</v>
      </c>
      <c r="B586" s="3008" t="s">
        <v>3325</v>
      </c>
      <c r="C586" s="3020" t="s">
        <v>3156</v>
      </c>
      <c r="D586" s="3008" t="s">
        <v>70</v>
      </c>
      <c r="E586" s="3008" t="s">
        <v>3150</v>
      </c>
      <c r="F586" s="3008">
        <v>68.92</v>
      </c>
      <c r="G586" s="3017" t="s">
        <v>3055</v>
      </c>
    </row>
    <row r="587" spans="1:7" ht="14.25" thickBot="1">
      <c r="A587" s="3016">
        <v>586</v>
      </c>
      <c r="B587" s="3008" t="s">
        <v>3325</v>
      </c>
      <c r="C587" s="3020" t="s">
        <v>3157</v>
      </c>
      <c r="D587" s="3008" t="s">
        <v>70</v>
      </c>
      <c r="E587" s="3008">
        <v>501</v>
      </c>
      <c r="F587" s="3008">
        <v>68.92</v>
      </c>
      <c r="G587" s="3017" t="s">
        <v>3055</v>
      </c>
    </row>
    <row r="588" spans="1:7" ht="14.25" thickBot="1">
      <c r="A588" s="3016">
        <v>587</v>
      </c>
      <c r="B588" s="3008" t="s">
        <v>3325</v>
      </c>
      <c r="C588" s="3020" t="s">
        <v>3157</v>
      </c>
      <c r="D588" s="3008" t="s">
        <v>70</v>
      </c>
      <c r="E588" s="3008">
        <v>502</v>
      </c>
      <c r="F588" s="3008">
        <v>72.41</v>
      </c>
      <c r="G588" s="3017" t="s">
        <v>3055</v>
      </c>
    </row>
    <row r="589" spans="1:7" ht="14.25" thickBot="1">
      <c r="A589" s="3016">
        <v>588</v>
      </c>
      <c r="B589" s="3008" t="s">
        <v>3325</v>
      </c>
      <c r="C589" s="3020" t="s">
        <v>3157</v>
      </c>
      <c r="D589" s="3008" t="s">
        <v>70</v>
      </c>
      <c r="E589" s="3008">
        <v>503</v>
      </c>
      <c r="F589" s="3008">
        <v>72.45</v>
      </c>
      <c r="G589" s="3017" t="s">
        <v>3055</v>
      </c>
    </row>
    <row r="590" spans="1:7" ht="14.25" thickBot="1">
      <c r="A590" s="3016">
        <v>589</v>
      </c>
      <c r="B590" s="3008" t="s">
        <v>3325</v>
      </c>
      <c r="C590" s="3020" t="s">
        <v>3157</v>
      </c>
      <c r="D590" s="3008" t="s">
        <v>70</v>
      </c>
      <c r="E590" s="3008">
        <v>505</v>
      </c>
      <c r="F590" s="3008">
        <v>72.45</v>
      </c>
      <c r="G590" s="3017" t="s">
        <v>3055</v>
      </c>
    </row>
    <row r="591" spans="1:7" ht="14.25" thickBot="1">
      <c r="A591" s="3016">
        <v>590</v>
      </c>
      <c r="B591" s="3008" t="s">
        <v>3325</v>
      </c>
      <c r="C591" s="3020" t="s">
        <v>3157</v>
      </c>
      <c r="D591" s="3008" t="s">
        <v>70</v>
      </c>
      <c r="E591" s="3008">
        <v>506</v>
      </c>
      <c r="F591" s="3008">
        <v>72.41</v>
      </c>
      <c r="G591" s="3017" t="s">
        <v>3055</v>
      </c>
    </row>
    <row r="592" spans="1:7" ht="14.25" thickBot="1">
      <c r="A592" s="3016">
        <v>591</v>
      </c>
      <c r="B592" s="3008" t="s">
        <v>3325</v>
      </c>
      <c r="C592" s="3020" t="s">
        <v>3157</v>
      </c>
      <c r="D592" s="3008" t="s">
        <v>70</v>
      </c>
      <c r="E592" s="3008">
        <v>507</v>
      </c>
      <c r="F592" s="3008">
        <v>68.92</v>
      </c>
      <c r="G592" s="3017" t="s">
        <v>3055</v>
      </c>
    </row>
    <row r="593" spans="1:14" ht="14.25" thickBot="1">
      <c r="A593" s="3016">
        <v>592</v>
      </c>
      <c r="B593" s="3008" t="s">
        <v>3325</v>
      </c>
      <c r="C593" s="3020" t="s">
        <v>3158</v>
      </c>
      <c r="D593" s="3008" t="s">
        <v>70</v>
      </c>
      <c r="E593" s="3008">
        <v>601</v>
      </c>
      <c r="F593" s="3008">
        <v>68.92</v>
      </c>
      <c r="G593" s="3017" t="s">
        <v>3055</v>
      </c>
    </row>
    <row r="594" spans="1:14" ht="14.25" thickBot="1">
      <c r="A594" s="3016">
        <v>593</v>
      </c>
      <c r="B594" s="3008" t="s">
        <v>3325</v>
      </c>
      <c r="C594" s="3020" t="s">
        <v>3158</v>
      </c>
      <c r="D594" s="3008" t="s">
        <v>70</v>
      </c>
      <c r="E594" s="3008">
        <v>602</v>
      </c>
      <c r="F594" s="3008">
        <v>72.41</v>
      </c>
      <c r="G594" s="3017" t="s">
        <v>3055</v>
      </c>
    </row>
    <row r="595" spans="1:14" ht="14.25" thickBot="1">
      <c r="A595" s="3016">
        <v>594</v>
      </c>
      <c r="B595" s="3008" t="s">
        <v>3325</v>
      </c>
      <c r="C595" s="3020" t="s">
        <v>3158</v>
      </c>
      <c r="D595" s="3008" t="s">
        <v>70</v>
      </c>
      <c r="E595" s="3008">
        <v>603</v>
      </c>
      <c r="F595" s="3008">
        <v>72.45</v>
      </c>
      <c r="G595" s="3017" t="s">
        <v>3055</v>
      </c>
    </row>
    <row r="596" spans="1:14" ht="14.25" thickBot="1">
      <c r="A596" s="3016">
        <v>595</v>
      </c>
      <c r="B596" s="3008" t="s">
        <v>3325</v>
      </c>
      <c r="C596" s="3020" t="s">
        <v>3158</v>
      </c>
      <c r="D596" s="3008" t="s">
        <v>70</v>
      </c>
      <c r="E596" s="3008">
        <v>605</v>
      </c>
      <c r="F596" s="3008">
        <v>72.45</v>
      </c>
      <c r="G596" s="3017" t="s">
        <v>3055</v>
      </c>
    </row>
    <row r="597" spans="1:14" ht="14.25" thickBot="1">
      <c r="A597" s="3016">
        <v>596</v>
      </c>
      <c r="B597" s="3008" t="s">
        <v>3325</v>
      </c>
      <c r="C597" s="3020" t="s">
        <v>3158</v>
      </c>
      <c r="D597" s="3008" t="s">
        <v>70</v>
      </c>
      <c r="E597" s="3008">
        <v>606</v>
      </c>
      <c r="F597" s="3008">
        <v>72.41</v>
      </c>
      <c r="G597" s="3017" t="s">
        <v>3055</v>
      </c>
    </row>
    <row r="598" spans="1:14" ht="14.25" thickBot="1">
      <c r="A598" s="3016">
        <v>597</v>
      </c>
      <c r="B598" s="3008" t="s">
        <v>3325</v>
      </c>
      <c r="C598" s="3020" t="s">
        <v>3158</v>
      </c>
      <c r="D598" s="3008" t="s">
        <v>70</v>
      </c>
      <c r="E598" s="3008">
        <v>607</v>
      </c>
      <c r="F598" s="3008">
        <v>68.92</v>
      </c>
      <c r="G598" s="3017" t="s">
        <v>3055</v>
      </c>
    </row>
    <row r="599" spans="1:14" ht="14.25" thickBot="1">
      <c r="A599" s="3016">
        <v>598</v>
      </c>
      <c r="B599" s="3008" t="s">
        <v>3235</v>
      </c>
      <c r="C599" s="3020" t="s">
        <v>3153</v>
      </c>
      <c r="D599" s="3008" t="s">
        <v>70</v>
      </c>
      <c r="E599" s="3020">
        <v>301</v>
      </c>
      <c r="F599" s="3008">
        <v>69.77</v>
      </c>
      <c r="G599" s="3017" t="s">
        <v>3055</v>
      </c>
      <c r="I599" s="3025">
        <v>5</v>
      </c>
      <c r="J599" s="3025">
        <v>6</v>
      </c>
      <c r="K599" s="3025" t="s">
        <v>3341</v>
      </c>
      <c r="L599" s="3026" t="s">
        <v>3346</v>
      </c>
      <c r="M599" s="3025">
        <v>69.959999999999994</v>
      </c>
      <c r="N599" s="3025" t="s">
        <v>3248</v>
      </c>
    </row>
    <row r="600" spans="1:14" ht="14.25" thickBot="1">
      <c r="A600" s="3016">
        <v>599</v>
      </c>
      <c r="B600" s="3008" t="s">
        <v>3235</v>
      </c>
      <c r="C600" s="3020" t="s">
        <v>3156</v>
      </c>
      <c r="D600" s="3008" t="s">
        <v>70</v>
      </c>
      <c r="E600" s="3020" t="s">
        <v>3145</v>
      </c>
      <c r="F600" s="3008">
        <v>69.77</v>
      </c>
      <c r="G600" s="3017" t="s">
        <v>3055</v>
      </c>
      <c r="I600" s="3025">
        <v>5</v>
      </c>
      <c r="J600" s="3025">
        <v>5</v>
      </c>
      <c r="K600" s="3025" t="s">
        <v>3341</v>
      </c>
      <c r="L600" s="3026" t="s">
        <v>3347</v>
      </c>
      <c r="M600" s="3025">
        <v>66.209999999999994</v>
      </c>
      <c r="N600" s="3025" t="s">
        <v>3248</v>
      </c>
    </row>
    <row r="601" spans="1:14" ht="14.25" thickBot="1">
      <c r="A601" s="3016">
        <v>600</v>
      </c>
      <c r="B601" s="3008" t="s">
        <v>3235</v>
      </c>
      <c r="C601" s="3020" t="s">
        <v>3157</v>
      </c>
      <c r="D601" s="3008" t="s">
        <v>70</v>
      </c>
      <c r="E601" s="3020">
        <v>501</v>
      </c>
      <c r="F601" s="3008">
        <v>69.77</v>
      </c>
      <c r="G601" s="3017" t="s">
        <v>3055</v>
      </c>
      <c r="I601" s="3025">
        <v>5</v>
      </c>
      <c r="J601" s="3025">
        <v>5</v>
      </c>
      <c r="K601" s="3025" t="s">
        <v>3341</v>
      </c>
      <c r="L601" s="3026" t="s">
        <v>3348</v>
      </c>
      <c r="M601" s="3025">
        <v>71.37</v>
      </c>
      <c r="N601" s="3025" t="s">
        <v>3248</v>
      </c>
    </row>
    <row r="602" spans="1:14" ht="14.25" thickBot="1">
      <c r="A602" s="3016">
        <v>601</v>
      </c>
      <c r="B602" s="3008" t="s">
        <v>3235</v>
      </c>
      <c r="C602" s="3020" t="s">
        <v>3158</v>
      </c>
      <c r="D602" s="3008" t="s">
        <v>70</v>
      </c>
      <c r="E602" s="3020">
        <v>601</v>
      </c>
      <c r="F602" s="3008">
        <v>69.77</v>
      </c>
      <c r="G602" s="3017" t="s">
        <v>3055</v>
      </c>
      <c r="I602" s="3025">
        <v>5</v>
      </c>
      <c r="J602" s="3025">
        <v>5</v>
      </c>
      <c r="K602" s="3025" t="s">
        <v>3341</v>
      </c>
      <c r="L602" s="3026" t="s">
        <v>3349</v>
      </c>
      <c r="M602" s="3025">
        <v>71.37</v>
      </c>
      <c r="N602" s="3025" t="s">
        <v>3248</v>
      </c>
    </row>
    <row r="603" spans="1:14" ht="14.25" thickBot="1">
      <c r="A603" s="3016">
        <v>602</v>
      </c>
      <c r="B603" s="3008" t="s">
        <v>3235</v>
      </c>
      <c r="C603" s="3020" t="s">
        <v>3158</v>
      </c>
      <c r="D603" s="3008" t="s">
        <v>70</v>
      </c>
      <c r="E603" s="3020">
        <v>602</v>
      </c>
      <c r="F603" s="3008">
        <v>71.33</v>
      </c>
      <c r="G603" s="3017" t="s">
        <v>3055</v>
      </c>
      <c r="I603" s="3025">
        <v>5</v>
      </c>
      <c r="J603" s="3025">
        <v>5</v>
      </c>
      <c r="K603" s="3025" t="s">
        <v>3341</v>
      </c>
      <c r="L603" s="3026" t="s">
        <v>3350</v>
      </c>
      <c r="M603" s="3025">
        <v>71.37</v>
      </c>
      <c r="N603" s="3025" t="s">
        <v>3248</v>
      </c>
    </row>
    <row r="604" spans="1:14" ht="14.25" thickBot="1">
      <c r="A604" s="3016">
        <v>603</v>
      </c>
      <c r="B604" s="3008" t="s">
        <v>3235</v>
      </c>
      <c r="C604" s="3020" t="s">
        <v>3158</v>
      </c>
      <c r="D604" s="3008" t="s">
        <v>70</v>
      </c>
      <c r="E604" s="3020">
        <v>605</v>
      </c>
      <c r="F604" s="3008">
        <v>71.37</v>
      </c>
      <c r="G604" s="3017" t="s">
        <v>3055</v>
      </c>
      <c r="I604" s="3025">
        <v>5</v>
      </c>
      <c r="J604" s="3025">
        <v>4</v>
      </c>
      <c r="K604" s="3025" t="s">
        <v>3341</v>
      </c>
      <c r="L604" s="3026" t="s">
        <v>3351</v>
      </c>
      <c r="M604" s="3025">
        <v>66.209999999999994</v>
      </c>
      <c r="N604" s="3025" t="s">
        <v>3248</v>
      </c>
    </row>
    <row r="605" spans="1:14" ht="14.25" thickBot="1">
      <c r="A605" s="3016">
        <v>604</v>
      </c>
      <c r="B605" s="3008" t="s">
        <v>3235</v>
      </c>
      <c r="C605" s="3020" t="s">
        <v>3158</v>
      </c>
      <c r="D605" s="3008" t="s">
        <v>70</v>
      </c>
      <c r="E605" s="3020">
        <v>606</v>
      </c>
      <c r="F605" s="3008">
        <v>71.37</v>
      </c>
      <c r="G605" s="3017" t="s">
        <v>3055</v>
      </c>
      <c r="I605" s="3025">
        <v>5</v>
      </c>
      <c r="J605" s="3025">
        <v>4</v>
      </c>
      <c r="K605" s="3025" t="s">
        <v>3341</v>
      </c>
      <c r="L605" s="3026" t="s">
        <v>3352</v>
      </c>
      <c r="M605" s="3025">
        <v>69.959999999999994</v>
      </c>
      <c r="N605" s="3025" t="s">
        <v>3248</v>
      </c>
    </row>
    <row r="606" spans="1:14" ht="14.25" thickBot="1">
      <c r="A606" s="3016">
        <v>605</v>
      </c>
      <c r="B606" s="3008" t="s">
        <v>3235</v>
      </c>
      <c r="C606" s="3020" t="s">
        <v>3158</v>
      </c>
      <c r="D606" s="3008" t="s">
        <v>70</v>
      </c>
      <c r="E606" s="3020">
        <v>608</v>
      </c>
      <c r="F606" s="3008">
        <v>66.209999999999994</v>
      </c>
      <c r="G606" s="3017" t="s">
        <v>3055</v>
      </c>
      <c r="I606" s="3025">
        <v>5</v>
      </c>
      <c r="J606" s="3025">
        <v>4</v>
      </c>
      <c r="K606" s="3025" t="s">
        <v>3341</v>
      </c>
      <c r="L606" s="3026" t="s">
        <v>3353</v>
      </c>
      <c r="M606" s="3025">
        <v>71.37</v>
      </c>
      <c r="N606" s="3025" t="s">
        <v>3248</v>
      </c>
    </row>
    <row r="607" spans="1:14" ht="14.25" thickBot="1">
      <c r="A607" s="3016">
        <v>606</v>
      </c>
      <c r="B607" s="3008" t="s">
        <v>3236</v>
      </c>
      <c r="C607" s="3020" t="s">
        <v>3152</v>
      </c>
      <c r="D607" s="3008" t="s">
        <v>70</v>
      </c>
      <c r="E607" s="3020">
        <v>101</v>
      </c>
      <c r="F607" s="3008">
        <v>67.09</v>
      </c>
      <c r="G607" s="3017" t="s">
        <v>3055</v>
      </c>
      <c r="I607" s="3025">
        <v>5</v>
      </c>
      <c r="J607" s="3025">
        <v>4</v>
      </c>
      <c r="K607" s="3025" t="s">
        <v>3341</v>
      </c>
      <c r="L607" s="3026" t="s">
        <v>3354</v>
      </c>
      <c r="M607" s="3025">
        <v>71.37</v>
      </c>
      <c r="N607" s="3025" t="s">
        <v>3248</v>
      </c>
    </row>
    <row r="608" spans="1:14" ht="14.25" thickBot="1">
      <c r="A608" s="3016">
        <v>607</v>
      </c>
      <c r="B608" s="3008" t="s">
        <v>3236</v>
      </c>
      <c r="C608" s="3020" t="s">
        <v>3152</v>
      </c>
      <c r="D608" s="3008" t="s">
        <v>70</v>
      </c>
      <c r="E608" s="3020">
        <v>102</v>
      </c>
      <c r="F608" s="3008">
        <v>70.489999999999995</v>
      </c>
      <c r="G608" s="3017" t="s">
        <v>3055</v>
      </c>
      <c r="I608" s="3025">
        <v>5</v>
      </c>
      <c r="J608" s="3025">
        <v>4</v>
      </c>
      <c r="K608" s="3025" t="s">
        <v>3341</v>
      </c>
      <c r="L608" s="3026" t="s">
        <v>3355</v>
      </c>
      <c r="M608" s="3025">
        <v>71.37</v>
      </c>
      <c r="N608" s="3025" t="s">
        <v>3248</v>
      </c>
    </row>
    <row r="609" spans="1:14" ht="14.25" thickBot="1">
      <c r="A609" s="3016">
        <v>608</v>
      </c>
      <c r="B609" s="3008" t="s">
        <v>3236</v>
      </c>
      <c r="C609" s="3020" t="s">
        <v>3152</v>
      </c>
      <c r="D609" s="3008" t="s">
        <v>70</v>
      </c>
      <c r="E609" s="3020">
        <v>103</v>
      </c>
      <c r="F609" s="3008">
        <v>70.53</v>
      </c>
      <c r="G609" s="3017" t="s">
        <v>3055</v>
      </c>
      <c r="I609" s="3025">
        <v>5</v>
      </c>
      <c r="J609" s="3025">
        <v>4</v>
      </c>
      <c r="K609" s="3025" t="s">
        <v>3341</v>
      </c>
      <c r="L609" s="3026" t="s">
        <v>3356</v>
      </c>
      <c r="M609" s="3025">
        <v>71.33</v>
      </c>
      <c r="N609" s="3025" t="s">
        <v>3248</v>
      </c>
    </row>
    <row r="610" spans="1:14" ht="14.25" thickBot="1">
      <c r="A610" s="3016">
        <v>609</v>
      </c>
      <c r="B610" s="3008" t="s">
        <v>3236</v>
      </c>
      <c r="C610" s="3020" t="s">
        <v>3152</v>
      </c>
      <c r="D610" s="3008" t="s">
        <v>70</v>
      </c>
      <c r="E610" s="3020">
        <v>105</v>
      </c>
      <c r="F610" s="3008">
        <v>70.489999999999995</v>
      </c>
      <c r="G610" s="3017" t="s">
        <v>3055</v>
      </c>
      <c r="I610" s="3025">
        <v>5</v>
      </c>
      <c r="J610" s="3025">
        <v>3</v>
      </c>
      <c r="K610" s="3025" t="s">
        <v>3341</v>
      </c>
      <c r="L610" s="3026" t="s">
        <v>3357</v>
      </c>
      <c r="M610" s="3025">
        <v>69.959999999999994</v>
      </c>
      <c r="N610" s="3025" t="s">
        <v>3248</v>
      </c>
    </row>
    <row r="611" spans="1:14" ht="14.25" thickBot="1">
      <c r="A611" s="3016">
        <v>610</v>
      </c>
      <c r="B611" s="3008" t="s">
        <v>3236</v>
      </c>
      <c r="C611" s="3020" t="s">
        <v>3159</v>
      </c>
      <c r="D611" s="3008" t="s">
        <v>70</v>
      </c>
      <c r="E611" s="3020">
        <v>201</v>
      </c>
      <c r="F611" s="3008">
        <v>67.09</v>
      </c>
      <c r="G611" s="3017" t="s">
        <v>3055</v>
      </c>
      <c r="I611" s="3025">
        <v>5</v>
      </c>
      <c r="J611" s="3025">
        <v>3</v>
      </c>
      <c r="K611" s="3025" t="s">
        <v>3341</v>
      </c>
      <c r="L611" s="3026" t="s">
        <v>3358</v>
      </c>
      <c r="M611" s="3025">
        <v>71.37</v>
      </c>
      <c r="N611" s="3025" t="s">
        <v>3248</v>
      </c>
    </row>
    <row r="612" spans="1:14" ht="14.25" thickBot="1">
      <c r="A612" s="3016">
        <v>611</v>
      </c>
      <c r="B612" s="3008" t="s">
        <v>3236</v>
      </c>
      <c r="C612" s="3020" t="s">
        <v>3159</v>
      </c>
      <c r="D612" s="3008" t="s">
        <v>70</v>
      </c>
      <c r="E612" s="3020">
        <v>202</v>
      </c>
      <c r="F612" s="3008">
        <v>70.489999999999995</v>
      </c>
      <c r="G612" s="3017" t="s">
        <v>3055</v>
      </c>
      <c r="I612" s="3025">
        <v>5</v>
      </c>
      <c r="J612" s="3025">
        <v>3</v>
      </c>
      <c r="K612" s="3025" t="s">
        <v>3341</v>
      </c>
      <c r="L612" s="3026" t="s">
        <v>3359</v>
      </c>
      <c r="M612" s="3025">
        <v>71.37</v>
      </c>
      <c r="N612" s="3025" t="s">
        <v>3248</v>
      </c>
    </row>
    <row r="613" spans="1:14" ht="14.25" thickBot="1">
      <c r="A613" s="3016">
        <v>612</v>
      </c>
      <c r="B613" s="3008" t="s">
        <v>3236</v>
      </c>
      <c r="C613" s="3020" t="s">
        <v>3159</v>
      </c>
      <c r="D613" s="3008" t="s">
        <v>70</v>
      </c>
      <c r="E613" s="3020">
        <v>203</v>
      </c>
      <c r="F613" s="3008">
        <v>70.53</v>
      </c>
      <c r="G613" s="3017" t="s">
        <v>3055</v>
      </c>
      <c r="I613" s="3025">
        <v>5</v>
      </c>
      <c r="J613" s="3025">
        <v>3</v>
      </c>
      <c r="K613" s="3025" t="s">
        <v>3341</v>
      </c>
      <c r="L613" s="3026" t="s">
        <v>3360</v>
      </c>
      <c r="M613" s="3025">
        <v>71.37</v>
      </c>
      <c r="N613" s="3025" t="s">
        <v>3248</v>
      </c>
    </row>
    <row r="614" spans="1:14" ht="14.25" thickBot="1">
      <c r="A614" s="3016">
        <v>613</v>
      </c>
      <c r="B614" s="3008" t="s">
        <v>3236</v>
      </c>
      <c r="C614" s="3020" t="s">
        <v>3159</v>
      </c>
      <c r="D614" s="3008" t="s">
        <v>70</v>
      </c>
      <c r="E614" s="3020">
        <v>205</v>
      </c>
      <c r="F614" s="3008">
        <v>70.53</v>
      </c>
      <c r="G614" s="3017" t="s">
        <v>3055</v>
      </c>
      <c r="I614" s="3025">
        <v>5</v>
      </c>
      <c r="J614" s="3025">
        <v>3</v>
      </c>
      <c r="K614" s="3025" t="s">
        <v>3341</v>
      </c>
      <c r="L614" s="3026" t="s">
        <v>3361</v>
      </c>
      <c r="M614" s="3025">
        <v>71.33</v>
      </c>
      <c r="N614" s="3025" t="s">
        <v>3248</v>
      </c>
    </row>
    <row r="615" spans="1:14" ht="14.25" thickBot="1">
      <c r="A615" s="3016">
        <v>614</v>
      </c>
      <c r="B615" s="3008" t="s">
        <v>3236</v>
      </c>
      <c r="C615" s="3020" t="s">
        <v>3159</v>
      </c>
      <c r="D615" s="3008" t="s">
        <v>70</v>
      </c>
      <c r="E615" s="3020">
        <v>206</v>
      </c>
      <c r="F615" s="3008">
        <v>70.489999999999995</v>
      </c>
      <c r="G615" s="3017" t="s">
        <v>3055</v>
      </c>
    </row>
    <row r="616" spans="1:14" ht="14.25" thickBot="1">
      <c r="A616" s="3016">
        <v>615</v>
      </c>
      <c r="B616" s="3008" t="s">
        <v>3236</v>
      </c>
      <c r="C616" s="3020" t="s">
        <v>3153</v>
      </c>
      <c r="D616" s="3008" t="s">
        <v>70</v>
      </c>
      <c r="E616" s="3020">
        <v>301</v>
      </c>
      <c r="F616" s="3008">
        <v>67.09</v>
      </c>
      <c r="G616" s="3017" t="s">
        <v>3055</v>
      </c>
    </row>
    <row r="617" spans="1:14" ht="14.25" thickBot="1">
      <c r="A617" s="3016">
        <v>616</v>
      </c>
      <c r="B617" s="3008" t="s">
        <v>3236</v>
      </c>
      <c r="C617" s="3020" t="s">
        <v>3153</v>
      </c>
      <c r="D617" s="3008" t="s">
        <v>70</v>
      </c>
      <c r="E617" s="3020">
        <v>302</v>
      </c>
      <c r="F617" s="3008">
        <v>70.489999999999995</v>
      </c>
      <c r="G617" s="3017" t="s">
        <v>3055</v>
      </c>
    </row>
    <row r="618" spans="1:14" ht="14.25" thickBot="1">
      <c r="A618" s="3016">
        <v>617</v>
      </c>
      <c r="B618" s="3008" t="s">
        <v>3236</v>
      </c>
      <c r="C618" s="3020" t="s">
        <v>3153</v>
      </c>
      <c r="D618" s="3008" t="s">
        <v>70</v>
      </c>
      <c r="E618" s="3020">
        <v>303</v>
      </c>
      <c r="F618" s="3008">
        <v>70.53</v>
      </c>
      <c r="G618" s="3017" t="s">
        <v>3055</v>
      </c>
    </row>
    <row r="619" spans="1:14" ht="14.25" thickBot="1">
      <c r="A619" s="3016">
        <v>618</v>
      </c>
      <c r="B619" s="3008" t="s">
        <v>3236</v>
      </c>
      <c r="C619" s="3020" t="s">
        <v>3153</v>
      </c>
      <c r="D619" s="3008" t="s">
        <v>70</v>
      </c>
      <c r="E619" s="3020">
        <v>305</v>
      </c>
      <c r="F619" s="3008">
        <v>70.53</v>
      </c>
      <c r="G619" s="3017" t="s">
        <v>3055</v>
      </c>
    </row>
    <row r="620" spans="1:14" ht="14.25" thickBot="1">
      <c r="A620" s="3016">
        <v>619</v>
      </c>
      <c r="B620" s="3008" t="s">
        <v>3236</v>
      </c>
      <c r="C620" s="3020" t="s">
        <v>3153</v>
      </c>
      <c r="D620" s="3008" t="s">
        <v>70</v>
      </c>
      <c r="E620" s="3020">
        <v>306</v>
      </c>
      <c r="F620" s="3008">
        <v>70.489999999999995</v>
      </c>
      <c r="G620" s="3017" t="s">
        <v>3055</v>
      </c>
    </row>
    <row r="621" spans="1:14" ht="14.25" thickBot="1">
      <c r="A621" s="3016">
        <v>620</v>
      </c>
      <c r="B621" s="3008" t="s">
        <v>3236</v>
      </c>
      <c r="C621" s="3020" t="s">
        <v>3153</v>
      </c>
      <c r="D621" s="3008" t="s">
        <v>70</v>
      </c>
      <c r="E621" s="3020">
        <v>307</v>
      </c>
      <c r="F621" s="3008">
        <v>67.09</v>
      </c>
      <c r="G621" s="3017" t="s">
        <v>3055</v>
      </c>
    </row>
    <row r="622" spans="1:14" ht="14.25" thickBot="1">
      <c r="A622" s="3016">
        <v>621</v>
      </c>
      <c r="B622" s="3008" t="s">
        <v>3236</v>
      </c>
      <c r="C622" s="3020" t="s">
        <v>3156</v>
      </c>
      <c r="D622" s="3008" t="s">
        <v>70</v>
      </c>
      <c r="E622" s="3020" t="s">
        <v>3145</v>
      </c>
      <c r="F622" s="3008">
        <v>67.09</v>
      </c>
      <c r="G622" s="3017" t="s">
        <v>3055</v>
      </c>
    </row>
    <row r="623" spans="1:14" ht="14.25" thickBot="1">
      <c r="A623" s="3016">
        <v>622</v>
      </c>
      <c r="B623" s="3008" t="s">
        <v>3236</v>
      </c>
      <c r="C623" s="3020" t="s">
        <v>3156</v>
      </c>
      <c r="D623" s="3008" t="s">
        <v>70</v>
      </c>
      <c r="E623" s="3020" t="s">
        <v>3146</v>
      </c>
      <c r="F623" s="3008">
        <v>70.489999999999995</v>
      </c>
      <c r="G623" s="3017" t="s">
        <v>3055</v>
      </c>
    </row>
    <row r="624" spans="1:14" ht="14.25" thickBot="1">
      <c r="A624" s="3016">
        <v>623</v>
      </c>
      <c r="B624" s="3008" t="s">
        <v>3236</v>
      </c>
      <c r="C624" s="3020" t="s">
        <v>3156</v>
      </c>
      <c r="D624" s="3008" t="s">
        <v>70</v>
      </c>
      <c r="E624" s="3020" t="s">
        <v>3147</v>
      </c>
      <c r="F624" s="3008">
        <v>70.53</v>
      </c>
      <c r="G624" s="3017" t="s">
        <v>3055</v>
      </c>
    </row>
    <row r="625" spans="1:14" ht="14.25" thickBot="1">
      <c r="A625" s="3016">
        <v>624</v>
      </c>
      <c r="B625" s="3008" t="s">
        <v>3236</v>
      </c>
      <c r="C625" s="3020" t="s">
        <v>3156</v>
      </c>
      <c r="D625" s="3008" t="s">
        <v>70</v>
      </c>
      <c r="E625" s="3020" t="s">
        <v>3148</v>
      </c>
      <c r="F625" s="3008">
        <v>70.53</v>
      </c>
      <c r="G625" s="3017" t="s">
        <v>3055</v>
      </c>
    </row>
    <row r="626" spans="1:14" ht="14.25" thickBot="1">
      <c r="A626" s="3016">
        <v>625</v>
      </c>
      <c r="B626" s="3008" t="s">
        <v>3236</v>
      </c>
      <c r="C626" s="3020" t="s">
        <v>3156</v>
      </c>
      <c r="D626" s="3008" t="s">
        <v>70</v>
      </c>
      <c r="E626" s="3020" t="s">
        <v>3149</v>
      </c>
      <c r="F626" s="3008">
        <v>70.489999999999995</v>
      </c>
      <c r="G626" s="3017" t="s">
        <v>3055</v>
      </c>
    </row>
    <row r="627" spans="1:14" ht="14.25" thickBot="1">
      <c r="A627" s="3016">
        <v>626</v>
      </c>
      <c r="B627" s="3008" t="s">
        <v>3236</v>
      </c>
      <c r="C627" s="3020" t="s">
        <v>3156</v>
      </c>
      <c r="D627" s="3008" t="s">
        <v>70</v>
      </c>
      <c r="E627" s="3020" t="s">
        <v>3150</v>
      </c>
      <c r="F627" s="3008">
        <v>67.09</v>
      </c>
      <c r="G627" s="3017" t="s">
        <v>3055</v>
      </c>
    </row>
    <row r="628" spans="1:14" ht="14.25" thickBot="1">
      <c r="A628" s="3016">
        <v>627</v>
      </c>
      <c r="B628" s="3008" t="s">
        <v>3236</v>
      </c>
      <c r="C628" s="3020" t="s">
        <v>3157</v>
      </c>
      <c r="D628" s="3008" t="s">
        <v>70</v>
      </c>
      <c r="E628" s="3020">
        <v>502</v>
      </c>
      <c r="F628" s="3008">
        <v>70.489999999999995</v>
      </c>
      <c r="G628" s="3017" t="s">
        <v>3055</v>
      </c>
    </row>
    <row r="629" spans="1:14" ht="14.25" thickBot="1">
      <c r="A629" s="3016">
        <v>628</v>
      </c>
      <c r="B629" s="3008" t="s">
        <v>3236</v>
      </c>
      <c r="C629" s="3020" t="s">
        <v>3157</v>
      </c>
      <c r="D629" s="3008" t="s">
        <v>70</v>
      </c>
      <c r="E629" s="3020">
        <v>503</v>
      </c>
      <c r="F629" s="3008">
        <v>70.53</v>
      </c>
      <c r="G629" s="3017" t="s">
        <v>3055</v>
      </c>
    </row>
    <row r="630" spans="1:14" ht="14.25" thickBot="1">
      <c r="A630" s="3016">
        <v>629</v>
      </c>
      <c r="B630" s="3008" t="s">
        <v>3236</v>
      </c>
      <c r="C630" s="3020" t="s">
        <v>3157</v>
      </c>
      <c r="D630" s="3008" t="s">
        <v>70</v>
      </c>
      <c r="E630" s="3020">
        <v>505</v>
      </c>
      <c r="F630" s="3008">
        <v>70.53</v>
      </c>
      <c r="G630" s="3017" t="s">
        <v>3055</v>
      </c>
    </row>
    <row r="631" spans="1:14" ht="14.25" thickBot="1">
      <c r="A631" s="3016">
        <v>630</v>
      </c>
      <c r="B631" s="3008" t="s">
        <v>3236</v>
      </c>
      <c r="C631" s="3020" t="s">
        <v>3157</v>
      </c>
      <c r="D631" s="3008" t="s">
        <v>70</v>
      </c>
      <c r="E631" s="3020">
        <v>506</v>
      </c>
      <c r="F631" s="3008">
        <v>70.489999999999995</v>
      </c>
      <c r="G631" s="3017" t="s">
        <v>3055</v>
      </c>
    </row>
    <row r="632" spans="1:14" ht="14.25" thickBot="1">
      <c r="A632" s="3016">
        <v>631</v>
      </c>
      <c r="B632" s="3008" t="s">
        <v>3236</v>
      </c>
      <c r="C632" s="3020" t="s">
        <v>3157</v>
      </c>
      <c r="D632" s="3008" t="s">
        <v>70</v>
      </c>
      <c r="E632" s="3020">
        <v>507</v>
      </c>
      <c r="F632" s="3008">
        <v>67.09</v>
      </c>
      <c r="G632" s="3017" t="s">
        <v>3055</v>
      </c>
    </row>
    <row r="633" spans="1:14" ht="14.25" thickBot="1">
      <c r="A633" s="3016">
        <v>632</v>
      </c>
      <c r="B633" s="3008" t="s">
        <v>3236</v>
      </c>
      <c r="C633" s="3020" t="s">
        <v>3158</v>
      </c>
      <c r="D633" s="3008" t="s">
        <v>70</v>
      </c>
      <c r="E633" s="3020">
        <v>601</v>
      </c>
      <c r="F633" s="3008">
        <v>67.09</v>
      </c>
      <c r="G633" s="3017" t="s">
        <v>3055</v>
      </c>
    </row>
    <row r="634" spans="1:14" ht="14.25" thickBot="1">
      <c r="A634" s="3016">
        <v>633</v>
      </c>
      <c r="B634" s="3008" t="s">
        <v>3236</v>
      </c>
      <c r="C634" s="3020" t="s">
        <v>3158</v>
      </c>
      <c r="D634" s="3008" t="s">
        <v>70</v>
      </c>
      <c r="E634" s="3020">
        <v>602</v>
      </c>
      <c r="F634" s="3008">
        <v>70.489999999999995</v>
      </c>
      <c r="G634" s="3017" t="s">
        <v>3055</v>
      </c>
    </row>
    <row r="635" spans="1:14" ht="14.25" thickBot="1">
      <c r="A635" s="3016">
        <v>634</v>
      </c>
      <c r="B635" s="3008" t="s">
        <v>3236</v>
      </c>
      <c r="C635" s="3020" t="s">
        <v>3158</v>
      </c>
      <c r="D635" s="3008" t="s">
        <v>70</v>
      </c>
      <c r="E635" s="3020">
        <v>603</v>
      </c>
      <c r="F635" s="3008">
        <v>70.53</v>
      </c>
      <c r="G635" s="3017" t="s">
        <v>3055</v>
      </c>
    </row>
    <row r="636" spans="1:14" ht="14.25" thickBot="1">
      <c r="A636" s="3016">
        <v>635</v>
      </c>
      <c r="B636" s="3008" t="s">
        <v>3236</v>
      </c>
      <c r="C636" s="3020" t="s">
        <v>3158</v>
      </c>
      <c r="D636" s="3008" t="s">
        <v>70</v>
      </c>
      <c r="E636" s="3020">
        <v>605</v>
      </c>
      <c r="F636" s="3008">
        <v>70.53</v>
      </c>
      <c r="G636" s="3017" t="s">
        <v>3055</v>
      </c>
    </row>
    <row r="637" spans="1:14" ht="14.25" thickBot="1">
      <c r="A637" s="3016">
        <v>636</v>
      </c>
      <c r="B637" s="3008" t="s">
        <v>3236</v>
      </c>
      <c r="C637" s="3020" t="s">
        <v>3158</v>
      </c>
      <c r="D637" s="3008" t="s">
        <v>70</v>
      </c>
      <c r="E637" s="3020">
        <v>606</v>
      </c>
      <c r="F637" s="3008">
        <v>70.489999999999995</v>
      </c>
      <c r="G637" s="3017" t="s">
        <v>3055</v>
      </c>
    </row>
    <row r="638" spans="1:14" ht="14.25" thickBot="1">
      <c r="A638" s="3016">
        <v>637</v>
      </c>
      <c r="B638" s="3008" t="s">
        <v>3236</v>
      </c>
      <c r="C638" s="3020" t="s">
        <v>3158</v>
      </c>
      <c r="D638" s="3008" t="s">
        <v>70</v>
      </c>
      <c r="E638" s="3020">
        <v>607</v>
      </c>
      <c r="F638" s="3008">
        <v>67.09</v>
      </c>
      <c r="G638" s="3017" t="s">
        <v>3055</v>
      </c>
    </row>
    <row r="639" spans="1:14" ht="14.25" thickBot="1">
      <c r="A639" s="3016">
        <v>638</v>
      </c>
      <c r="B639" s="3008" t="s">
        <v>3237</v>
      </c>
      <c r="C639" s="3008" t="s">
        <v>3159</v>
      </c>
      <c r="D639" s="3008" t="s">
        <v>70</v>
      </c>
      <c r="E639" s="3020">
        <v>201</v>
      </c>
      <c r="F639" s="3008">
        <v>69.27</v>
      </c>
      <c r="G639" s="3017" t="s">
        <v>3055</v>
      </c>
      <c r="I639" s="3025">
        <v>7</v>
      </c>
      <c r="J639" s="3025">
        <v>6</v>
      </c>
      <c r="K639" s="3025" t="s">
        <v>3341</v>
      </c>
      <c r="L639" s="3026" t="s">
        <v>3362</v>
      </c>
      <c r="M639" s="3025">
        <v>70.86</v>
      </c>
      <c r="N639" s="3025" t="s">
        <v>3248</v>
      </c>
    </row>
    <row r="640" spans="1:14" ht="14.25" thickBot="1">
      <c r="A640" s="3016">
        <v>639</v>
      </c>
      <c r="B640" s="3008" t="s">
        <v>3237</v>
      </c>
      <c r="C640" s="3008" t="s">
        <v>3159</v>
      </c>
      <c r="D640" s="3008" t="s">
        <v>70</v>
      </c>
      <c r="E640" s="3020">
        <v>206</v>
      </c>
      <c r="F640" s="3008">
        <v>70.86</v>
      </c>
      <c r="G640" s="3017" t="s">
        <v>3055</v>
      </c>
      <c r="I640" s="3025">
        <v>7</v>
      </c>
      <c r="J640" s="3025">
        <v>6</v>
      </c>
      <c r="K640" s="3025" t="s">
        <v>3341</v>
      </c>
      <c r="L640" s="3026" t="s">
        <v>3363</v>
      </c>
      <c r="M640" s="3025">
        <v>69.27</v>
      </c>
      <c r="N640" s="3025" t="s">
        <v>3248</v>
      </c>
    </row>
    <row r="641" spans="1:14" ht="14.25" thickBot="1">
      <c r="A641" s="3016">
        <v>640</v>
      </c>
      <c r="B641" s="3008" t="s">
        <v>3237</v>
      </c>
      <c r="C641" s="3008" t="s">
        <v>3153</v>
      </c>
      <c r="D641" s="3008" t="s">
        <v>70</v>
      </c>
      <c r="E641" s="3020">
        <v>301</v>
      </c>
      <c r="F641" s="3008">
        <v>69.27</v>
      </c>
      <c r="G641" s="3017" t="s">
        <v>3055</v>
      </c>
      <c r="I641" s="3025">
        <v>7</v>
      </c>
      <c r="J641" s="3025">
        <v>5</v>
      </c>
      <c r="K641" s="3025" t="s">
        <v>3341</v>
      </c>
      <c r="L641" s="3026" t="s">
        <v>3364</v>
      </c>
      <c r="M641" s="3025">
        <v>69.27</v>
      </c>
      <c r="N641" s="3025" t="s">
        <v>3248</v>
      </c>
    </row>
    <row r="642" spans="1:14" ht="14.25" thickBot="1">
      <c r="A642" s="3016">
        <v>641</v>
      </c>
      <c r="B642" s="3008" t="s">
        <v>3237</v>
      </c>
      <c r="C642" s="3008" t="s">
        <v>3153</v>
      </c>
      <c r="D642" s="3008" t="s">
        <v>70</v>
      </c>
      <c r="E642" s="3020">
        <v>302</v>
      </c>
      <c r="F642" s="3008">
        <v>70.819999999999993</v>
      </c>
      <c r="G642" s="3017" t="s">
        <v>3055</v>
      </c>
      <c r="I642" s="3025">
        <v>7</v>
      </c>
      <c r="J642" s="3025">
        <v>4</v>
      </c>
      <c r="K642" s="3025" t="s">
        <v>3341</v>
      </c>
      <c r="L642" s="3026" t="s">
        <v>3365</v>
      </c>
      <c r="M642" s="3025">
        <v>69.459999999999994</v>
      </c>
      <c r="N642" s="3025" t="s">
        <v>3248</v>
      </c>
    </row>
    <row r="643" spans="1:14" ht="14.25" thickBot="1">
      <c r="A643" s="3016">
        <v>642</v>
      </c>
      <c r="B643" s="3008" t="s">
        <v>3237</v>
      </c>
      <c r="C643" s="3008" t="s">
        <v>3153</v>
      </c>
      <c r="D643" s="3008" t="s">
        <v>70</v>
      </c>
      <c r="E643" s="3020">
        <v>303</v>
      </c>
      <c r="F643" s="3008">
        <v>70.86</v>
      </c>
      <c r="G643" s="3017" t="s">
        <v>3055</v>
      </c>
      <c r="I643" s="3025">
        <v>7</v>
      </c>
      <c r="J643" s="3025">
        <v>3</v>
      </c>
      <c r="K643" s="3025" t="s">
        <v>3341</v>
      </c>
      <c r="L643" s="3026" t="s">
        <v>3366</v>
      </c>
      <c r="M643" s="3025">
        <v>70.86</v>
      </c>
      <c r="N643" s="3025" t="s">
        <v>3248</v>
      </c>
    </row>
    <row r="644" spans="1:14" ht="14.25" thickBot="1">
      <c r="A644" s="3016">
        <v>643</v>
      </c>
      <c r="B644" s="3008" t="s">
        <v>3237</v>
      </c>
      <c r="C644" s="3008" t="s">
        <v>3153</v>
      </c>
      <c r="D644" s="3008" t="s">
        <v>70</v>
      </c>
      <c r="E644" s="3020">
        <v>306</v>
      </c>
      <c r="F644" s="3008">
        <v>70.86</v>
      </c>
      <c r="G644" s="3017" t="s">
        <v>3055</v>
      </c>
      <c r="I644" s="3025">
        <v>7</v>
      </c>
      <c r="J644" s="3025">
        <v>2</v>
      </c>
      <c r="K644" s="3025" t="s">
        <v>3341</v>
      </c>
      <c r="L644" s="3026" t="s">
        <v>3367</v>
      </c>
      <c r="M644" s="3025">
        <v>70.86</v>
      </c>
      <c r="N644" s="3025" t="s">
        <v>3248</v>
      </c>
    </row>
    <row r="645" spans="1:14" ht="14.25" thickBot="1">
      <c r="A645" s="3016">
        <v>644</v>
      </c>
      <c r="B645" s="3008" t="s">
        <v>3237</v>
      </c>
      <c r="C645" s="3008" t="s">
        <v>3153</v>
      </c>
      <c r="D645" s="3008" t="s">
        <v>70</v>
      </c>
      <c r="E645" s="3020">
        <v>308</v>
      </c>
      <c r="F645" s="3008">
        <v>65.739999999999995</v>
      </c>
      <c r="G645" s="3017" t="s">
        <v>3055</v>
      </c>
      <c r="I645" s="3025">
        <v>7</v>
      </c>
      <c r="J645" s="3025">
        <v>2</v>
      </c>
      <c r="K645" s="3025" t="s">
        <v>3341</v>
      </c>
      <c r="L645" s="3026" t="s">
        <v>3368</v>
      </c>
      <c r="M645" s="3025">
        <v>70.819999999999993</v>
      </c>
      <c r="N645" s="3025" t="s">
        <v>3248</v>
      </c>
    </row>
    <row r="646" spans="1:14" ht="14.25" thickBot="1">
      <c r="A646" s="3016">
        <v>645</v>
      </c>
      <c r="B646" s="3008" t="s">
        <v>3237</v>
      </c>
      <c r="C646" s="3008" t="s">
        <v>3156</v>
      </c>
      <c r="D646" s="3008" t="s">
        <v>70</v>
      </c>
      <c r="E646" s="3020" t="s">
        <v>3145</v>
      </c>
      <c r="F646" s="3008">
        <v>69.27</v>
      </c>
      <c r="G646" s="3017" t="s">
        <v>3055</v>
      </c>
    </row>
    <row r="647" spans="1:14" ht="14.25" thickBot="1">
      <c r="A647" s="3016">
        <v>646</v>
      </c>
      <c r="B647" s="3008" t="s">
        <v>3237</v>
      </c>
      <c r="C647" s="3008" t="s">
        <v>3156</v>
      </c>
      <c r="D647" s="3008" t="s">
        <v>70</v>
      </c>
      <c r="E647" s="3020" t="s">
        <v>3146</v>
      </c>
      <c r="F647" s="3008">
        <v>70.819999999999993</v>
      </c>
      <c r="G647" s="3017" t="s">
        <v>3055</v>
      </c>
    </row>
    <row r="648" spans="1:14" ht="14.25" thickBot="1">
      <c r="A648" s="3016">
        <v>647</v>
      </c>
      <c r="B648" s="3008" t="s">
        <v>3237</v>
      </c>
      <c r="C648" s="3008" t="s">
        <v>3156</v>
      </c>
      <c r="D648" s="3008" t="s">
        <v>70</v>
      </c>
      <c r="E648" s="3020" t="s">
        <v>3148</v>
      </c>
      <c r="F648" s="3008">
        <v>70.86</v>
      </c>
      <c r="G648" s="3017" t="s">
        <v>3055</v>
      </c>
    </row>
    <row r="649" spans="1:14" ht="14.25" thickBot="1">
      <c r="A649" s="3016">
        <v>648</v>
      </c>
      <c r="B649" s="3008" t="s">
        <v>3237</v>
      </c>
      <c r="C649" s="3008" t="s">
        <v>3157</v>
      </c>
      <c r="D649" s="3008" t="s">
        <v>70</v>
      </c>
      <c r="E649" s="3020">
        <v>502</v>
      </c>
      <c r="F649" s="3008">
        <v>70.819999999999993</v>
      </c>
      <c r="G649" s="3017" t="s">
        <v>3055</v>
      </c>
    </row>
    <row r="650" spans="1:14" ht="14.25" thickBot="1">
      <c r="A650" s="3016">
        <v>649</v>
      </c>
      <c r="B650" s="3008" t="s">
        <v>3237</v>
      </c>
      <c r="C650" s="3008" t="s">
        <v>3157</v>
      </c>
      <c r="D650" s="3008" t="s">
        <v>70</v>
      </c>
      <c r="E650" s="3020">
        <v>503</v>
      </c>
      <c r="F650" s="3008">
        <v>70.86</v>
      </c>
      <c r="G650" s="3017" t="s">
        <v>3055</v>
      </c>
    </row>
    <row r="651" spans="1:14" ht="14.25" thickBot="1">
      <c r="A651" s="3016">
        <v>650</v>
      </c>
      <c r="B651" s="3008" t="s">
        <v>3237</v>
      </c>
      <c r="C651" s="3008" t="s">
        <v>3157</v>
      </c>
      <c r="D651" s="3008" t="s">
        <v>70</v>
      </c>
      <c r="E651" s="3020">
        <v>505</v>
      </c>
      <c r="F651" s="3008">
        <v>70.86</v>
      </c>
      <c r="G651" s="3017" t="s">
        <v>3055</v>
      </c>
    </row>
    <row r="652" spans="1:14" ht="14.25" thickBot="1">
      <c r="A652" s="3016">
        <v>651</v>
      </c>
      <c r="B652" s="3008" t="s">
        <v>3237</v>
      </c>
      <c r="C652" s="3008" t="s">
        <v>3157</v>
      </c>
      <c r="D652" s="3008" t="s">
        <v>70</v>
      </c>
      <c r="E652" s="3020">
        <v>506</v>
      </c>
      <c r="F652" s="3008">
        <v>70.86</v>
      </c>
      <c r="G652" s="3017" t="s">
        <v>3055</v>
      </c>
    </row>
    <row r="653" spans="1:14" ht="14.25" thickBot="1">
      <c r="A653" s="3016">
        <v>652</v>
      </c>
      <c r="B653" s="3008" t="s">
        <v>3237</v>
      </c>
      <c r="C653" s="3008" t="s">
        <v>3157</v>
      </c>
      <c r="D653" s="3008" t="s">
        <v>70</v>
      </c>
      <c r="E653" s="3020">
        <v>507</v>
      </c>
      <c r="F653" s="3008">
        <v>69.459999999999994</v>
      </c>
      <c r="G653" s="3017" t="s">
        <v>3055</v>
      </c>
    </row>
    <row r="654" spans="1:14" ht="14.25" thickBot="1">
      <c r="A654" s="3016">
        <v>653</v>
      </c>
      <c r="B654" s="3008" t="s">
        <v>3201</v>
      </c>
      <c r="C654" s="3008" t="s">
        <v>3152</v>
      </c>
      <c r="D654" s="3008" t="s">
        <v>3213</v>
      </c>
      <c r="E654" s="3008">
        <v>101</v>
      </c>
      <c r="F654" s="3008">
        <v>66.28</v>
      </c>
      <c r="G654" s="3017" t="s">
        <v>3055</v>
      </c>
      <c r="I654" s="3025">
        <v>9</v>
      </c>
      <c r="J654" s="3025">
        <v>6</v>
      </c>
      <c r="K654" s="3025">
        <v>2</v>
      </c>
      <c r="L654" s="3026" t="s">
        <v>3369</v>
      </c>
      <c r="M654" s="3025">
        <v>66.28</v>
      </c>
      <c r="N654" s="3025" t="s">
        <v>3248</v>
      </c>
    </row>
    <row r="655" spans="1:14" ht="14.25" thickBot="1">
      <c r="A655" s="3016">
        <v>654</v>
      </c>
      <c r="B655" s="3008" t="s">
        <v>3201</v>
      </c>
      <c r="C655" s="3008" t="s">
        <v>3152</v>
      </c>
      <c r="D655" s="3008" t="s">
        <v>3213</v>
      </c>
      <c r="E655" s="3008">
        <v>102</v>
      </c>
      <c r="F655" s="3008">
        <v>69.77</v>
      </c>
      <c r="G655" s="3017" t="s">
        <v>3055</v>
      </c>
      <c r="I655" s="3025">
        <v>9</v>
      </c>
      <c r="J655" s="3025">
        <v>5</v>
      </c>
      <c r="K655" s="3025">
        <v>2</v>
      </c>
      <c r="L655" s="3026" t="s">
        <v>3370</v>
      </c>
      <c r="M655" s="3025">
        <v>69.77</v>
      </c>
      <c r="N655" s="3025" t="s">
        <v>3248</v>
      </c>
    </row>
    <row r="656" spans="1:14" ht="14.25" thickBot="1">
      <c r="A656" s="3016">
        <v>655</v>
      </c>
      <c r="B656" s="3008" t="s">
        <v>3201</v>
      </c>
      <c r="C656" s="3008" t="s">
        <v>3152</v>
      </c>
      <c r="D656" s="3008" t="s">
        <v>3213</v>
      </c>
      <c r="E656" s="3008">
        <v>103</v>
      </c>
      <c r="F656" s="3008">
        <v>69.94</v>
      </c>
      <c r="G656" s="3017" t="s">
        <v>3055</v>
      </c>
      <c r="I656" s="3025">
        <v>9</v>
      </c>
      <c r="J656" s="3025">
        <v>5</v>
      </c>
      <c r="K656" s="3025">
        <v>2</v>
      </c>
      <c r="L656" s="3026" t="s">
        <v>3371</v>
      </c>
      <c r="M656" s="3025">
        <v>69.94</v>
      </c>
      <c r="N656" s="3025" t="s">
        <v>3248</v>
      </c>
    </row>
    <row r="657" spans="1:14" ht="14.25" thickBot="1">
      <c r="A657" s="3016">
        <v>656</v>
      </c>
      <c r="B657" s="3008" t="s">
        <v>3201</v>
      </c>
      <c r="C657" s="3008" t="s">
        <v>3152</v>
      </c>
      <c r="D657" s="3008" t="s">
        <v>3213</v>
      </c>
      <c r="E657" s="3008">
        <v>105</v>
      </c>
      <c r="F657" s="3008">
        <v>69.94</v>
      </c>
      <c r="G657" s="3017" t="s">
        <v>3055</v>
      </c>
      <c r="I657" s="3025">
        <v>9</v>
      </c>
      <c r="J657" s="3025">
        <v>5</v>
      </c>
      <c r="K657" s="3025">
        <v>2</v>
      </c>
      <c r="L657" s="3026" t="s">
        <v>3372</v>
      </c>
      <c r="M657" s="3025">
        <v>69.77</v>
      </c>
      <c r="N657" s="3025" t="s">
        <v>3248</v>
      </c>
    </row>
    <row r="658" spans="1:14" ht="14.25" thickBot="1">
      <c r="A658" s="3016">
        <v>657</v>
      </c>
      <c r="B658" s="3008" t="s">
        <v>3201</v>
      </c>
      <c r="C658" s="3008" t="s">
        <v>3152</v>
      </c>
      <c r="D658" s="3008" t="s">
        <v>3213</v>
      </c>
      <c r="E658" s="3008">
        <v>107</v>
      </c>
      <c r="F658" s="3008">
        <v>66.28</v>
      </c>
      <c r="G658" s="3017" t="s">
        <v>3055</v>
      </c>
      <c r="I658" s="3025">
        <v>9</v>
      </c>
      <c r="J658" s="3025">
        <v>5</v>
      </c>
      <c r="K658" s="3025">
        <v>2</v>
      </c>
      <c r="L658" s="3026" t="s">
        <v>3373</v>
      </c>
      <c r="M658" s="3025">
        <v>66.28</v>
      </c>
      <c r="N658" s="3025" t="s">
        <v>3248</v>
      </c>
    </row>
    <row r="659" spans="1:14" ht="14.25" thickBot="1">
      <c r="A659" s="3016">
        <v>658</v>
      </c>
      <c r="B659" s="3008" t="s">
        <v>3201</v>
      </c>
      <c r="C659" s="3008" t="s">
        <v>3152</v>
      </c>
      <c r="D659" s="3008" t="s">
        <v>3215</v>
      </c>
      <c r="E659" s="3008">
        <v>102</v>
      </c>
      <c r="F659" s="3008">
        <v>69.77</v>
      </c>
      <c r="G659" s="3017" t="s">
        <v>3055</v>
      </c>
      <c r="I659" s="3025">
        <v>9</v>
      </c>
      <c r="J659" s="3025">
        <v>2</v>
      </c>
      <c r="K659" s="3025">
        <v>2</v>
      </c>
      <c r="L659" s="3026" t="s">
        <v>3374</v>
      </c>
      <c r="M659" s="3025">
        <v>66.28</v>
      </c>
      <c r="N659" s="3025" t="s">
        <v>3248</v>
      </c>
    </row>
    <row r="660" spans="1:14" ht="14.25" thickBot="1">
      <c r="A660" s="3016">
        <v>659</v>
      </c>
      <c r="B660" s="3008" t="s">
        <v>3201</v>
      </c>
      <c r="C660" s="3008" t="s">
        <v>3152</v>
      </c>
      <c r="D660" s="3008" t="s">
        <v>3215</v>
      </c>
      <c r="E660" s="3008">
        <v>103</v>
      </c>
      <c r="F660" s="3008">
        <v>69.94</v>
      </c>
      <c r="G660" s="3017" t="s">
        <v>3055</v>
      </c>
      <c r="I660" s="3025">
        <v>9</v>
      </c>
      <c r="J660" s="3025">
        <v>6</v>
      </c>
      <c r="K660" s="3025">
        <v>1</v>
      </c>
      <c r="L660" s="3026" t="s">
        <v>3375</v>
      </c>
      <c r="M660" s="3025">
        <v>66.28</v>
      </c>
      <c r="N660" s="3025" t="s">
        <v>3248</v>
      </c>
    </row>
    <row r="661" spans="1:14" ht="14.25" thickBot="1">
      <c r="A661" s="3016">
        <v>660</v>
      </c>
      <c r="B661" s="3008" t="s">
        <v>3201</v>
      </c>
      <c r="C661" s="3008" t="s">
        <v>3152</v>
      </c>
      <c r="D661" s="3008" t="s">
        <v>3215</v>
      </c>
      <c r="E661" s="3008">
        <v>105</v>
      </c>
      <c r="F661" s="3008">
        <v>69.94</v>
      </c>
      <c r="G661" s="3017" t="s">
        <v>3055</v>
      </c>
      <c r="I661" s="3025">
        <v>9</v>
      </c>
      <c r="J661" s="3025">
        <v>6</v>
      </c>
      <c r="K661" s="3025">
        <v>1</v>
      </c>
      <c r="L661" s="3026" t="s">
        <v>3376</v>
      </c>
      <c r="M661" s="3025">
        <v>66.28</v>
      </c>
      <c r="N661" s="3025" t="s">
        <v>3248</v>
      </c>
    </row>
    <row r="662" spans="1:14" ht="14.25" thickBot="1">
      <c r="A662" s="3016">
        <v>661</v>
      </c>
      <c r="B662" s="3008" t="s">
        <v>3201</v>
      </c>
      <c r="C662" s="3008" t="s">
        <v>3152</v>
      </c>
      <c r="D662" s="3008" t="s">
        <v>3215</v>
      </c>
      <c r="E662" s="3008">
        <v>106</v>
      </c>
      <c r="F662" s="3008">
        <v>69.77</v>
      </c>
      <c r="G662" s="3017" t="s">
        <v>3055</v>
      </c>
      <c r="I662" s="3025">
        <v>9</v>
      </c>
      <c r="J662" s="3025">
        <v>5</v>
      </c>
      <c r="K662" s="3025">
        <v>1</v>
      </c>
      <c r="L662" s="3026" t="s">
        <v>3377</v>
      </c>
      <c r="M662" s="3025">
        <v>66.28</v>
      </c>
      <c r="N662" s="3025" t="s">
        <v>3248</v>
      </c>
    </row>
    <row r="663" spans="1:14" ht="14.25" thickBot="1">
      <c r="A663" s="3016">
        <v>662</v>
      </c>
      <c r="B663" s="3008" t="s">
        <v>3201</v>
      </c>
      <c r="C663" s="3008" t="s">
        <v>3152</v>
      </c>
      <c r="D663" s="3008" t="s">
        <v>3215</v>
      </c>
      <c r="E663" s="3008">
        <v>107</v>
      </c>
      <c r="F663" s="3008">
        <v>66.28</v>
      </c>
      <c r="G663" s="3017" t="s">
        <v>3055</v>
      </c>
      <c r="I663" s="3025">
        <v>9</v>
      </c>
      <c r="J663" s="3025">
        <v>4</v>
      </c>
      <c r="K663" s="3025">
        <v>1</v>
      </c>
      <c r="L663" s="3026" t="s">
        <v>3378</v>
      </c>
      <c r="M663" s="3025">
        <v>69.94</v>
      </c>
      <c r="N663" s="3025" t="s">
        <v>3248</v>
      </c>
    </row>
    <row r="664" spans="1:14" ht="14.25" thickBot="1">
      <c r="A664" s="3016">
        <v>663</v>
      </c>
      <c r="B664" s="3008" t="s">
        <v>3201</v>
      </c>
      <c r="C664" s="3008" t="s">
        <v>3159</v>
      </c>
      <c r="D664" s="3008" t="s">
        <v>3213</v>
      </c>
      <c r="E664" s="3008">
        <v>206</v>
      </c>
      <c r="F664" s="3008">
        <v>69.77</v>
      </c>
      <c r="G664" s="3017" t="s">
        <v>3055</v>
      </c>
      <c r="I664" s="3025">
        <v>9</v>
      </c>
      <c r="J664" s="3025">
        <v>4</v>
      </c>
      <c r="K664" s="3025">
        <v>1</v>
      </c>
      <c r="L664" s="3026" t="s">
        <v>3379</v>
      </c>
      <c r="M664" s="3025">
        <v>69.94</v>
      </c>
      <c r="N664" s="3025" t="s">
        <v>3248</v>
      </c>
    </row>
    <row r="665" spans="1:14" ht="14.25" thickBot="1">
      <c r="A665" s="3016">
        <v>664</v>
      </c>
      <c r="B665" s="3008" t="s">
        <v>3201</v>
      </c>
      <c r="C665" s="3008" t="s">
        <v>3159</v>
      </c>
      <c r="D665" s="3008" t="s">
        <v>3213</v>
      </c>
      <c r="E665" s="3008">
        <v>207</v>
      </c>
      <c r="F665" s="3008">
        <v>66.28</v>
      </c>
      <c r="G665" s="3017" t="s">
        <v>3055</v>
      </c>
      <c r="I665" s="3025">
        <v>9</v>
      </c>
      <c r="J665" s="3025">
        <v>4</v>
      </c>
      <c r="K665" s="3025">
        <v>1</v>
      </c>
      <c r="L665" s="3026" t="s">
        <v>3380</v>
      </c>
      <c r="M665" s="3025">
        <v>69.77</v>
      </c>
      <c r="N665" s="3025" t="s">
        <v>3248</v>
      </c>
    </row>
    <row r="666" spans="1:14" ht="14.25" thickBot="1">
      <c r="A666" s="3016">
        <v>665</v>
      </c>
      <c r="B666" s="3008" t="s">
        <v>3201</v>
      </c>
      <c r="C666" s="3008" t="s">
        <v>3159</v>
      </c>
      <c r="D666" s="3008" t="s">
        <v>3215</v>
      </c>
      <c r="E666" s="3008">
        <v>202</v>
      </c>
      <c r="F666" s="3008">
        <v>69.77</v>
      </c>
      <c r="G666" s="3017" t="s">
        <v>3055</v>
      </c>
      <c r="I666" s="3025">
        <v>9</v>
      </c>
      <c r="J666" s="3025">
        <v>3</v>
      </c>
      <c r="K666" s="3025">
        <v>1</v>
      </c>
      <c r="L666" s="3026" t="s">
        <v>3381</v>
      </c>
      <c r="M666" s="3025">
        <v>66.28</v>
      </c>
      <c r="N666" s="3025" t="s">
        <v>3248</v>
      </c>
    </row>
    <row r="667" spans="1:14" ht="14.25" thickBot="1">
      <c r="A667" s="3016">
        <v>666</v>
      </c>
      <c r="B667" s="3008" t="s">
        <v>3201</v>
      </c>
      <c r="C667" s="3008" t="s">
        <v>3159</v>
      </c>
      <c r="D667" s="3008" t="s">
        <v>3215</v>
      </c>
      <c r="E667" s="3008">
        <v>205</v>
      </c>
      <c r="F667" s="3008">
        <v>69.94</v>
      </c>
      <c r="G667" s="3017" t="s">
        <v>3055</v>
      </c>
      <c r="I667" s="3025">
        <v>9</v>
      </c>
      <c r="J667" s="3025">
        <v>3</v>
      </c>
      <c r="K667" s="3025">
        <v>1</v>
      </c>
      <c r="L667" s="3026" t="s">
        <v>3382</v>
      </c>
      <c r="M667" s="3025">
        <v>69.94</v>
      </c>
      <c r="N667" s="3025" t="s">
        <v>3248</v>
      </c>
    </row>
    <row r="668" spans="1:14" ht="14.25" thickBot="1">
      <c r="A668" s="3016">
        <v>667</v>
      </c>
      <c r="B668" s="3008" t="s">
        <v>3201</v>
      </c>
      <c r="C668" s="3008" t="s">
        <v>3159</v>
      </c>
      <c r="D668" s="3008" t="s">
        <v>3215</v>
      </c>
      <c r="E668" s="3008">
        <v>206</v>
      </c>
      <c r="F668" s="3008">
        <v>69.77</v>
      </c>
      <c r="G668" s="3017" t="s">
        <v>3055</v>
      </c>
      <c r="I668" s="3025">
        <v>9</v>
      </c>
      <c r="J668" s="3025">
        <v>3</v>
      </c>
      <c r="K668" s="3025">
        <v>1</v>
      </c>
      <c r="L668" s="3026" t="s">
        <v>3383</v>
      </c>
      <c r="M668" s="3025">
        <v>69.94</v>
      </c>
      <c r="N668" s="3025" t="s">
        <v>3248</v>
      </c>
    </row>
    <row r="669" spans="1:14" ht="14.25" thickBot="1">
      <c r="A669" s="3016">
        <v>668</v>
      </c>
      <c r="B669" s="3008" t="s">
        <v>3201</v>
      </c>
      <c r="C669" s="3008" t="s">
        <v>3159</v>
      </c>
      <c r="D669" s="3008" t="s">
        <v>3215</v>
      </c>
      <c r="E669" s="3008">
        <v>207</v>
      </c>
      <c r="F669" s="3008">
        <v>66.28</v>
      </c>
      <c r="G669" s="3017" t="s">
        <v>3055</v>
      </c>
      <c r="I669" s="3025">
        <v>9</v>
      </c>
      <c r="J669" s="3025">
        <v>3</v>
      </c>
      <c r="K669" s="3025">
        <v>1</v>
      </c>
      <c r="L669" s="3026" t="s">
        <v>3384</v>
      </c>
      <c r="M669" s="3025">
        <v>66.28</v>
      </c>
      <c r="N669" s="3025" t="s">
        <v>3248</v>
      </c>
    </row>
    <row r="670" spans="1:14" ht="14.25" thickBot="1">
      <c r="A670" s="3016">
        <v>669</v>
      </c>
      <c r="B670" s="3008" t="s">
        <v>3201</v>
      </c>
      <c r="C670" s="3008" t="s">
        <v>3153</v>
      </c>
      <c r="D670" s="3008" t="s">
        <v>3215</v>
      </c>
      <c r="E670" s="3008">
        <v>301</v>
      </c>
      <c r="F670" s="3008">
        <v>66.28</v>
      </c>
      <c r="G670" s="3017" t="s">
        <v>3055</v>
      </c>
      <c r="I670" s="3025">
        <v>9</v>
      </c>
      <c r="J670" s="3025">
        <v>2</v>
      </c>
      <c r="K670" s="3025">
        <v>1</v>
      </c>
      <c r="L670" s="3026" t="s">
        <v>3385</v>
      </c>
      <c r="M670" s="3025">
        <v>69.94</v>
      </c>
      <c r="N670" s="3025" t="s">
        <v>3248</v>
      </c>
    </row>
    <row r="671" spans="1:14" ht="14.25" thickBot="1">
      <c r="A671" s="3016">
        <v>670</v>
      </c>
      <c r="B671" s="3008" t="s">
        <v>3201</v>
      </c>
      <c r="C671" s="3008" t="s">
        <v>3153</v>
      </c>
      <c r="D671" s="3008" t="s">
        <v>3215</v>
      </c>
      <c r="E671" s="3008">
        <v>302</v>
      </c>
      <c r="F671" s="3008">
        <v>69.77</v>
      </c>
      <c r="G671" s="3017" t="s">
        <v>3055</v>
      </c>
      <c r="I671" s="3025">
        <v>9</v>
      </c>
      <c r="J671" s="3025">
        <v>2</v>
      </c>
      <c r="K671" s="3025">
        <v>1</v>
      </c>
      <c r="L671" s="3026" t="s">
        <v>3386</v>
      </c>
      <c r="M671" s="3025">
        <v>66.28</v>
      </c>
      <c r="N671" s="3025" t="s">
        <v>3248</v>
      </c>
    </row>
    <row r="672" spans="1:14" ht="14.25" thickBot="1">
      <c r="A672" s="3016">
        <v>671</v>
      </c>
      <c r="B672" s="3008" t="s">
        <v>3201</v>
      </c>
      <c r="C672" s="3008" t="s">
        <v>3153</v>
      </c>
      <c r="D672" s="3008" t="s">
        <v>3215</v>
      </c>
      <c r="E672" s="3008">
        <v>307</v>
      </c>
      <c r="F672" s="3008">
        <v>66.28</v>
      </c>
      <c r="G672" s="3017" t="s">
        <v>3055</v>
      </c>
    </row>
    <row r="673" spans="1:7" ht="14.25" thickBot="1">
      <c r="A673" s="3016">
        <v>672</v>
      </c>
      <c r="B673" s="3008" t="s">
        <v>3201</v>
      </c>
      <c r="C673" s="3008" t="s">
        <v>3156</v>
      </c>
      <c r="D673" s="3008" t="s">
        <v>3213</v>
      </c>
      <c r="E673" s="3008" t="s">
        <v>3145</v>
      </c>
      <c r="F673" s="3008">
        <v>66.28</v>
      </c>
      <c r="G673" s="3017" t="s">
        <v>3055</v>
      </c>
    </row>
    <row r="674" spans="1:7" ht="14.25" thickBot="1">
      <c r="A674" s="3016">
        <v>673</v>
      </c>
      <c r="B674" s="3008" t="s">
        <v>3201</v>
      </c>
      <c r="C674" s="3008" t="s">
        <v>3156</v>
      </c>
      <c r="D674" s="3008" t="s">
        <v>3213</v>
      </c>
      <c r="E674" s="3008" t="s">
        <v>3150</v>
      </c>
      <c r="F674" s="3008">
        <v>66.28</v>
      </c>
      <c r="G674" s="3017" t="s">
        <v>3055</v>
      </c>
    </row>
    <row r="675" spans="1:7" ht="14.25" thickBot="1">
      <c r="A675" s="3016">
        <v>674</v>
      </c>
      <c r="B675" s="3008" t="s">
        <v>3201</v>
      </c>
      <c r="C675" s="3008" t="s">
        <v>3156</v>
      </c>
      <c r="D675" s="3008" t="s">
        <v>3215</v>
      </c>
      <c r="E675" s="3008" t="s">
        <v>3145</v>
      </c>
      <c r="F675" s="3008">
        <v>66.28</v>
      </c>
      <c r="G675" s="3017" t="s">
        <v>3055</v>
      </c>
    </row>
    <row r="676" spans="1:7" ht="14.25" thickBot="1">
      <c r="A676" s="3016">
        <v>675</v>
      </c>
      <c r="B676" s="3008" t="s">
        <v>3201</v>
      </c>
      <c r="C676" s="3008" t="s">
        <v>3156</v>
      </c>
      <c r="D676" s="3008" t="s">
        <v>3215</v>
      </c>
      <c r="E676" s="3008" t="s">
        <v>3147</v>
      </c>
      <c r="F676" s="3008">
        <v>69.94</v>
      </c>
      <c r="G676" s="3017" t="s">
        <v>3055</v>
      </c>
    </row>
    <row r="677" spans="1:7" ht="14.25" thickBot="1">
      <c r="A677" s="3016">
        <v>676</v>
      </c>
      <c r="B677" s="3008" t="s">
        <v>3201</v>
      </c>
      <c r="C677" s="3008" t="s">
        <v>3156</v>
      </c>
      <c r="D677" s="3008" t="s">
        <v>3215</v>
      </c>
      <c r="E677" s="3008" t="s">
        <v>3148</v>
      </c>
      <c r="F677" s="3008">
        <v>69.94</v>
      </c>
      <c r="G677" s="3017" t="s">
        <v>3055</v>
      </c>
    </row>
    <row r="678" spans="1:7" ht="14.25" thickBot="1">
      <c r="A678" s="3016">
        <v>677</v>
      </c>
      <c r="B678" s="3008" t="s">
        <v>3201</v>
      </c>
      <c r="C678" s="3008" t="s">
        <v>3156</v>
      </c>
      <c r="D678" s="3008" t="s">
        <v>3215</v>
      </c>
      <c r="E678" s="3008" t="s">
        <v>3149</v>
      </c>
      <c r="F678" s="3008">
        <v>69.77</v>
      </c>
      <c r="G678" s="3017" t="s">
        <v>3055</v>
      </c>
    </row>
    <row r="679" spans="1:7" ht="14.25" thickBot="1">
      <c r="A679" s="3016">
        <v>678</v>
      </c>
      <c r="B679" s="3008" t="s">
        <v>3201</v>
      </c>
      <c r="C679" s="3008" t="s">
        <v>3156</v>
      </c>
      <c r="D679" s="3008" t="s">
        <v>3215</v>
      </c>
      <c r="E679" s="3008" t="s">
        <v>3150</v>
      </c>
      <c r="F679" s="3008">
        <v>66.28</v>
      </c>
      <c r="G679" s="3017" t="s">
        <v>3055</v>
      </c>
    </row>
    <row r="680" spans="1:7" ht="14.25" thickBot="1">
      <c r="A680" s="3016">
        <v>679</v>
      </c>
      <c r="B680" s="3008" t="s">
        <v>3201</v>
      </c>
      <c r="C680" s="3008" t="s">
        <v>3157</v>
      </c>
      <c r="D680" s="3008" t="s">
        <v>3213</v>
      </c>
      <c r="E680" s="3008">
        <v>506</v>
      </c>
      <c r="F680" s="3008">
        <v>69.77</v>
      </c>
      <c r="G680" s="3017" t="s">
        <v>3055</v>
      </c>
    </row>
    <row r="681" spans="1:7" ht="14.25" thickBot="1">
      <c r="A681" s="3016">
        <v>680</v>
      </c>
      <c r="B681" s="3008" t="s">
        <v>3201</v>
      </c>
      <c r="C681" s="3008" t="s">
        <v>3157</v>
      </c>
      <c r="D681" s="3008" t="s">
        <v>3213</v>
      </c>
      <c r="E681" s="3008">
        <v>507</v>
      </c>
      <c r="F681" s="3008">
        <v>66.28</v>
      </c>
      <c r="G681" s="3017" t="s">
        <v>3055</v>
      </c>
    </row>
    <row r="682" spans="1:7" ht="14.25" thickBot="1">
      <c r="A682" s="3016">
        <v>681</v>
      </c>
      <c r="B682" s="3008" t="s">
        <v>3201</v>
      </c>
      <c r="C682" s="3008" t="s">
        <v>3157</v>
      </c>
      <c r="D682" s="3008" t="s">
        <v>3215</v>
      </c>
      <c r="E682" s="3008">
        <v>507</v>
      </c>
      <c r="F682" s="3008">
        <v>66.28</v>
      </c>
      <c r="G682" s="3017" t="s">
        <v>3055</v>
      </c>
    </row>
    <row r="683" spans="1:7" ht="14.25" thickBot="1">
      <c r="A683" s="3016">
        <v>682</v>
      </c>
      <c r="B683" s="3008" t="s">
        <v>3201</v>
      </c>
      <c r="C683" s="3008" t="s">
        <v>3158</v>
      </c>
      <c r="D683" s="3008" t="s">
        <v>3213</v>
      </c>
      <c r="E683" s="3008">
        <v>602</v>
      </c>
      <c r="F683" s="3008">
        <v>69.77</v>
      </c>
      <c r="G683" s="3017" t="s">
        <v>3055</v>
      </c>
    </row>
    <row r="684" spans="1:7" ht="14.25" thickBot="1">
      <c r="A684" s="3016">
        <v>683</v>
      </c>
      <c r="B684" s="3008" t="s">
        <v>3201</v>
      </c>
      <c r="C684" s="3008" t="s">
        <v>3158</v>
      </c>
      <c r="D684" s="3008" t="s">
        <v>3213</v>
      </c>
      <c r="E684" s="3008">
        <v>603</v>
      </c>
      <c r="F684" s="3008">
        <v>69.94</v>
      </c>
      <c r="G684" s="3017" t="s">
        <v>3055</v>
      </c>
    </row>
    <row r="685" spans="1:7" ht="14.25" thickBot="1">
      <c r="A685" s="3016">
        <v>684</v>
      </c>
      <c r="B685" s="3008" t="s">
        <v>3201</v>
      </c>
      <c r="C685" s="3008" t="s">
        <v>3158</v>
      </c>
      <c r="D685" s="3008" t="s">
        <v>3213</v>
      </c>
      <c r="E685" s="3008">
        <v>606</v>
      </c>
      <c r="F685" s="3008">
        <v>69.77</v>
      </c>
      <c r="G685" s="3017" t="s">
        <v>3055</v>
      </c>
    </row>
    <row r="686" spans="1:7" ht="14.25" thickBot="1">
      <c r="A686" s="3016">
        <v>685</v>
      </c>
      <c r="B686" s="3008" t="s">
        <v>3201</v>
      </c>
      <c r="C686" s="3008" t="s">
        <v>3158</v>
      </c>
      <c r="D686" s="3008" t="s">
        <v>3215</v>
      </c>
      <c r="E686" s="3008">
        <v>603</v>
      </c>
      <c r="F686" s="3008">
        <v>69.94</v>
      </c>
      <c r="G686" s="3017" t="s">
        <v>3055</v>
      </c>
    </row>
    <row r="687" spans="1:7" ht="14.25" thickBot="1">
      <c r="A687" s="3016">
        <v>686</v>
      </c>
      <c r="B687" s="3008" t="s">
        <v>3201</v>
      </c>
      <c r="C687" s="3008" t="s">
        <v>3158</v>
      </c>
      <c r="D687" s="3008" t="s">
        <v>3215</v>
      </c>
      <c r="E687" s="3008">
        <v>605</v>
      </c>
      <c r="F687" s="3008">
        <v>69.94</v>
      </c>
      <c r="G687" s="3017" t="s">
        <v>3055</v>
      </c>
    </row>
    <row r="688" spans="1:7" ht="14.25" thickBot="1">
      <c r="A688" s="3016">
        <v>687</v>
      </c>
      <c r="B688" s="3008" t="s">
        <v>3201</v>
      </c>
      <c r="C688" s="3008" t="s">
        <v>3158</v>
      </c>
      <c r="D688" s="3008" t="s">
        <v>3215</v>
      </c>
      <c r="E688" s="3008">
        <v>606</v>
      </c>
      <c r="F688" s="3008">
        <v>69.77</v>
      </c>
      <c r="G688" s="3017" t="s">
        <v>3055</v>
      </c>
    </row>
    <row r="689" spans="1:7" ht="14.25" thickBot="1">
      <c r="A689" s="3016">
        <v>688</v>
      </c>
      <c r="B689" s="3008" t="s">
        <v>3239</v>
      </c>
      <c r="C689" s="3020" t="s">
        <v>3152</v>
      </c>
      <c r="D689" s="3008" t="s">
        <v>70</v>
      </c>
      <c r="E689" s="3020" t="s">
        <v>3132</v>
      </c>
      <c r="F689" s="3008">
        <v>98.05</v>
      </c>
      <c r="G689" s="3017" t="s">
        <v>1373</v>
      </c>
    </row>
    <row r="690" spans="1:7" ht="14.25" thickBot="1">
      <c r="A690" s="3016">
        <v>689</v>
      </c>
      <c r="B690" s="3008" t="s">
        <v>3239</v>
      </c>
      <c r="C690" s="3020" t="s">
        <v>3152</v>
      </c>
      <c r="D690" s="3008" t="s">
        <v>70</v>
      </c>
      <c r="E690" s="3020" t="s">
        <v>3134</v>
      </c>
      <c r="F690" s="3008">
        <v>104.43</v>
      </c>
      <c r="G690" s="3017" t="s">
        <v>1373</v>
      </c>
    </row>
    <row r="691" spans="1:7" ht="14.25" thickBot="1">
      <c r="A691" s="3016">
        <v>690</v>
      </c>
      <c r="B691" s="3008" t="s">
        <v>3239</v>
      </c>
      <c r="C691" s="3020" t="s">
        <v>3152</v>
      </c>
      <c r="D691" s="3008" t="s">
        <v>70</v>
      </c>
      <c r="E691" s="3020" t="s">
        <v>3135</v>
      </c>
      <c r="F691" s="3008">
        <v>103.44</v>
      </c>
      <c r="G691" s="3017" t="s">
        <v>1373</v>
      </c>
    </row>
    <row r="692" spans="1:7" ht="14.25" thickBot="1">
      <c r="A692" s="3016">
        <v>691</v>
      </c>
      <c r="B692" s="3008" t="s">
        <v>3239</v>
      </c>
      <c r="C692" s="3020" t="s">
        <v>3152</v>
      </c>
      <c r="D692" s="3008" t="s">
        <v>70</v>
      </c>
      <c r="E692" s="3020" t="s">
        <v>3136</v>
      </c>
      <c r="F692" s="3008">
        <v>53.52</v>
      </c>
      <c r="G692" s="3017" t="s">
        <v>1373</v>
      </c>
    </row>
    <row r="693" spans="1:7" ht="14.25" thickBot="1">
      <c r="A693" s="3016">
        <v>692</v>
      </c>
      <c r="B693" s="3008" t="s">
        <v>3239</v>
      </c>
      <c r="C693" s="3020" t="s">
        <v>3152</v>
      </c>
      <c r="D693" s="3008" t="s">
        <v>70</v>
      </c>
      <c r="E693" s="3020" t="s">
        <v>3137</v>
      </c>
      <c r="F693" s="3008">
        <v>104.44</v>
      </c>
      <c r="G693" s="3017" t="s">
        <v>1373</v>
      </c>
    </row>
    <row r="694" spans="1:7" ht="14.25" thickBot="1">
      <c r="A694" s="3016">
        <v>693</v>
      </c>
      <c r="B694" s="3008" t="s">
        <v>3239</v>
      </c>
      <c r="C694" s="3020" t="s">
        <v>3152</v>
      </c>
      <c r="D694" s="3008" t="s">
        <v>70</v>
      </c>
      <c r="E694" s="3020" t="s">
        <v>3138</v>
      </c>
      <c r="F694" s="3008">
        <v>89.14</v>
      </c>
      <c r="G694" s="3017" t="s">
        <v>1373</v>
      </c>
    </row>
    <row r="695" spans="1:7" ht="14.25" thickBot="1">
      <c r="A695" s="3016">
        <v>694</v>
      </c>
      <c r="B695" s="3008" t="s">
        <v>3239</v>
      </c>
      <c r="C695" s="3020" t="s">
        <v>3152</v>
      </c>
      <c r="D695" s="3008" t="s">
        <v>70</v>
      </c>
      <c r="E695" s="3020" t="s">
        <v>3139</v>
      </c>
      <c r="F695" s="3008">
        <v>89.14</v>
      </c>
      <c r="G695" s="3017" t="s">
        <v>1373</v>
      </c>
    </row>
    <row r="696" spans="1:7" ht="14.25" thickBot="1">
      <c r="A696" s="3016">
        <v>695</v>
      </c>
      <c r="B696" s="3008" t="s">
        <v>3239</v>
      </c>
      <c r="C696" s="3020" t="s">
        <v>3152</v>
      </c>
      <c r="D696" s="3008" t="s">
        <v>70</v>
      </c>
      <c r="E696" s="3020" t="s">
        <v>3140</v>
      </c>
      <c r="F696" s="3008">
        <v>104.44</v>
      </c>
      <c r="G696" s="3017" t="s">
        <v>1373</v>
      </c>
    </row>
    <row r="697" spans="1:7" ht="14.25" thickBot="1">
      <c r="A697" s="3016">
        <v>696</v>
      </c>
      <c r="B697" s="3008" t="s">
        <v>3239</v>
      </c>
      <c r="C697" s="3020" t="s">
        <v>3152</v>
      </c>
      <c r="D697" s="3008" t="s">
        <v>70</v>
      </c>
      <c r="E697" s="3020" t="s">
        <v>3141</v>
      </c>
      <c r="F697" s="3008">
        <v>53.52</v>
      </c>
      <c r="G697" s="3017" t="s">
        <v>1373</v>
      </c>
    </row>
    <row r="698" spans="1:7" ht="14.25" thickBot="1">
      <c r="A698" s="3016">
        <v>697</v>
      </c>
      <c r="B698" s="3008" t="s">
        <v>3239</v>
      </c>
      <c r="C698" s="3020" t="s">
        <v>3152</v>
      </c>
      <c r="D698" s="3008" t="s">
        <v>70</v>
      </c>
      <c r="E698" s="3020" t="s">
        <v>3142</v>
      </c>
      <c r="F698" s="3008">
        <v>103.44</v>
      </c>
      <c r="G698" s="3017" t="s">
        <v>1373</v>
      </c>
    </row>
    <row r="699" spans="1:7" ht="14.25" thickBot="1">
      <c r="A699" s="3016">
        <v>698</v>
      </c>
      <c r="B699" s="3008" t="s">
        <v>3239</v>
      </c>
      <c r="C699" s="3020" t="s">
        <v>3152</v>
      </c>
      <c r="D699" s="3008" t="s">
        <v>70</v>
      </c>
      <c r="E699" s="3020" t="s">
        <v>3164</v>
      </c>
      <c r="F699" s="3008">
        <v>104.43</v>
      </c>
      <c r="G699" s="3017" t="s">
        <v>1373</v>
      </c>
    </row>
    <row r="700" spans="1:7" ht="14.25" thickBot="1">
      <c r="A700" s="3016">
        <v>699</v>
      </c>
      <c r="B700" s="3008" t="s">
        <v>3239</v>
      </c>
      <c r="C700" s="3020" t="s">
        <v>3152</v>
      </c>
      <c r="D700" s="3008" t="s">
        <v>70</v>
      </c>
      <c r="E700" s="3020" t="s">
        <v>3165</v>
      </c>
      <c r="F700" s="3008">
        <v>89.14</v>
      </c>
      <c r="G700" s="3017" t="s">
        <v>1373</v>
      </c>
    </row>
    <row r="701" spans="1:7" ht="14.25" thickBot="1">
      <c r="A701" s="3016">
        <v>700</v>
      </c>
      <c r="B701" s="3008" t="s">
        <v>3240</v>
      </c>
      <c r="C701" s="3020" t="s">
        <v>3152</v>
      </c>
      <c r="D701" s="3008" t="s">
        <v>70</v>
      </c>
      <c r="E701" s="3020" t="s">
        <v>3132</v>
      </c>
      <c r="F701" s="3008">
        <v>117.68</v>
      </c>
      <c r="G701" s="3017" t="s">
        <v>1373</v>
      </c>
    </row>
    <row r="702" spans="1:7" ht="14.25" thickBot="1">
      <c r="A702" s="3016">
        <v>701</v>
      </c>
      <c r="B702" s="3008" t="s">
        <v>3240</v>
      </c>
      <c r="C702" s="3020" t="s">
        <v>3152</v>
      </c>
      <c r="D702" s="3008" t="s">
        <v>70</v>
      </c>
      <c r="E702" s="3020" t="s">
        <v>3134</v>
      </c>
      <c r="F702" s="3008">
        <v>87.15</v>
      </c>
      <c r="G702" s="3017" t="s">
        <v>1373</v>
      </c>
    </row>
    <row r="703" spans="1:7" ht="14.25" thickBot="1">
      <c r="A703" s="3016">
        <v>702</v>
      </c>
      <c r="B703" s="3008" t="s">
        <v>3240</v>
      </c>
      <c r="C703" s="3020" t="s">
        <v>3152</v>
      </c>
      <c r="D703" s="3008" t="s">
        <v>70</v>
      </c>
      <c r="E703" s="3020" t="s">
        <v>3135</v>
      </c>
      <c r="F703" s="3008">
        <v>85.07</v>
      </c>
      <c r="G703" s="3017" t="s">
        <v>1373</v>
      </c>
    </row>
    <row r="704" spans="1:7" ht="14.25" thickBot="1">
      <c r="A704" s="3016">
        <v>703</v>
      </c>
      <c r="B704" s="3008" t="s">
        <v>3240</v>
      </c>
      <c r="C704" s="3020" t="s">
        <v>3152</v>
      </c>
      <c r="D704" s="3008" t="s">
        <v>70</v>
      </c>
      <c r="E704" s="3020" t="s">
        <v>3136</v>
      </c>
      <c r="F704" s="3008">
        <v>86.32</v>
      </c>
      <c r="G704" s="3017" t="s">
        <v>1373</v>
      </c>
    </row>
    <row r="705" spans="1:7" ht="14.25" thickBot="1">
      <c r="A705" s="3016">
        <v>704</v>
      </c>
      <c r="B705" s="3008" t="s">
        <v>3240</v>
      </c>
      <c r="C705" s="3020" t="s">
        <v>3152</v>
      </c>
      <c r="D705" s="3008" t="s">
        <v>70</v>
      </c>
      <c r="E705" s="3020" t="s">
        <v>3137</v>
      </c>
      <c r="F705" s="3008">
        <v>113.33</v>
      </c>
      <c r="G705" s="3017" t="s">
        <v>1373</v>
      </c>
    </row>
    <row r="706" spans="1:7" ht="14.25" thickBot="1">
      <c r="A706" s="3016">
        <v>705</v>
      </c>
      <c r="B706" s="3008" t="s">
        <v>3240</v>
      </c>
      <c r="C706" s="3020" t="s">
        <v>3152</v>
      </c>
      <c r="D706" s="3008" t="s">
        <v>70</v>
      </c>
      <c r="E706" s="3020" t="s">
        <v>3138</v>
      </c>
      <c r="F706" s="3008">
        <v>113.33</v>
      </c>
      <c r="G706" s="3017" t="s">
        <v>1373</v>
      </c>
    </row>
    <row r="707" spans="1:7" ht="14.25" thickBot="1">
      <c r="A707" s="3016">
        <v>706</v>
      </c>
      <c r="B707" s="3008" t="s">
        <v>3240</v>
      </c>
      <c r="C707" s="3020" t="s">
        <v>3152</v>
      </c>
      <c r="D707" s="3008" t="s">
        <v>70</v>
      </c>
      <c r="E707" s="3020" t="s">
        <v>3139</v>
      </c>
      <c r="F707" s="3008">
        <v>86.32</v>
      </c>
      <c r="G707" s="3017" t="s">
        <v>1373</v>
      </c>
    </row>
    <row r="708" spans="1:7" ht="14.25" thickBot="1">
      <c r="A708" s="3016">
        <v>707</v>
      </c>
      <c r="B708" s="3008" t="s">
        <v>3240</v>
      </c>
      <c r="C708" s="3020" t="s">
        <v>3152</v>
      </c>
      <c r="D708" s="3008" t="s">
        <v>70</v>
      </c>
      <c r="E708" s="3020" t="s">
        <v>3140</v>
      </c>
      <c r="F708" s="3008">
        <v>85.07</v>
      </c>
      <c r="G708" s="3017" t="s">
        <v>1373</v>
      </c>
    </row>
    <row r="709" spans="1:7" ht="14.25" thickBot="1">
      <c r="A709" s="3016">
        <v>708</v>
      </c>
      <c r="B709" s="3008" t="s">
        <v>3240</v>
      </c>
      <c r="C709" s="3020" t="s">
        <v>3152</v>
      </c>
      <c r="D709" s="3008" t="s">
        <v>70</v>
      </c>
      <c r="E709" s="3020" t="s">
        <v>3141</v>
      </c>
      <c r="F709" s="3008">
        <v>87.15</v>
      </c>
      <c r="G709" s="3017" t="s">
        <v>1373</v>
      </c>
    </row>
    <row r="710" spans="1:7" ht="14.25" thickBot="1">
      <c r="A710" s="3016">
        <v>709</v>
      </c>
      <c r="B710" s="3008" t="s">
        <v>3240</v>
      </c>
      <c r="C710" s="3020" t="s">
        <v>3152</v>
      </c>
      <c r="D710" s="3008" t="s">
        <v>70</v>
      </c>
      <c r="E710" s="3020" t="s">
        <v>3142</v>
      </c>
      <c r="F710" s="3008">
        <v>117.68</v>
      </c>
      <c r="G710" s="3017" t="s">
        <v>1373</v>
      </c>
    </row>
    <row r="711" spans="1:7" ht="14.25" thickBot="1">
      <c r="A711" s="3016">
        <v>710</v>
      </c>
      <c r="B711" s="3008" t="s">
        <v>3326</v>
      </c>
      <c r="C711" s="3008" t="s">
        <v>3129</v>
      </c>
      <c r="D711" s="3008" t="s">
        <v>70</v>
      </c>
      <c r="E711" s="3008" t="s">
        <v>3130</v>
      </c>
      <c r="F711" s="3008">
        <v>1326.16</v>
      </c>
      <c r="G711" s="3017" t="s">
        <v>3292</v>
      </c>
    </row>
    <row r="712" spans="1:7" ht="14.25" thickBot="1">
      <c r="A712" s="3016">
        <v>711</v>
      </c>
      <c r="B712" s="3008" t="s">
        <v>3327</v>
      </c>
      <c r="C712" s="3008" t="s">
        <v>3129</v>
      </c>
      <c r="D712" s="3008" t="s">
        <v>70</v>
      </c>
      <c r="E712" s="3008" t="s">
        <v>3130</v>
      </c>
      <c r="F712" s="3008">
        <v>884.71</v>
      </c>
      <c r="G712" s="3017" t="s">
        <v>3292</v>
      </c>
    </row>
    <row r="713" spans="1:7" ht="14.25" thickBot="1">
      <c r="A713" s="3016">
        <v>712</v>
      </c>
      <c r="B713" s="3008" t="s">
        <v>3200</v>
      </c>
      <c r="C713" s="3008" t="s">
        <v>3152</v>
      </c>
      <c r="D713" s="3008" t="s">
        <v>70</v>
      </c>
      <c r="E713" s="3008" t="s">
        <v>3132</v>
      </c>
      <c r="F713" s="3008">
        <v>72.75</v>
      </c>
      <c r="G713" s="3017" t="s">
        <v>1373</v>
      </c>
    </row>
    <row r="714" spans="1:7" ht="14.25" thickBot="1">
      <c r="A714" s="3016">
        <v>713</v>
      </c>
      <c r="B714" s="3008" t="s">
        <v>3200</v>
      </c>
      <c r="C714" s="3008" t="s">
        <v>3152</v>
      </c>
      <c r="D714" s="3008" t="s">
        <v>70</v>
      </c>
      <c r="E714" s="3008" t="s">
        <v>3134</v>
      </c>
      <c r="F714" s="3008">
        <v>54.97</v>
      </c>
      <c r="G714" s="3017" t="s">
        <v>1373</v>
      </c>
    </row>
    <row r="715" spans="1:7" ht="14.25" thickBot="1">
      <c r="A715" s="3016">
        <v>714</v>
      </c>
      <c r="B715" s="3008" t="s">
        <v>3200</v>
      </c>
      <c r="C715" s="3008" t="s">
        <v>3152</v>
      </c>
      <c r="D715" s="3008" t="s">
        <v>70</v>
      </c>
      <c r="E715" s="3008" t="s">
        <v>3135</v>
      </c>
      <c r="F715" s="3008">
        <v>55.91</v>
      </c>
      <c r="G715" s="3017" t="s">
        <v>1373</v>
      </c>
    </row>
    <row r="716" spans="1:7" ht="14.25" thickBot="1">
      <c r="A716" s="3016">
        <v>715</v>
      </c>
      <c r="B716" s="3008" t="s">
        <v>3200</v>
      </c>
      <c r="C716" s="3008" t="s">
        <v>3152</v>
      </c>
      <c r="D716" s="3008" t="s">
        <v>70</v>
      </c>
      <c r="E716" s="3008" t="s">
        <v>3136</v>
      </c>
      <c r="F716" s="3008">
        <v>70.09</v>
      </c>
      <c r="G716" s="3017" t="s">
        <v>1373</v>
      </c>
    </row>
    <row r="717" spans="1:7" ht="14.25" thickBot="1">
      <c r="A717" s="3016">
        <v>716</v>
      </c>
      <c r="B717" s="3008" t="s">
        <v>3200</v>
      </c>
      <c r="C717" s="3008" t="s">
        <v>3152</v>
      </c>
      <c r="D717" s="3008" t="s">
        <v>70</v>
      </c>
      <c r="E717" s="3008" t="s">
        <v>3137</v>
      </c>
      <c r="F717" s="3008">
        <v>57.86</v>
      </c>
      <c r="G717" s="3017" t="s">
        <v>1373</v>
      </c>
    </row>
    <row r="718" spans="1:7" ht="14.25" thickBot="1">
      <c r="A718" s="3016">
        <v>717</v>
      </c>
      <c r="B718" s="3008" t="s">
        <v>3200</v>
      </c>
      <c r="C718" s="3008" t="s">
        <v>3152</v>
      </c>
      <c r="D718" s="3008" t="s">
        <v>70</v>
      </c>
      <c r="E718" s="3008" t="s">
        <v>3138</v>
      </c>
      <c r="F718" s="3008">
        <v>55.93</v>
      </c>
      <c r="G718" s="3017" t="s">
        <v>1373</v>
      </c>
    </row>
    <row r="719" spans="1:7" ht="14.25" thickBot="1">
      <c r="A719" s="3016">
        <v>718</v>
      </c>
      <c r="B719" s="3008" t="s">
        <v>3200</v>
      </c>
      <c r="C719" s="3008" t="s">
        <v>3152</v>
      </c>
      <c r="D719" s="3008" t="s">
        <v>70</v>
      </c>
      <c r="E719" s="3008" t="s">
        <v>3139</v>
      </c>
      <c r="F719" s="3008">
        <v>55.93</v>
      </c>
      <c r="G719" s="3017" t="s">
        <v>1373</v>
      </c>
    </row>
    <row r="720" spans="1:7" ht="14.25" thickBot="1">
      <c r="A720" s="3016">
        <v>719</v>
      </c>
      <c r="B720" s="3008" t="s">
        <v>3200</v>
      </c>
      <c r="C720" s="3008" t="s">
        <v>3152</v>
      </c>
      <c r="D720" s="3008" t="s">
        <v>70</v>
      </c>
      <c r="E720" s="3008" t="s">
        <v>3140</v>
      </c>
      <c r="F720" s="3008">
        <v>57.86</v>
      </c>
      <c r="G720" s="3017" t="s">
        <v>1373</v>
      </c>
    </row>
    <row r="721" spans="1:7" ht="14.25" thickBot="1">
      <c r="A721" s="3016">
        <v>720</v>
      </c>
      <c r="B721" s="3008" t="s">
        <v>3200</v>
      </c>
      <c r="C721" s="3008" t="s">
        <v>3152</v>
      </c>
      <c r="D721" s="3008" t="s">
        <v>70</v>
      </c>
      <c r="E721" s="3008" t="s">
        <v>3141</v>
      </c>
      <c r="F721" s="3008">
        <v>57.86</v>
      </c>
      <c r="G721" s="3017" t="s">
        <v>1373</v>
      </c>
    </row>
    <row r="722" spans="1:7" ht="14.25" thickBot="1">
      <c r="A722" s="3016">
        <v>721</v>
      </c>
      <c r="B722" s="3008" t="s">
        <v>3200</v>
      </c>
      <c r="C722" s="3008" t="s">
        <v>3152</v>
      </c>
      <c r="D722" s="3008" t="s">
        <v>70</v>
      </c>
      <c r="E722" s="3008" t="s">
        <v>3142</v>
      </c>
      <c r="F722" s="3008">
        <v>62.36</v>
      </c>
      <c r="G722" s="3017" t="s">
        <v>1373</v>
      </c>
    </row>
    <row r="723" spans="1:7" ht="14.25" thickBot="1">
      <c r="A723" s="3016">
        <v>722</v>
      </c>
      <c r="B723" s="3008" t="s">
        <v>3325</v>
      </c>
      <c r="C723" s="3020" t="s">
        <v>3152</v>
      </c>
      <c r="D723" s="3008" t="s">
        <v>70</v>
      </c>
      <c r="E723" s="3008" t="s">
        <v>3132</v>
      </c>
      <c r="F723" s="3008">
        <v>102.22</v>
      </c>
      <c r="G723" s="3017" t="s">
        <v>1373</v>
      </c>
    </row>
    <row r="724" spans="1:7" ht="14.25" thickBot="1">
      <c r="A724" s="3016">
        <v>723</v>
      </c>
      <c r="B724" s="3008" t="s">
        <v>3325</v>
      </c>
      <c r="C724" s="3020" t="s">
        <v>3152</v>
      </c>
      <c r="D724" s="3008" t="s">
        <v>70</v>
      </c>
      <c r="E724" s="3008" t="s">
        <v>3134</v>
      </c>
      <c r="F724" s="3008">
        <v>111.55</v>
      </c>
      <c r="G724" s="3017" t="s">
        <v>1373</v>
      </c>
    </row>
    <row r="725" spans="1:7" ht="14.25" thickBot="1">
      <c r="A725" s="3016">
        <v>724</v>
      </c>
      <c r="B725" s="3008" t="s">
        <v>3325</v>
      </c>
      <c r="C725" s="3020" t="s">
        <v>3152</v>
      </c>
      <c r="D725" s="3008" t="s">
        <v>70</v>
      </c>
      <c r="E725" s="3008" t="s">
        <v>3135</v>
      </c>
      <c r="F725" s="3008">
        <v>122.56</v>
      </c>
      <c r="G725" s="3017" t="s">
        <v>1373</v>
      </c>
    </row>
    <row r="726" spans="1:7" ht="14.25" thickBot="1">
      <c r="A726" s="3016">
        <v>725</v>
      </c>
      <c r="B726" s="3008" t="s">
        <v>3325</v>
      </c>
      <c r="C726" s="3020" t="s">
        <v>3152</v>
      </c>
      <c r="D726" s="3008" t="s">
        <v>70</v>
      </c>
      <c r="E726" s="3008" t="s">
        <v>3136</v>
      </c>
      <c r="F726" s="3008">
        <v>68</v>
      </c>
      <c r="G726" s="3017" t="s">
        <v>1373</v>
      </c>
    </row>
    <row r="727" spans="1:7" ht="14.25" thickBot="1">
      <c r="A727" s="3016">
        <v>726</v>
      </c>
      <c r="B727" s="3008" t="s">
        <v>3325</v>
      </c>
      <c r="C727" s="3020" t="s">
        <v>3152</v>
      </c>
      <c r="D727" s="3008" t="s">
        <v>70</v>
      </c>
      <c r="E727" s="3008" t="s">
        <v>3137</v>
      </c>
      <c r="F727" s="3008">
        <v>116.07</v>
      </c>
      <c r="G727" s="3017" t="s">
        <v>1373</v>
      </c>
    </row>
    <row r="728" spans="1:7" ht="14.25" thickBot="1">
      <c r="A728" s="3016">
        <v>727</v>
      </c>
      <c r="B728" s="3008" t="s">
        <v>3325</v>
      </c>
      <c r="C728" s="3020" t="s">
        <v>3152</v>
      </c>
      <c r="D728" s="3008" t="s">
        <v>70</v>
      </c>
      <c r="E728" s="3008" t="s">
        <v>3138</v>
      </c>
      <c r="F728" s="3008">
        <v>40.1</v>
      </c>
      <c r="G728" s="3017" t="s">
        <v>1373</v>
      </c>
    </row>
    <row r="729" spans="1:7" ht="14.25" thickBot="1">
      <c r="A729" s="3016">
        <v>728</v>
      </c>
      <c r="B729" s="3008" t="s">
        <v>3325</v>
      </c>
      <c r="C729" s="3020" t="s">
        <v>3152</v>
      </c>
      <c r="D729" s="3008" t="s">
        <v>70</v>
      </c>
      <c r="E729" s="3008" t="s">
        <v>3139</v>
      </c>
      <c r="F729" s="3008">
        <v>39.909999999999997</v>
      </c>
      <c r="G729" s="3017" t="s">
        <v>1373</v>
      </c>
    </row>
    <row r="730" spans="1:7" ht="14.25" thickBot="1">
      <c r="A730" s="3016">
        <v>729</v>
      </c>
      <c r="B730" s="3008" t="s">
        <v>3325</v>
      </c>
      <c r="C730" s="3020" t="s">
        <v>3152</v>
      </c>
      <c r="D730" s="3008" t="s">
        <v>70</v>
      </c>
      <c r="E730" s="3008" t="s">
        <v>3140</v>
      </c>
      <c r="F730" s="3008">
        <v>62.27</v>
      </c>
      <c r="G730" s="3017" t="s">
        <v>1373</v>
      </c>
    </row>
    <row r="731" spans="1:7" ht="14.25" thickBot="1">
      <c r="A731" s="3016">
        <v>730</v>
      </c>
      <c r="B731" s="3008" t="s">
        <v>3325</v>
      </c>
      <c r="C731" s="3020" t="s">
        <v>3152</v>
      </c>
      <c r="D731" s="3008" t="s">
        <v>70</v>
      </c>
      <c r="E731" s="3008" t="s">
        <v>3141</v>
      </c>
      <c r="F731" s="3008">
        <v>75.3</v>
      </c>
      <c r="G731" s="3017" t="s">
        <v>1373</v>
      </c>
    </row>
    <row r="732" spans="1:7" ht="14.25" thickBot="1">
      <c r="A732" s="3016">
        <v>731</v>
      </c>
      <c r="B732" s="3008" t="s">
        <v>3235</v>
      </c>
      <c r="C732" s="3020" t="s">
        <v>3152</v>
      </c>
      <c r="D732" s="3008" t="s">
        <v>70</v>
      </c>
      <c r="E732" s="3020" t="s">
        <v>3132</v>
      </c>
      <c r="F732" s="3008">
        <v>117.32</v>
      </c>
      <c r="G732" s="3017" t="s">
        <v>1373</v>
      </c>
    </row>
    <row r="733" spans="1:7" ht="14.25" thickBot="1">
      <c r="A733" s="3016">
        <v>732</v>
      </c>
      <c r="B733" s="3008" t="s">
        <v>3235</v>
      </c>
      <c r="C733" s="3020" t="s">
        <v>3152</v>
      </c>
      <c r="D733" s="3008" t="s">
        <v>70</v>
      </c>
      <c r="E733" s="3020" t="s">
        <v>3134</v>
      </c>
      <c r="F733" s="3008">
        <v>55.3</v>
      </c>
      <c r="G733" s="3017" t="s">
        <v>1373</v>
      </c>
    </row>
    <row r="734" spans="1:7" ht="14.25" thickBot="1">
      <c r="A734" s="3016">
        <v>733</v>
      </c>
      <c r="B734" s="3008" t="s">
        <v>3235</v>
      </c>
      <c r="C734" s="3020" t="s">
        <v>3152</v>
      </c>
      <c r="D734" s="3008" t="s">
        <v>70</v>
      </c>
      <c r="E734" s="3020" t="s">
        <v>3135</v>
      </c>
      <c r="F734" s="3008">
        <v>100.28</v>
      </c>
      <c r="G734" s="3017" t="s">
        <v>1373</v>
      </c>
    </row>
    <row r="735" spans="1:7" ht="14.25" thickBot="1">
      <c r="A735" s="3016">
        <v>734</v>
      </c>
      <c r="B735" s="3008" t="s">
        <v>3235</v>
      </c>
      <c r="C735" s="3020" t="s">
        <v>3152</v>
      </c>
      <c r="D735" s="3008" t="s">
        <v>70</v>
      </c>
      <c r="E735" s="3020" t="s">
        <v>3136</v>
      </c>
      <c r="F735" s="3008">
        <v>109.23</v>
      </c>
      <c r="G735" s="3017" t="s">
        <v>1373</v>
      </c>
    </row>
    <row r="736" spans="1:7" ht="14.25" thickBot="1">
      <c r="A736" s="3016">
        <v>735</v>
      </c>
      <c r="B736" s="3008" t="s">
        <v>3235</v>
      </c>
      <c r="C736" s="3020" t="s">
        <v>3152</v>
      </c>
      <c r="D736" s="3008" t="s">
        <v>70</v>
      </c>
      <c r="E736" s="3020" t="s">
        <v>3137</v>
      </c>
      <c r="F736" s="3008">
        <v>100.77</v>
      </c>
      <c r="G736" s="3017" t="s">
        <v>1373</v>
      </c>
    </row>
    <row r="737" spans="1:7" ht="14.25" thickBot="1">
      <c r="A737" s="3016">
        <v>736</v>
      </c>
      <c r="B737" s="3008" t="s">
        <v>3235</v>
      </c>
      <c r="C737" s="3020" t="s">
        <v>3152</v>
      </c>
      <c r="D737" s="3008" t="s">
        <v>70</v>
      </c>
      <c r="E737" s="3020" t="s">
        <v>3138</v>
      </c>
      <c r="F737" s="3008">
        <v>88</v>
      </c>
      <c r="G737" s="3017" t="s">
        <v>1373</v>
      </c>
    </row>
    <row r="738" spans="1:7" ht="14.25" thickBot="1">
      <c r="A738" s="3016">
        <v>737</v>
      </c>
      <c r="B738" s="3008" t="s">
        <v>3235</v>
      </c>
      <c r="C738" s="3020" t="s">
        <v>3152</v>
      </c>
      <c r="D738" s="3008" t="s">
        <v>70</v>
      </c>
      <c r="E738" s="3020" t="s">
        <v>3139</v>
      </c>
      <c r="F738" s="3008">
        <v>69.06</v>
      </c>
      <c r="G738" s="3017" t="s">
        <v>1373</v>
      </c>
    </row>
    <row r="739" spans="1:7" ht="14.25" thickBot="1">
      <c r="A739" s="3016">
        <v>738</v>
      </c>
      <c r="B739" s="3008" t="s">
        <v>3235</v>
      </c>
      <c r="C739" s="3020" t="s">
        <v>3152</v>
      </c>
      <c r="D739" s="3008" t="s">
        <v>70</v>
      </c>
      <c r="E739" s="3020" t="s">
        <v>3140</v>
      </c>
      <c r="F739" s="3008">
        <v>95.39</v>
      </c>
      <c r="G739" s="3017" t="s">
        <v>1373</v>
      </c>
    </row>
    <row r="740" spans="1:7" ht="14.25" thickBot="1">
      <c r="A740" s="3016">
        <v>739</v>
      </c>
      <c r="B740" s="3008" t="s">
        <v>3235</v>
      </c>
      <c r="C740" s="3020" t="s">
        <v>3152</v>
      </c>
      <c r="D740" s="3008" t="s">
        <v>70</v>
      </c>
      <c r="E740" s="3020" t="s">
        <v>3141</v>
      </c>
      <c r="F740" s="3008">
        <v>85.24</v>
      </c>
      <c r="G740" s="3017" t="s">
        <v>1373</v>
      </c>
    </row>
    <row r="741" spans="1:7" ht="14.25" thickBot="1">
      <c r="A741" s="3016">
        <v>740</v>
      </c>
      <c r="B741" s="3008" t="s">
        <v>3236</v>
      </c>
      <c r="C741" s="3020" t="s">
        <v>3152</v>
      </c>
      <c r="D741" s="3008" t="s">
        <v>70</v>
      </c>
      <c r="E741" s="3020" t="s">
        <v>3132</v>
      </c>
      <c r="F741" s="3008">
        <v>144.96</v>
      </c>
      <c r="G741" s="3017" t="s">
        <v>1373</v>
      </c>
    </row>
    <row r="742" spans="1:7" ht="14.25" thickBot="1">
      <c r="A742" s="3016">
        <v>741</v>
      </c>
      <c r="B742" s="3008" t="s">
        <v>3236</v>
      </c>
      <c r="C742" s="3020" t="s">
        <v>3152</v>
      </c>
      <c r="D742" s="3008" t="s">
        <v>70</v>
      </c>
      <c r="E742" s="3020" t="s">
        <v>3134</v>
      </c>
      <c r="F742" s="3008">
        <v>98.15</v>
      </c>
      <c r="G742" s="3017" t="s">
        <v>1373</v>
      </c>
    </row>
    <row r="743" spans="1:7" ht="14.25" thickBot="1">
      <c r="A743" s="3016">
        <v>742</v>
      </c>
      <c r="B743" s="3008" t="s">
        <v>3236</v>
      </c>
      <c r="C743" s="3020" t="s">
        <v>3152</v>
      </c>
      <c r="D743" s="3008" t="s">
        <v>70</v>
      </c>
      <c r="E743" s="3020" t="s">
        <v>3135</v>
      </c>
      <c r="F743" s="3008">
        <v>60.77</v>
      </c>
      <c r="G743" s="3017" t="s">
        <v>1373</v>
      </c>
    </row>
    <row r="744" spans="1:7" ht="14.25" thickBot="1">
      <c r="A744" s="3016">
        <v>743</v>
      </c>
      <c r="B744" s="3008" t="s">
        <v>3236</v>
      </c>
      <c r="C744" s="3020" t="s">
        <v>3152</v>
      </c>
      <c r="D744" s="3008" t="s">
        <v>70</v>
      </c>
      <c r="E744" s="3020" t="s">
        <v>3136</v>
      </c>
      <c r="F744" s="3008">
        <v>73.78</v>
      </c>
      <c r="G744" s="3017" t="s">
        <v>1373</v>
      </c>
    </row>
    <row r="745" spans="1:7" ht="14.25" thickBot="1">
      <c r="A745" s="3016">
        <v>744</v>
      </c>
      <c r="B745" s="3008" t="s">
        <v>3236</v>
      </c>
      <c r="C745" s="3020" t="s">
        <v>3159</v>
      </c>
      <c r="D745" s="3008" t="s">
        <v>70</v>
      </c>
      <c r="E745" s="3020" t="s">
        <v>3160</v>
      </c>
      <c r="F745" s="3008">
        <v>119.89</v>
      </c>
      <c r="G745" s="3017" t="s">
        <v>1373</v>
      </c>
    </row>
    <row r="746" spans="1:7" ht="14.25" thickBot="1">
      <c r="A746" s="3016">
        <v>745</v>
      </c>
      <c r="B746" s="3008" t="s">
        <v>3236</v>
      </c>
      <c r="C746" s="3020" t="s">
        <v>3159</v>
      </c>
      <c r="D746" s="3008" t="s">
        <v>70</v>
      </c>
      <c r="E746" s="3020" t="s">
        <v>3161</v>
      </c>
      <c r="F746" s="3008">
        <v>114.44</v>
      </c>
      <c r="G746" s="3017" t="s">
        <v>1373</v>
      </c>
    </row>
    <row r="747" spans="1:7" ht="14.25" thickBot="1">
      <c r="A747" s="3016">
        <v>746</v>
      </c>
      <c r="B747" s="3008" t="s">
        <v>3236</v>
      </c>
      <c r="C747" s="3020" t="s">
        <v>3159</v>
      </c>
      <c r="D747" s="3008" t="s">
        <v>70</v>
      </c>
      <c r="E747" s="3020" t="s">
        <v>3203</v>
      </c>
      <c r="F747" s="3008">
        <v>126.41</v>
      </c>
      <c r="G747" s="3017" t="s">
        <v>1373</v>
      </c>
    </row>
    <row r="748" spans="1:7" ht="14.25" thickBot="1">
      <c r="A748" s="3016">
        <v>747</v>
      </c>
      <c r="B748" s="3008" t="s">
        <v>3237</v>
      </c>
      <c r="C748" s="3020" t="s">
        <v>3152</v>
      </c>
      <c r="D748" s="3008" t="s">
        <v>70</v>
      </c>
      <c r="E748" s="3020" t="s">
        <v>3132</v>
      </c>
      <c r="F748" s="3008">
        <v>108.94</v>
      </c>
      <c r="G748" s="3017" t="s">
        <v>1373</v>
      </c>
    </row>
    <row r="749" spans="1:7" ht="14.25" thickBot="1">
      <c r="A749" s="3016">
        <v>748</v>
      </c>
      <c r="B749" s="3008" t="s">
        <v>3237</v>
      </c>
      <c r="C749" s="3020" t="s">
        <v>3152</v>
      </c>
      <c r="D749" s="3008" t="s">
        <v>70</v>
      </c>
      <c r="E749" s="3020" t="s">
        <v>3134</v>
      </c>
      <c r="F749" s="3008">
        <v>58.89</v>
      </c>
      <c r="G749" s="3017" t="s">
        <v>1373</v>
      </c>
    </row>
    <row r="750" spans="1:7" ht="14.25" thickBot="1">
      <c r="A750" s="3016">
        <v>749</v>
      </c>
      <c r="B750" s="3008" t="s">
        <v>3237</v>
      </c>
      <c r="C750" s="3020" t="s">
        <v>3152</v>
      </c>
      <c r="D750" s="3008" t="s">
        <v>70</v>
      </c>
      <c r="E750" s="3020" t="s">
        <v>3135</v>
      </c>
      <c r="F750" s="3008">
        <v>86.12</v>
      </c>
      <c r="G750" s="3017" t="s">
        <v>1373</v>
      </c>
    </row>
    <row r="751" spans="1:7" ht="14.25" thickBot="1">
      <c r="A751" s="3016">
        <v>750</v>
      </c>
      <c r="B751" s="3008" t="s">
        <v>3237</v>
      </c>
      <c r="C751" s="3008" t="s">
        <v>3159</v>
      </c>
      <c r="D751" s="3008" t="s">
        <v>70</v>
      </c>
      <c r="E751" s="3020" t="s">
        <v>3161</v>
      </c>
      <c r="F751" s="3008">
        <v>124.46</v>
      </c>
      <c r="G751" s="3017" t="s">
        <v>1373</v>
      </c>
    </row>
    <row r="752" spans="1:7" ht="14.25" thickBot="1">
      <c r="A752" s="3022" t="s">
        <v>37</v>
      </c>
      <c r="B752" s="3017"/>
      <c r="C752" s="3017"/>
      <c r="D752" s="3017"/>
      <c r="E752" s="3017"/>
      <c r="F752" s="3008">
        <f>SUM(F2:F751)</f>
        <v>59043.259999999827</v>
      </c>
      <c r="G752" s="3017"/>
    </row>
    <row r="755" spans="5:6">
      <c r="E755" s="3024" t="s">
        <v>3329</v>
      </c>
      <c r="F755" s="3024">
        <f>SUM(F2:F688)</f>
        <v>51479.259999999806</v>
      </c>
    </row>
    <row r="756" spans="5:6">
      <c r="E756" s="3024" t="s">
        <v>3330</v>
      </c>
      <c r="F756" s="3024">
        <f>SUM(F713:F751)+SUM(F689:F710)</f>
        <v>5353.1299999999992</v>
      </c>
    </row>
    <row r="757" spans="5:6">
      <c r="E757" s="3024" t="s">
        <v>3331</v>
      </c>
      <c r="F757" s="3024">
        <f>F711+F712</f>
        <v>2210.87</v>
      </c>
    </row>
    <row r="758" spans="5:6">
      <c r="E758" s="3024" t="s">
        <v>3328</v>
      </c>
      <c r="F758" s="3024">
        <f>SUM(F755:F757)</f>
        <v>59043.259999999806</v>
      </c>
    </row>
  </sheetData>
  <phoneticPr fontId="143" type="noConversion"/>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topLeftCell="A135" workbookViewId="0">
      <selection activeCell="B2" sqref="B2:G173"/>
    </sheetView>
  </sheetViews>
  <sheetFormatPr defaultRowHeight="13.5"/>
  <cols>
    <col min="1" max="4" width="9" style="3025"/>
    <col min="5" max="5" width="11.625" style="3025" bestFit="1" customWidth="1"/>
    <col min="6" max="7" width="9" style="3025"/>
    <col min="8" max="16384" width="9" style="1630"/>
  </cols>
  <sheetData>
    <row r="1" spans="1:7">
      <c r="A1" s="3025" t="s">
        <v>3334</v>
      </c>
      <c r="B1" s="3025" t="s">
        <v>3335</v>
      </c>
      <c r="C1" s="3025" t="s">
        <v>3336</v>
      </c>
      <c r="D1" s="3025" t="s">
        <v>3337</v>
      </c>
      <c r="E1" s="3025" t="s">
        <v>3338</v>
      </c>
      <c r="F1" s="3025" t="s">
        <v>3339</v>
      </c>
      <c r="G1" s="3025" t="s">
        <v>3340</v>
      </c>
    </row>
    <row r="2" spans="1:7">
      <c r="A2" s="3025">
        <v>1</v>
      </c>
      <c r="B2" s="3025">
        <v>3</v>
      </c>
      <c r="C2" s="3025">
        <v>6</v>
      </c>
      <c r="D2" s="3025" t="s">
        <v>3341</v>
      </c>
      <c r="E2" s="3026" t="s">
        <v>3342</v>
      </c>
      <c r="F2" s="3025">
        <v>64.430000000000007</v>
      </c>
      <c r="G2" s="3025" t="s">
        <v>3343</v>
      </c>
    </row>
    <row r="3" spans="1:7" ht="12.75" customHeight="1">
      <c r="A3" s="3025">
        <v>2</v>
      </c>
      <c r="B3" s="3025">
        <v>3</v>
      </c>
      <c r="C3" s="3025">
        <v>5</v>
      </c>
      <c r="D3" s="3025" t="s">
        <v>3341</v>
      </c>
      <c r="E3" s="3026" t="s">
        <v>3344</v>
      </c>
      <c r="F3" s="3025">
        <v>69.5</v>
      </c>
      <c r="G3" s="3025" t="s">
        <v>3343</v>
      </c>
    </row>
    <row r="4" spans="1:7">
      <c r="A4" s="3025">
        <v>3</v>
      </c>
      <c r="B4" s="3025">
        <v>3</v>
      </c>
      <c r="C4" s="3025">
        <v>4</v>
      </c>
      <c r="D4" s="3025" t="s">
        <v>3341</v>
      </c>
      <c r="E4" s="3026" t="s">
        <v>3345</v>
      </c>
      <c r="F4" s="3025">
        <v>64.430000000000007</v>
      </c>
      <c r="G4" s="3025" t="s">
        <v>3343</v>
      </c>
    </row>
    <row r="5" spans="1:7">
      <c r="A5" s="3025">
        <v>4</v>
      </c>
      <c r="B5" s="3025">
        <v>5</v>
      </c>
      <c r="C5" s="3025">
        <v>6</v>
      </c>
      <c r="D5" s="3025" t="s">
        <v>3341</v>
      </c>
      <c r="E5" s="3026" t="s">
        <v>3346</v>
      </c>
      <c r="F5" s="3025">
        <v>69.959999999999994</v>
      </c>
      <c r="G5" s="3025" t="s">
        <v>3343</v>
      </c>
    </row>
    <row r="6" spans="1:7">
      <c r="A6" s="3025">
        <v>5</v>
      </c>
      <c r="B6" s="3025">
        <v>5</v>
      </c>
      <c r="C6" s="3025">
        <v>5</v>
      </c>
      <c r="D6" s="3025" t="s">
        <v>3341</v>
      </c>
      <c r="E6" s="3026" t="s">
        <v>3347</v>
      </c>
      <c r="F6" s="3025">
        <v>66.209999999999994</v>
      </c>
      <c r="G6" s="3025" t="s">
        <v>3343</v>
      </c>
    </row>
    <row r="7" spans="1:7">
      <c r="A7" s="3025">
        <v>6</v>
      </c>
      <c r="B7" s="3025">
        <v>5</v>
      </c>
      <c r="C7" s="3025">
        <v>5</v>
      </c>
      <c r="D7" s="3025" t="s">
        <v>3341</v>
      </c>
      <c r="E7" s="3026" t="s">
        <v>3348</v>
      </c>
      <c r="F7" s="3025">
        <v>71.37</v>
      </c>
      <c r="G7" s="3025" t="s">
        <v>3343</v>
      </c>
    </row>
    <row r="8" spans="1:7">
      <c r="A8" s="3025">
        <v>7</v>
      </c>
      <c r="B8" s="3025">
        <v>5</v>
      </c>
      <c r="C8" s="3025">
        <v>5</v>
      </c>
      <c r="D8" s="3025" t="s">
        <v>3341</v>
      </c>
      <c r="E8" s="3026" t="s">
        <v>3349</v>
      </c>
      <c r="F8" s="3025">
        <v>71.37</v>
      </c>
      <c r="G8" s="3025" t="s">
        <v>3343</v>
      </c>
    </row>
    <row r="9" spans="1:7">
      <c r="A9" s="3025">
        <v>8</v>
      </c>
      <c r="B9" s="3025">
        <v>5</v>
      </c>
      <c r="C9" s="3025">
        <v>5</v>
      </c>
      <c r="D9" s="3025" t="s">
        <v>3341</v>
      </c>
      <c r="E9" s="3026" t="s">
        <v>3350</v>
      </c>
      <c r="F9" s="3025">
        <v>71.37</v>
      </c>
      <c r="G9" s="3025" t="s">
        <v>3343</v>
      </c>
    </row>
    <row r="10" spans="1:7">
      <c r="A10" s="3025">
        <v>9</v>
      </c>
      <c r="B10" s="3025">
        <v>5</v>
      </c>
      <c r="C10" s="3025">
        <v>4</v>
      </c>
      <c r="D10" s="3025" t="s">
        <v>3341</v>
      </c>
      <c r="E10" s="3026" t="s">
        <v>3351</v>
      </c>
      <c r="F10" s="3025">
        <v>66.209999999999994</v>
      </c>
      <c r="G10" s="3025" t="s">
        <v>3343</v>
      </c>
    </row>
    <row r="11" spans="1:7">
      <c r="A11" s="3025">
        <v>10</v>
      </c>
      <c r="B11" s="3025">
        <v>5</v>
      </c>
      <c r="C11" s="3025">
        <v>4</v>
      </c>
      <c r="D11" s="3025" t="s">
        <v>3341</v>
      </c>
      <c r="E11" s="3026" t="s">
        <v>3352</v>
      </c>
      <c r="F11" s="3025">
        <v>69.959999999999994</v>
      </c>
      <c r="G11" s="3025" t="s">
        <v>3343</v>
      </c>
    </row>
    <row r="12" spans="1:7">
      <c r="A12" s="3025">
        <v>11</v>
      </c>
      <c r="B12" s="3025">
        <v>5</v>
      </c>
      <c r="C12" s="3025">
        <v>4</v>
      </c>
      <c r="D12" s="3025" t="s">
        <v>3341</v>
      </c>
      <c r="E12" s="3026" t="s">
        <v>3353</v>
      </c>
      <c r="F12" s="3025">
        <v>71.37</v>
      </c>
      <c r="G12" s="3025" t="s">
        <v>3343</v>
      </c>
    </row>
    <row r="13" spans="1:7">
      <c r="A13" s="3025">
        <v>12</v>
      </c>
      <c r="B13" s="3025">
        <v>5</v>
      </c>
      <c r="C13" s="3025">
        <v>4</v>
      </c>
      <c r="D13" s="3025" t="s">
        <v>3341</v>
      </c>
      <c r="E13" s="3026" t="s">
        <v>3354</v>
      </c>
      <c r="F13" s="3025">
        <v>71.37</v>
      </c>
      <c r="G13" s="3025" t="s">
        <v>3343</v>
      </c>
    </row>
    <row r="14" spans="1:7">
      <c r="A14" s="3025">
        <v>13</v>
      </c>
      <c r="B14" s="3025">
        <v>5</v>
      </c>
      <c r="C14" s="3025">
        <v>4</v>
      </c>
      <c r="D14" s="3025" t="s">
        <v>3341</v>
      </c>
      <c r="E14" s="3026" t="s">
        <v>3355</v>
      </c>
      <c r="F14" s="3025">
        <v>71.37</v>
      </c>
      <c r="G14" s="3025" t="s">
        <v>3343</v>
      </c>
    </row>
    <row r="15" spans="1:7">
      <c r="A15" s="3025">
        <v>14</v>
      </c>
      <c r="B15" s="3025">
        <v>5</v>
      </c>
      <c r="C15" s="3025">
        <v>4</v>
      </c>
      <c r="D15" s="3025" t="s">
        <v>3341</v>
      </c>
      <c r="E15" s="3026" t="s">
        <v>3356</v>
      </c>
      <c r="F15" s="3025">
        <v>71.33</v>
      </c>
      <c r="G15" s="3025" t="s">
        <v>3343</v>
      </c>
    </row>
    <row r="16" spans="1:7">
      <c r="A16" s="3025">
        <v>15</v>
      </c>
      <c r="B16" s="3025">
        <v>5</v>
      </c>
      <c r="C16" s="3025">
        <v>3</v>
      </c>
      <c r="D16" s="3025" t="s">
        <v>3341</v>
      </c>
      <c r="E16" s="3026" t="s">
        <v>3357</v>
      </c>
      <c r="F16" s="3025">
        <v>69.959999999999994</v>
      </c>
      <c r="G16" s="3025" t="s">
        <v>3343</v>
      </c>
    </row>
    <row r="17" spans="1:7">
      <c r="A17" s="3025">
        <v>16</v>
      </c>
      <c r="B17" s="3025">
        <v>5</v>
      </c>
      <c r="C17" s="3025">
        <v>3</v>
      </c>
      <c r="D17" s="3025" t="s">
        <v>3341</v>
      </c>
      <c r="E17" s="3026" t="s">
        <v>3358</v>
      </c>
      <c r="F17" s="3025">
        <v>71.37</v>
      </c>
      <c r="G17" s="3025" t="s">
        <v>3343</v>
      </c>
    </row>
    <row r="18" spans="1:7">
      <c r="A18" s="3025">
        <v>17</v>
      </c>
      <c r="B18" s="3025">
        <v>5</v>
      </c>
      <c r="C18" s="3025">
        <v>3</v>
      </c>
      <c r="D18" s="3025" t="s">
        <v>3341</v>
      </c>
      <c r="E18" s="3026" t="s">
        <v>3359</v>
      </c>
      <c r="F18" s="3025">
        <v>71.37</v>
      </c>
      <c r="G18" s="3025" t="s">
        <v>3343</v>
      </c>
    </row>
    <row r="19" spans="1:7">
      <c r="A19" s="3025">
        <v>18</v>
      </c>
      <c r="B19" s="3025">
        <v>5</v>
      </c>
      <c r="C19" s="3025">
        <v>3</v>
      </c>
      <c r="D19" s="3025" t="s">
        <v>3341</v>
      </c>
      <c r="E19" s="3026" t="s">
        <v>3360</v>
      </c>
      <c r="F19" s="3025">
        <v>71.37</v>
      </c>
      <c r="G19" s="3025" t="s">
        <v>3343</v>
      </c>
    </row>
    <row r="20" spans="1:7">
      <c r="A20" s="3025">
        <v>19</v>
      </c>
      <c r="B20" s="3025">
        <v>5</v>
      </c>
      <c r="C20" s="3025">
        <v>3</v>
      </c>
      <c r="D20" s="3025" t="s">
        <v>3341</v>
      </c>
      <c r="E20" s="3026" t="s">
        <v>3361</v>
      </c>
      <c r="F20" s="3025">
        <v>71.33</v>
      </c>
      <c r="G20" s="3025" t="s">
        <v>3343</v>
      </c>
    </row>
    <row r="21" spans="1:7">
      <c r="A21" s="3025">
        <v>20</v>
      </c>
      <c r="B21" s="3025">
        <v>7</v>
      </c>
      <c r="C21" s="3025">
        <v>6</v>
      </c>
      <c r="D21" s="3025" t="s">
        <v>3341</v>
      </c>
      <c r="E21" s="3026" t="s">
        <v>3362</v>
      </c>
      <c r="F21" s="3025">
        <v>70.86</v>
      </c>
      <c r="G21" s="3025" t="s">
        <v>3343</v>
      </c>
    </row>
    <row r="22" spans="1:7">
      <c r="A22" s="3025">
        <v>21</v>
      </c>
      <c r="B22" s="3025">
        <v>7</v>
      </c>
      <c r="C22" s="3025">
        <v>6</v>
      </c>
      <c r="D22" s="3025" t="s">
        <v>3341</v>
      </c>
      <c r="E22" s="3026" t="s">
        <v>3363</v>
      </c>
      <c r="F22" s="3025">
        <v>69.27</v>
      </c>
      <c r="G22" s="3025" t="s">
        <v>3343</v>
      </c>
    </row>
    <row r="23" spans="1:7">
      <c r="A23" s="3025">
        <v>22</v>
      </c>
      <c r="B23" s="3025">
        <v>7</v>
      </c>
      <c r="C23" s="3025">
        <v>5</v>
      </c>
      <c r="D23" s="3025" t="s">
        <v>3341</v>
      </c>
      <c r="E23" s="3026" t="s">
        <v>3364</v>
      </c>
      <c r="F23" s="3025">
        <v>69.27</v>
      </c>
      <c r="G23" s="3025" t="s">
        <v>3343</v>
      </c>
    </row>
    <row r="24" spans="1:7">
      <c r="A24" s="3025">
        <v>23</v>
      </c>
      <c r="B24" s="3025">
        <v>7</v>
      </c>
      <c r="C24" s="3025">
        <v>4</v>
      </c>
      <c r="D24" s="3025" t="s">
        <v>3341</v>
      </c>
      <c r="E24" s="3026" t="s">
        <v>3365</v>
      </c>
      <c r="F24" s="3025">
        <v>69.459999999999994</v>
      </c>
      <c r="G24" s="3025" t="s">
        <v>3343</v>
      </c>
    </row>
    <row r="25" spans="1:7">
      <c r="A25" s="3025">
        <v>24</v>
      </c>
      <c r="B25" s="3025">
        <v>7</v>
      </c>
      <c r="C25" s="3025">
        <v>3</v>
      </c>
      <c r="D25" s="3025" t="s">
        <v>3341</v>
      </c>
      <c r="E25" s="3026" t="s">
        <v>3366</v>
      </c>
      <c r="F25" s="3025">
        <v>70.86</v>
      </c>
      <c r="G25" s="3025" t="s">
        <v>3343</v>
      </c>
    </row>
    <row r="26" spans="1:7">
      <c r="A26" s="3025">
        <v>25</v>
      </c>
      <c r="B26" s="3025">
        <v>7</v>
      </c>
      <c r="C26" s="3025">
        <v>2</v>
      </c>
      <c r="D26" s="3025" t="s">
        <v>3341</v>
      </c>
      <c r="E26" s="3026" t="s">
        <v>3367</v>
      </c>
      <c r="F26" s="3025">
        <v>70.86</v>
      </c>
      <c r="G26" s="3025" t="s">
        <v>3343</v>
      </c>
    </row>
    <row r="27" spans="1:7">
      <c r="A27" s="3025">
        <v>26</v>
      </c>
      <c r="B27" s="3025">
        <v>7</v>
      </c>
      <c r="C27" s="3025">
        <v>2</v>
      </c>
      <c r="D27" s="3025" t="s">
        <v>3341</v>
      </c>
      <c r="E27" s="3026" t="s">
        <v>3368</v>
      </c>
      <c r="F27" s="3025">
        <v>70.819999999999993</v>
      </c>
      <c r="G27" s="3025" t="s">
        <v>3343</v>
      </c>
    </row>
    <row r="28" spans="1:7">
      <c r="A28" s="3025">
        <v>27</v>
      </c>
      <c r="B28" s="3025">
        <v>9</v>
      </c>
      <c r="C28" s="3025">
        <v>6</v>
      </c>
      <c r="D28" s="3025">
        <v>2</v>
      </c>
      <c r="E28" s="3026" t="s">
        <v>3369</v>
      </c>
      <c r="F28" s="3025">
        <v>66.28</v>
      </c>
      <c r="G28" s="3025" t="s">
        <v>3343</v>
      </c>
    </row>
    <row r="29" spans="1:7">
      <c r="A29" s="3025">
        <v>28</v>
      </c>
      <c r="B29" s="3025">
        <v>9</v>
      </c>
      <c r="C29" s="3025">
        <v>5</v>
      </c>
      <c r="D29" s="3025">
        <v>2</v>
      </c>
      <c r="E29" s="3026" t="s">
        <v>3370</v>
      </c>
      <c r="F29" s="3025">
        <v>69.77</v>
      </c>
      <c r="G29" s="3025" t="s">
        <v>3343</v>
      </c>
    </row>
    <row r="30" spans="1:7">
      <c r="A30" s="3025">
        <v>29</v>
      </c>
      <c r="B30" s="3025">
        <v>9</v>
      </c>
      <c r="C30" s="3025">
        <v>5</v>
      </c>
      <c r="D30" s="3025">
        <v>2</v>
      </c>
      <c r="E30" s="3026" t="s">
        <v>3371</v>
      </c>
      <c r="F30" s="3025">
        <v>69.94</v>
      </c>
      <c r="G30" s="3025" t="s">
        <v>3343</v>
      </c>
    </row>
    <row r="31" spans="1:7">
      <c r="A31" s="3025">
        <v>30</v>
      </c>
      <c r="B31" s="3025">
        <v>9</v>
      </c>
      <c r="C31" s="3025">
        <v>5</v>
      </c>
      <c r="D31" s="3025">
        <v>2</v>
      </c>
      <c r="E31" s="3026" t="s">
        <v>3372</v>
      </c>
      <c r="F31" s="3025">
        <v>69.77</v>
      </c>
      <c r="G31" s="3025" t="s">
        <v>3343</v>
      </c>
    </row>
    <row r="32" spans="1:7">
      <c r="A32" s="3025">
        <v>31</v>
      </c>
      <c r="B32" s="3025">
        <v>9</v>
      </c>
      <c r="C32" s="3025">
        <v>5</v>
      </c>
      <c r="D32" s="3025">
        <v>2</v>
      </c>
      <c r="E32" s="3026" t="s">
        <v>3373</v>
      </c>
      <c r="F32" s="3025">
        <v>66.28</v>
      </c>
      <c r="G32" s="3025" t="s">
        <v>3343</v>
      </c>
    </row>
    <row r="33" spans="1:7">
      <c r="A33" s="3025">
        <v>32</v>
      </c>
      <c r="B33" s="3025">
        <v>9</v>
      </c>
      <c r="C33" s="3025">
        <v>2</v>
      </c>
      <c r="D33" s="3025">
        <v>2</v>
      </c>
      <c r="E33" s="3026" t="s">
        <v>3374</v>
      </c>
      <c r="F33" s="3025">
        <v>66.28</v>
      </c>
      <c r="G33" s="3025" t="s">
        <v>3343</v>
      </c>
    </row>
    <row r="34" spans="1:7">
      <c r="A34" s="3025">
        <v>33</v>
      </c>
      <c r="B34" s="3025">
        <v>9</v>
      </c>
      <c r="C34" s="3025">
        <v>6</v>
      </c>
      <c r="D34" s="3025">
        <v>1</v>
      </c>
      <c r="E34" s="3026" t="s">
        <v>3375</v>
      </c>
      <c r="F34" s="3025">
        <v>66.28</v>
      </c>
      <c r="G34" s="3025" t="s">
        <v>3343</v>
      </c>
    </row>
    <row r="35" spans="1:7">
      <c r="A35" s="3025">
        <v>34</v>
      </c>
      <c r="B35" s="3025">
        <v>9</v>
      </c>
      <c r="C35" s="3025">
        <v>6</v>
      </c>
      <c r="D35" s="3025">
        <v>1</v>
      </c>
      <c r="E35" s="3026" t="s">
        <v>3376</v>
      </c>
      <c r="F35" s="3025">
        <v>66.28</v>
      </c>
      <c r="G35" s="3025" t="s">
        <v>3343</v>
      </c>
    </row>
    <row r="36" spans="1:7">
      <c r="A36" s="3025">
        <v>35</v>
      </c>
      <c r="B36" s="3025">
        <v>9</v>
      </c>
      <c r="C36" s="3025">
        <v>5</v>
      </c>
      <c r="D36" s="3025">
        <v>1</v>
      </c>
      <c r="E36" s="3026" t="s">
        <v>3377</v>
      </c>
      <c r="F36" s="3025">
        <v>66.28</v>
      </c>
      <c r="G36" s="3025" t="s">
        <v>3343</v>
      </c>
    </row>
    <row r="37" spans="1:7">
      <c r="A37" s="3025">
        <v>36</v>
      </c>
      <c r="B37" s="3025">
        <v>9</v>
      </c>
      <c r="C37" s="3025">
        <v>4</v>
      </c>
      <c r="D37" s="3025">
        <v>1</v>
      </c>
      <c r="E37" s="3026" t="s">
        <v>3378</v>
      </c>
      <c r="F37" s="3025">
        <v>69.94</v>
      </c>
      <c r="G37" s="3025" t="s">
        <v>3343</v>
      </c>
    </row>
    <row r="38" spans="1:7">
      <c r="A38" s="3025">
        <v>37</v>
      </c>
      <c r="B38" s="3025">
        <v>9</v>
      </c>
      <c r="C38" s="3025">
        <v>4</v>
      </c>
      <c r="D38" s="3025">
        <v>1</v>
      </c>
      <c r="E38" s="3026" t="s">
        <v>3379</v>
      </c>
      <c r="F38" s="3025">
        <v>69.94</v>
      </c>
      <c r="G38" s="3025" t="s">
        <v>3343</v>
      </c>
    </row>
    <row r="39" spans="1:7">
      <c r="A39" s="3025">
        <v>38</v>
      </c>
      <c r="B39" s="3025">
        <v>9</v>
      </c>
      <c r="C39" s="3025">
        <v>4</v>
      </c>
      <c r="D39" s="3025">
        <v>1</v>
      </c>
      <c r="E39" s="3026" t="s">
        <v>3380</v>
      </c>
      <c r="F39" s="3025">
        <v>69.77</v>
      </c>
      <c r="G39" s="3025" t="s">
        <v>3343</v>
      </c>
    </row>
    <row r="40" spans="1:7">
      <c r="A40" s="3025">
        <v>39</v>
      </c>
      <c r="B40" s="3025">
        <v>9</v>
      </c>
      <c r="C40" s="3025">
        <v>3</v>
      </c>
      <c r="D40" s="3025">
        <v>1</v>
      </c>
      <c r="E40" s="3026" t="s">
        <v>3381</v>
      </c>
      <c r="F40" s="3025">
        <v>66.28</v>
      </c>
      <c r="G40" s="3025" t="s">
        <v>3343</v>
      </c>
    </row>
    <row r="41" spans="1:7">
      <c r="A41" s="3025">
        <v>40</v>
      </c>
      <c r="B41" s="3025">
        <v>9</v>
      </c>
      <c r="C41" s="3025">
        <v>3</v>
      </c>
      <c r="D41" s="3025">
        <v>1</v>
      </c>
      <c r="E41" s="3026" t="s">
        <v>3382</v>
      </c>
      <c r="F41" s="3025">
        <v>69.94</v>
      </c>
      <c r="G41" s="3025" t="s">
        <v>3343</v>
      </c>
    </row>
    <row r="42" spans="1:7">
      <c r="A42" s="3025">
        <v>41</v>
      </c>
      <c r="B42" s="3025">
        <v>9</v>
      </c>
      <c r="C42" s="3025">
        <v>3</v>
      </c>
      <c r="D42" s="3025">
        <v>1</v>
      </c>
      <c r="E42" s="3026" t="s">
        <v>3383</v>
      </c>
      <c r="F42" s="3025">
        <v>69.94</v>
      </c>
      <c r="G42" s="3025" t="s">
        <v>3343</v>
      </c>
    </row>
    <row r="43" spans="1:7">
      <c r="A43" s="3025">
        <v>42</v>
      </c>
      <c r="B43" s="3025">
        <v>9</v>
      </c>
      <c r="C43" s="3025">
        <v>3</v>
      </c>
      <c r="D43" s="3025">
        <v>1</v>
      </c>
      <c r="E43" s="3026" t="s">
        <v>3384</v>
      </c>
      <c r="F43" s="3025">
        <v>66.28</v>
      </c>
      <c r="G43" s="3025" t="s">
        <v>3343</v>
      </c>
    </row>
    <row r="44" spans="1:7">
      <c r="A44" s="3025">
        <v>43</v>
      </c>
      <c r="B44" s="3025">
        <v>9</v>
      </c>
      <c r="C44" s="3025">
        <v>2</v>
      </c>
      <c r="D44" s="3025">
        <v>1</v>
      </c>
      <c r="E44" s="3026" t="s">
        <v>3385</v>
      </c>
      <c r="F44" s="3025">
        <v>69.94</v>
      </c>
      <c r="G44" s="3025" t="s">
        <v>3343</v>
      </c>
    </row>
    <row r="45" spans="1:7">
      <c r="A45" s="3025">
        <v>44</v>
      </c>
      <c r="B45" s="3025">
        <v>9</v>
      </c>
      <c r="C45" s="3025">
        <v>2</v>
      </c>
      <c r="D45" s="3025">
        <v>1</v>
      </c>
      <c r="E45" s="3026" t="s">
        <v>3386</v>
      </c>
      <c r="F45" s="3025">
        <v>66.28</v>
      </c>
      <c r="G45" s="3025" t="s">
        <v>3343</v>
      </c>
    </row>
    <row r="46" spans="1:7">
      <c r="A46" s="3025">
        <v>45</v>
      </c>
      <c r="B46" s="3025">
        <v>10</v>
      </c>
      <c r="C46" s="3025">
        <v>4</v>
      </c>
      <c r="D46" s="3025">
        <v>1</v>
      </c>
      <c r="E46" s="3026" t="s">
        <v>3387</v>
      </c>
      <c r="F46" s="3025">
        <v>66.069999999999993</v>
      </c>
      <c r="G46" s="3023" t="s">
        <v>3343</v>
      </c>
    </row>
    <row r="47" spans="1:7">
      <c r="A47" s="3025">
        <v>46</v>
      </c>
      <c r="B47" s="3025">
        <v>11</v>
      </c>
      <c r="C47" s="3025">
        <v>6</v>
      </c>
      <c r="D47" s="3025">
        <v>2</v>
      </c>
      <c r="E47" s="3026" t="s">
        <v>3388</v>
      </c>
      <c r="F47" s="3025">
        <v>85.45</v>
      </c>
      <c r="G47" s="3023" t="s">
        <v>3343</v>
      </c>
    </row>
    <row r="48" spans="1:7">
      <c r="A48" s="3025">
        <v>47</v>
      </c>
      <c r="B48" s="3025">
        <v>11</v>
      </c>
      <c r="C48" s="3025">
        <v>5</v>
      </c>
      <c r="D48" s="3025">
        <v>2</v>
      </c>
      <c r="E48" s="3026" t="s">
        <v>3389</v>
      </c>
      <c r="F48" s="3025">
        <v>97.31</v>
      </c>
      <c r="G48" s="3023" t="s">
        <v>3343</v>
      </c>
    </row>
    <row r="49" spans="1:7">
      <c r="A49" s="3025">
        <v>48</v>
      </c>
      <c r="B49" s="3025">
        <v>11</v>
      </c>
      <c r="C49" s="3025">
        <v>4</v>
      </c>
      <c r="D49" s="3025">
        <v>2</v>
      </c>
      <c r="E49" s="3026" t="s">
        <v>3390</v>
      </c>
      <c r="F49" s="3025">
        <v>85.45</v>
      </c>
      <c r="G49" s="3023" t="s">
        <v>3343</v>
      </c>
    </row>
    <row r="50" spans="1:7">
      <c r="A50" s="3025">
        <v>49</v>
      </c>
      <c r="B50" s="3025">
        <v>11</v>
      </c>
      <c r="C50" s="3025">
        <v>4</v>
      </c>
      <c r="D50" s="3025">
        <v>2</v>
      </c>
      <c r="E50" s="3026" t="s">
        <v>3391</v>
      </c>
      <c r="F50" s="3025">
        <v>85.45</v>
      </c>
      <c r="G50" s="3023" t="s">
        <v>3343</v>
      </c>
    </row>
    <row r="51" spans="1:7">
      <c r="A51" s="3025">
        <v>50</v>
      </c>
      <c r="B51" s="3025">
        <v>11</v>
      </c>
      <c r="C51" s="3025">
        <v>3</v>
      </c>
      <c r="D51" s="3025">
        <v>2</v>
      </c>
      <c r="E51" s="3026" t="s">
        <v>3392</v>
      </c>
      <c r="F51" s="3025">
        <v>66.28</v>
      </c>
      <c r="G51" s="3023" t="s">
        <v>3343</v>
      </c>
    </row>
    <row r="52" spans="1:7">
      <c r="A52" s="3025">
        <v>51</v>
      </c>
      <c r="B52" s="3025">
        <v>11</v>
      </c>
      <c r="C52" s="3025">
        <v>3</v>
      </c>
      <c r="D52" s="3025">
        <v>2</v>
      </c>
      <c r="E52" s="3026" t="s">
        <v>3393</v>
      </c>
      <c r="F52" s="3025">
        <v>85.45</v>
      </c>
      <c r="G52" s="3023" t="s">
        <v>3343</v>
      </c>
    </row>
    <row r="53" spans="1:7">
      <c r="A53" s="3025">
        <v>52</v>
      </c>
      <c r="B53" s="3025">
        <v>11</v>
      </c>
      <c r="C53" s="3025">
        <v>3</v>
      </c>
      <c r="D53" s="3025">
        <v>2</v>
      </c>
      <c r="E53" s="3026" t="s">
        <v>3394</v>
      </c>
      <c r="F53" s="3025">
        <v>85.45</v>
      </c>
      <c r="G53" s="3023" t="s">
        <v>3343</v>
      </c>
    </row>
    <row r="54" spans="1:7">
      <c r="A54" s="3025">
        <v>53</v>
      </c>
      <c r="B54" s="3025">
        <v>11</v>
      </c>
      <c r="C54" s="3025">
        <v>2</v>
      </c>
      <c r="D54" s="3025">
        <v>2</v>
      </c>
      <c r="E54" s="3026" t="s">
        <v>3395</v>
      </c>
      <c r="F54" s="3025">
        <v>85.45</v>
      </c>
      <c r="G54" s="3023" t="s">
        <v>3343</v>
      </c>
    </row>
    <row r="55" spans="1:7">
      <c r="A55" s="3025">
        <v>54</v>
      </c>
      <c r="B55" s="3025">
        <v>11</v>
      </c>
      <c r="C55" s="3025">
        <v>2</v>
      </c>
      <c r="D55" s="3025">
        <v>2</v>
      </c>
      <c r="E55" s="3026" t="s">
        <v>3396</v>
      </c>
      <c r="F55" s="3025">
        <v>85.45</v>
      </c>
      <c r="G55" s="3023" t="s">
        <v>3397</v>
      </c>
    </row>
    <row r="56" spans="1:7">
      <c r="A56" s="3025">
        <v>55</v>
      </c>
      <c r="B56" s="3025">
        <v>11</v>
      </c>
      <c r="C56" s="3025">
        <v>6</v>
      </c>
      <c r="D56" s="3025">
        <v>1</v>
      </c>
      <c r="E56" s="3026" t="s">
        <v>3398</v>
      </c>
      <c r="F56" s="3025">
        <v>67.23</v>
      </c>
      <c r="G56" s="3023" t="s">
        <v>3397</v>
      </c>
    </row>
    <row r="57" spans="1:7">
      <c r="A57" s="3025">
        <v>56</v>
      </c>
      <c r="B57" s="3025">
        <v>11</v>
      </c>
      <c r="C57" s="3025">
        <v>5</v>
      </c>
      <c r="D57" s="3025">
        <v>1</v>
      </c>
      <c r="E57" s="3026" t="s">
        <v>3399</v>
      </c>
      <c r="F57" s="3025">
        <v>67.23</v>
      </c>
      <c r="G57" s="3023" t="s">
        <v>3397</v>
      </c>
    </row>
    <row r="58" spans="1:7">
      <c r="A58" s="3025">
        <v>57</v>
      </c>
      <c r="B58" s="3025">
        <v>11</v>
      </c>
      <c r="C58" s="3025">
        <v>4</v>
      </c>
      <c r="D58" s="3025">
        <v>1</v>
      </c>
      <c r="E58" s="3026" t="s">
        <v>3400</v>
      </c>
      <c r="F58" s="3025">
        <v>72.48</v>
      </c>
      <c r="G58" s="3023" t="s">
        <v>3397</v>
      </c>
    </row>
    <row r="59" spans="1:7">
      <c r="A59" s="3025">
        <v>58</v>
      </c>
      <c r="B59" s="3025">
        <v>11</v>
      </c>
      <c r="C59" s="3025">
        <v>4</v>
      </c>
      <c r="D59" s="3025">
        <v>1</v>
      </c>
      <c r="E59" s="3026" t="s">
        <v>3401</v>
      </c>
      <c r="F59" s="3025">
        <v>86.67</v>
      </c>
      <c r="G59" s="3023" t="s">
        <v>3397</v>
      </c>
    </row>
    <row r="60" spans="1:7">
      <c r="A60" s="3025">
        <v>59</v>
      </c>
      <c r="B60" s="3025">
        <v>11</v>
      </c>
      <c r="C60" s="3025">
        <v>4</v>
      </c>
      <c r="D60" s="3025">
        <v>1</v>
      </c>
      <c r="E60" s="3026" t="s">
        <v>3402</v>
      </c>
      <c r="F60" s="3025">
        <v>86.67</v>
      </c>
      <c r="G60" s="3023" t="s">
        <v>3397</v>
      </c>
    </row>
    <row r="61" spans="1:7">
      <c r="A61" s="3025">
        <v>60</v>
      </c>
      <c r="B61" s="3025">
        <v>11</v>
      </c>
      <c r="C61" s="3025">
        <v>4</v>
      </c>
      <c r="D61" s="3025">
        <v>1</v>
      </c>
      <c r="E61" s="3026" t="s">
        <v>3403</v>
      </c>
      <c r="F61" s="3025">
        <v>67.23</v>
      </c>
      <c r="G61" s="3023" t="s">
        <v>3397</v>
      </c>
    </row>
    <row r="62" spans="1:7">
      <c r="A62" s="3025">
        <v>61</v>
      </c>
      <c r="B62" s="3025">
        <v>11</v>
      </c>
      <c r="C62" s="3025">
        <v>3</v>
      </c>
      <c r="D62" s="3025">
        <v>1</v>
      </c>
      <c r="E62" s="3026" t="s">
        <v>3404</v>
      </c>
      <c r="F62" s="3025">
        <v>67.23</v>
      </c>
      <c r="G62" s="3023" t="s">
        <v>3397</v>
      </c>
    </row>
    <row r="63" spans="1:7">
      <c r="A63" s="3025">
        <v>62</v>
      </c>
      <c r="B63" s="3025">
        <v>11</v>
      </c>
      <c r="C63" s="3025">
        <v>2</v>
      </c>
      <c r="D63" s="3025">
        <v>1</v>
      </c>
      <c r="E63" s="3026" t="s">
        <v>3405</v>
      </c>
      <c r="F63" s="3025">
        <v>72.48</v>
      </c>
      <c r="G63" s="3023" t="s">
        <v>3397</v>
      </c>
    </row>
    <row r="64" spans="1:7">
      <c r="A64" s="3025">
        <v>63</v>
      </c>
      <c r="B64" s="3025">
        <v>11</v>
      </c>
      <c r="C64" s="3025">
        <v>2</v>
      </c>
      <c r="D64" s="3025">
        <v>1</v>
      </c>
      <c r="E64" s="3026" t="s">
        <v>3406</v>
      </c>
      <c r="F64" s="3025">
        <v>67.23</v>
      </c>
      <c r="G64" s="3023" t="s">
        <v>3397</v>
      </c>
    </row>
    <row r="65" spans="1:7" s="3029" customFormat="1">
      <c r="A65" s="3027">
        <v>64</v>
      </c>
      <c r="B65" s="3027">
        <v>13</v>
      </c>
      <c r="C65" s="3027">
        <v>3</v>
      </c>
      <c r="D65" s="3027">
        <v>2</v>
      </c>
      <c r="E65" s="3027" t="s">
        <v>3407</v>
      </c>
      <c r="F65" s="3027">
        <v>68.990000000000009</v>
      </c>
      <c r="G65" s="3028" t="s">
        <v>3397</v>
      </c>
    </row>
    <row r="66" spans="1:7">
      <c r="A66" s="3025">
        <v>65</v>
      </c>
      <c r="B66" s="3025">
        <v>19</v>
      </c>
      <c r="C66" s="3025">
        <v>6</v>
      </c>
      <c r="D66" s="3025">
        <v>2</v>
      </c>
      <c r="E66" s="3026" t="s">
        <v>3408</v>
      </c>
      <c r="F66" s="3025">
        <v>66.069999999999993</v>
      </c>
      <c r="G66" s="3023" t="s">
        <v>3397</v>
      </c>
    </row>
    <row r="67" spans="1:7">
      <c r="A67" s="3025">
        <v>66</v>
      </c>
      <c r="B67" s="3025">
        <v>19</v>
      </c>
      <c r="C67" s="3025">
        <v>6</v>
      </c>
      <c r="D67" s="3025">
        <v>2</v>
      </c>
      <c r="E67" s="3026" t="s">
        <v>3409</v>
      </c>
      <c r="F67" s="3025">
        <v>69.75</v>
      </c>
      <c r="G67" s="3023" t="s">
        <v>3397</v>
      </c>
    </row>
    <row r="68" spans="1:7">
      <c r="A68" s="3025">
        <v>67</v>
      </c>
      <c r="B68" s="3025">
        <v>19</v>
      </c>
      <c r="C68" s="3025">
        <v>4</v>
      </c>
      <c r="D68" s="3025">
        <v>2</v>
      </c>
      <c r="E68" s="3026" t="s">
        <v>3410</v>
      </c>
      <c r="F68" s="3025">
        <v>66.069999999999993</v>
      </c>
      <c r="G68" s="3023" t="s">
        <v>3397</v>
      </c>
    </row>
    <row r="69" spans="1:7">
      <c r="A69" s="3025">
        <v>68</v>
      </c>
      <c r="B69" s="3025">
        <v>19</v>
      </c>
      <c r="C69" s="3025">
        <v>4</v>
      </c>
      <c r="D69" s="3025">
        <v>2</v>
      </c>
      <c r="E69" s="3026" t="s">
        <v>3411</v>
      </c>
      <c r="F69" s="3025">
        <v>94.74</v>
      </c>
      <c r="G69" s="3023" t="s">
        <v>3397</v>
      </c>
    </row>
    <row r="70" spans="1:7">
      <c r="A70" s="3025">
        <v>69</v>
      </c>
      <c r="B70" s="3025">
        <v>19</v>
      </c>
      <c r="C70" s="3025">
        <v>3</v>
      </c>
      <c r="D70" s="3025">
        <v>2</v>
      </c>
      <c r="E70" s="3026" t="s">
        <v>3412</v>
      </c>
      <c r="F70" s="3025">
        <v>69.56</v>
      </c>
      <c r="G70" s="3023" t="s">
        <v>3397</v>
      </c>
    </row>
    <row r="71" spans="1:7">
      <c r="A71" s="3025">
        <v>70</v>
      </c>
      <c r="B71" s="3025">
        <v>19</v>
      </c>
      <c r="C71" s="3025">
        <v>3</v>
      </c>
      <c r="D71" s="3025">
        <v>2</v>
      </c>
      <c r="E71" s="3026" t="s">
        <v>3413</v>
      </c>
      <c r="F71" s="3025">
        <v>69.75</v>
      </c>
      <c r="G71" s="3023" t="s">
        <v>3397</v>
      </c>
    </row>
    <row r="72" spans="1:7">
      <c r="A72" s="3025">
        <v>71</v>
      </c>
      <c r="B72" s="3025">
        <v>19</v>
      </c>
      <c r="C72" s="3025">
        <v>2</v>
      </c>
      <c r="D72" s="3025">
        <v>2</v>
      </c>
      <c r="E72" s="3026" t="s">
        <v>3414</v>
      </c>
      <c r="F72" s="3025">
        <v>69.75</v>
      </c>
      <c r="G72" s="3023" t="s">
        <v>3397</v>
      </c>
    </row>
    <row r="73" spans="1:7">
      <c r="A73" s="3025">
        <v>72</v>
      </c>
      <c r="B73" s="3025">
        <v>19</v>
      </c>
      <c r="C73" s="3025">
        <v>2</v>
      </c>
      <c r="D73" s="3025">
        <v>2</v>
      </c>
      <c r="E73" s="3026" t="s">
        <v>3415</v>
      </c>
      <c r="F73" s="3025">
        <v>69.56</v>
      </c>
      <c r="G73" s="3023" t="s">
        <v>3397</v>
      </c>
    </row>
    <row r="74" spans="1:7">
      <c r="A74" s="3025">
        <v>73</v>
      </c>
      <c r="B74" s="3025">
        <v>19</v>
      </c>
      <c r="C74" s="3025">
        <v>6</v>
      </c>
      <c r="D74" s="3025">
        <v>1</v>
      </c>
      <c r="E74" s="3026" t="s">
        <v>3416</v>
      </c>
      <c r="F74" s="3025">
        <v>69.75</v>
      </c>
      <c r="G74" s="3023" t="s">
        <v>3397</v>
      </c>
    </row>
    <row r="75" spans="1:7">
      <c r="A75" s="3025">
        <v>74</v>
      </c>
      <c r="B75" s="3025">
        <v>19</v>
      </c>
      <c r="C75" s="3025">
        <v>6</v>
      </c>
      <c r="D75" s="3025">
        <v>1</v>
      </c>
      <c r="E75" s="3026" t="s">
        <v>3417</v>
      </c>
      <c r="F75" s="3025">
        <v>69.56</v>
      </c>
      <c r="G75" s="3023" t="s">
        <v>3397</v>
      </c>
    </row>
    <row r="76" spans="1:7">
      <c r="A76" s="3025">
        <v>75</v>
      </c>
      <c r="B76" s="3025">
        <v>19</v>
      </c>
      <c r="C76" s="3025">
        <v>6</v>
      </c>
      <c r="D76" s="3025">
        <v>1</v>
      </c>
      <c r="E76" s="3026" t="s">
        <v>3418</v>
      </c>
      <c r="F76" s="3025">
        <v>66.069999999999993</v>
      </c>
      <c r="G76" s="3023" t="s">
        <v>3397</v>
      </c>
    </row>
    <row r="77" spans="1:7">
      <c r="A77" s="3025">
        <v>76</v>
      </c>
      <c r="B77" s="3025">
        <v>19</v>
      </c>
      <c r="C77" s="3025">
        <v>5</v>
      </c>
      <c r="D77" s="3025">
        <v>1</v>
      </c>
      <c r="E77" s="3026" t="s">
        <v>3419</v>
      </c>
      <c r="F77" s="3025">
        <v>66.069999999999993</v>
      </c>
      <c r="G77" s="3023" t="s">
        <v>3420</v>
      </c>
    </row>
    <row r="78" spans="1:7">
      <c r="A78" s="3025">
        <v>77</v>
      </c>
      <c r="B78" s="3025">
        <v>19</v>
      </c>
      <c r="C78" s="3025">
        <v>4</v>
      </c>
      <c r="D78" s="3025">
        <v>1</v>
      </c>
      <c r="E78" s="3026" t="s">
        <v>3421</v>
      </c>
      <c r="F78" s="3025">
        <v>69.56</v>
      </c>
      <c r="G78" s="3023" t="s">
        <v>3420</v>
      </c>
    </row>
    <row r="79" spans="1:7">
      <c r="A79" s="3025">
        <v>78</v>
      </c>
      <c r="B79" s="3025">
        <v>19</v>
      </c>
      <c r="C79" s="3025">
        <v>4</v>
      </c>
      <c r="D79" s="3025">
        <v>1</v>
      </c>
      <c r="E79" s="3026" t="s">
        <v>3422</v>
      </c>
      <c r="F79" s="3025">
        <v>69.56</v>
      </c>
      <c r="G79" s="3023" t="s">
        <v>3420</v>
      </c>
    </row>
    <row r="80" spans="1:7">
      <c r="A80" s="3025">
        <v>79</v>
      </c>
      <c r="B80" s="3025">
        <v>19</v>
      </c>
      <c r="C80" s="3025">
        <v>4</v>
      </c>
      <c r="D80" s="3025">
        <v>1</v>
      </c>
      <c r="E80" s="3026" t="s">
        <v>3423</v>
      </c>
      <c r="F80" s="3025">
        <v>66.069999999999993</v>
      </c>
      <c r="G80" s="3023" t="s">
        <v>3420</v>
      </c>
    </row>
    <row r="81" spans="1:7">
      <c r="A81" s="3025">
        <v>80</v>
      </c>
      <c r="B81" s="3025">
        <v>19</v>
      </c>
      <c r="C81" s="3025">
        <v>3</v>
      </c>
      <c r="D81" s="3025">
        <v>1</v>
      </c>
      <c r="E81" s="3026" t="s">
        <v>3424</v>
      </c>
      <c r="F81" s="3025">
        <v>66.069999999999993</v>
      </c>
      <c r="G81" s="3023" t="s">
        <v>3420</v>
      </c>
    </row>
    <row r="82" spans="1:7">
      <c r="A82" s="3025">
        <v>81</v>
      </c>
      <c r="B82" s="3025">
        <v>19</v>
      </c>
      <c r="C82" s="3025">
        <v>2</v>
      </c>
      <c r="D82" s="3025">
        <v>1</v>
      </c>
      <c r="E82" s="3026" t="s">
        <v>3425</v>
      </c>
      <c r="F82" s="3025">
        <v>69.56</v>
      </c>
      <c r="G82" s="3023" t="s">
        <v>3420</v>
      </c>
    </row>
    <row r="83" spans="1:7">
      <c r="A83" s="3025">
        <v>82</v>
      </c>
      <c r="B83" s="3025">
        <v>19</v>
      </c>
      <c r="C83" s="3025">
        <v>2</v>
      </c>
      <c r="D83" s="3025">
        <v>1</v>
      </c>
      <c r="E83" s="3026" t="s">
        <v>3426</v>
      </c>
      <c r="F83" s="3025">
        <v>69.56</v>
      </c>
      <c r="G83" s="3023" t="s">
        <v>3420</v>
      </c>
    </row>
    <row r="84" spans="1:7">
      <c r="A84" s="3025">
        <v>83</v>
      </c>
      <c r="B84" s="3025">
        <v>20</v>
      </c>
      <c r="C84" s="3025">
        <v>6</v>
      </c>
      <c r="D84" s="3025">
        <v>2</v>
      </c>
      <c r="E84" s="3026" t="s">
        <v>3427</v>
      </c>
      <c r="F84" s="3025">
        <v>65.510000000000005</v>
      </c>
      <c r="G84" s="3023" t="s">
        <v>3420</v>
      </c>
    </row>
    <row r="85" spans="1:7">
      <c r="A85" s="3025">
        <v>84</v>
      </c>
      <c r="B85" s="3025">
        <v>20</v>
      </c>
      <c r="C85" s="3025">
        <v>6</v>
      </c>
      <c r="D85" s="3025">
        <v>2</v>
      </c>
      <c r="E85" s="3026" t="s">
        <v>3428</v>
      </c>
      <c r="F85" s="3025">
        <v>93.91</v>
      </c>
      <c r="G85" s="3023" t="s">
        <v>3420</v>
      </c>
    </row>
    <row r="86" spans="1:7">
      <c r="A86" s="3025">
        <v>85</v>
      </c>
      <c r="B86" s="3025">
        <v>20</v>
      </c>
      <c r="C86" s="3025">
        <v>5</v>
      </c>
      <c r="D86" s="3025">
        <v>2</v>
      </c>
      <c r="E86" s="3026" t="s">
        <v>3429</v>
      </c>
      <c r="F86" s="3025">
        <v>69.290000000000006</v>
      </c>
      <c r="G86" s="3023" t="s">
        <v>3420</v>
      </c>
    </row>
    <row r="87" spans="1:7">
      <c r="A87" s="3025">
        <v>86</v>
      </c>
      <c r="B87" s="3025">
        <v>20</v>
      </c>
      <c r="C87" s="3025">
        <v>5</v>
      </c>
      <c r="D87" s="3025">
        <v>2</v>
      </c>
      <c r="E87" s="3026" t="s">
        <v>3430</v>
      </c>
      <c r="F87" s="3025">
        <v>69.290000000000006</v>
      </c>
      <c r="G87" s="3023" t="s">
        <v>3420</v>
      </c>
    </row>
    <row r="88" spans="1:7">
      <c r="A88" s="3025">
        <v>87</v>
      </c>
      <c r="B88" s="3025">
        <v>20</v>
      </c>
      <c r="C88" s="3025">
        <v>5</v>
      </c>
      <c r="D88" s="3025">
        <v>2</v>
      </c>
      <c r="E88" s="3026" t="s">
        <v>3431</v>
      </c>
      <c r="F88" s="3025">
        <v>68.94</v>
      </c>
      <c r="G88" s="3023" t="s">
        <v>3420</v>
      </c>
    </row>
    <row r="89" spans="1:7">
      <c r="A89" s="3025">
        <v>88</v>
      </c>
      <c r="B89" s="3025">
        <v>20</v>
      </c>
      <c r="C89" s="3025">
        <v>4</v>
      </c>
      <c r="D89" s="3025">
        <v>2</v>
      </c>
      <c r="E89" s="3026" t="s">
        <v>3432</v>
      </c>
      <c r="F89" s="3025">
        <v>68.94</v>
      </c>
      <c r="G89" s="3023" t="s">
        <v>3420</v>
      </c>
    </row>
    <row r="90" spans="1:7">
      <c r="A90" s="3025">
        <v>89</v>
      </c>
      <c r="B90" s="3025">
        <v>20</v>
      </c>
      <c r="C90" s="3025">
        <v>4</v>
      </c>
      <c r="D90" s="3025">
        <v>2</v>
      </c>
      <c r="E90" s="3026" t="s">
        <v>3433</v>
      </c>
      <c r="F90" s="3025">
        <v>69.290000000000006</v>
      </c>
      <c r="G90" s="3023" t="s">
        <v>3420</v>
      </c>
    </row>
    <row r="91" spans="1:7">
      <c r="A91" s="3025">
        <v>90</v>
      </c>
      <c r="B91" s="3025">
        <v>20</v>
      </c>
      <c r="C91" s="3025">
        <v>4</v>
      </c>
      <c r="D91" s="3025">
        <v>2</v>
      </c>
      <c r="E91" s="3026" t="s">
        <v>3434</v>
      </c>
      <c r="F91" s="3025">
        <v>68.94</v>
      </c>
      <c r="G91" s="3023" t="s">
        <v>3420</v>
      </c>
    </row>
    <row r="92" spans="1:7">
      <c r="A92" s="3025">
        <v>91</v>
      </c>
      <c r="B92" s="3025">
        <v>20</v>
      </c>
      <c r="C92" s="3025">
        <v>3</v>
      </c>
      <c r="D92" s="3025">
        <v>2</v>
      </c>
      <c r="E92" s="3026" t="s">
        <v>3435</v>
      </c>
      <c r="F92" s="3025">
        <v>69.290000000000006</v>
      </c>
      <c r="G92" s="3023" t="s">
        <v>3420</v>
      </c>
    </row>
    <row r="93" spans="1:7">
      <c r="A93" s="3025">
        <v>92</v>
      </c>
      <c r="B93" s="3025">
        <v>20</v>
      </c>
      <c r="C93" s="3025">
        <v>3</v>
      </c>
      <c r="D93" s="3025">
        <v>2</v>
      </c>
      <c r="E93" s="3026" t="s">
        <v>3436</v>
      </c>
      <c r="F93" s="3025">
        <v>69.290000000000006</v>
      </c>
      <c r="G93" s="3023" t="s">
        <v>3420</v>
      </c>
    </row>
    <row r="94" spans="1:7">
      <c r="A94" s="3025">
        <v>93</v>
      </c>
      <c r="B94" s="3025">
        <v>20</v>
      </c>
      <c r="C94" s="3025">
        <v>3</v>
      </c>
      <c r="D94" s="3025">
        <v>2</v>
      </c>
      <c r="E94" s="3026" t="s">
        <v>3437</v>
      </c>
      <c r="F94" s="3025">
        <v>68.94</v>
      </c>
      <c r="G94" s="3023" t="s">
        <v>3438</v>
      </c>
    </row>
    <row r="95" spans="1:7">
      <c r="A95" s="3025">
        <v>94</v>
      </c>
      <c r="B95" s="3025">
        <v>20</v>
      </c>
      <c r="C95" s="3025">
        <v>3</v>
      </c>
      <c r="D95" s="3025">
        <v>2</v>
      </c>
      <c r="E95" s="3026" t="s">
        <v>3439</v>
      </c>
      <c r="F95" s="3025">
        <v>93.91</v>
      </c>
      <c r="G95" s="3023" t="s">
        <v>3438</v>
      </c>
    </row>
    <row r="96" spans="1:7">
      <c r="A96" s="3025">
        <v>95</v>
      </c>
      <c r="B96" s="3025">
        <v>20</v>
      </c>
      <c r="C96" s="3025">
        <v>2</v>
      </c>
      <c r="D96" s="3025">
        <v>2</v>
      </c>
      <c r="E96" s="3026" t="s">
        <v>3440</v>
      </c>
      <c r="F96" s="3025">
        <v>68.94</v>
      </c>
      <c r="G96" s="3023" t="s">
        <v>3438</v>
      </c>
    </row>
    <row r="97" spans="1:7">
      <c r="A97" s="3025">
        <v>96</v>
      </c>
      <c r="B97" s="3025">
        <v>20</v>
      </c>
      <c r="C97" s="3025">
        <v>2</v>
      </c>
      <c r="D97" s="3025">
        <v>2</v>
      </c>
      <c r="E97" s="3026" t="s">
        <v>3441</v>
      </c>
      <c r="F97" s="3025">
        <v>69.290000000000006</v>
      </c>
      <c r="G97" s="3023" t="s">
        <v>3442</v>
      </c>
    </row>
    <row r="98" spans="1:7">
      <c r="A98" s="3025">
        <v>97</v>
      </c>
      <c r="B98" s="3025">
        <v>20</v>
      </c>
      <c r="C98" s="3025">
        <v>2</v>
      </c>
      <c r="D98" s="3025">
        <v>2</v>
      </c>
      <c r="E98" s="3026" t="s">
        <v>3443</v>
      </c>
      <c r="F98" s="3025">
        <v>69.290000000000006</v>
      </c>
      <c r="G98" s="3023" t="s">
        <v>3442</v>
      </c>
    </row>
    <row r="99" spans="1:7">
      <c r="A99" s="3025">
        <v>98</v>
      </c>
      <c r="B99" s="3025">
        <v>20</v>
      </c>
      <c r="C99" s="3025">
        <v>2</v>
      </c>
      <c r="D99" s="3025">
        <v>2</v>
      </c>
      <c r="E99" s="3026" t="s">
        <v>3444</v>
      </c>
      <c r="F99" s="3025">
        <v>68.94</v>
      </c>
      <c r="G99" s="3023" t="s">
        <v>3442</v>
      </c>
    </row>
    <row r="100" spans="1:7">
      <c r="A100" s="3025">
        <v>99</v>
      </c>
      <c r="B100" s="3025">
        <v>20</v>
      </c>
      <c r="C100" s="3025">
        <v>2</v>
      </c>
      <c r="D100" s="3025">
        <v>2</v>
      </c>
      <c r="E100" s="3026" t="s">
        <v>3445</v>
      </c>
      <c r="F100" s="3025">
        <v>93.91</v>
      </c>
      <c r="G100" s="3023" t="s">
        <v>3442</v>
      </c>
    </row>
    <row r="101" spans="1:7">
      <c r="A101" s="3025">
        <v>100</v>
      </c>
      <c r="B101" s="3025">
        <v>20</v>
      </c>
      <c r="C101" s="3025">
        <v>1</v>
      </c>
      <c r="D101" s="3025">
        <v>2</v>
      </c>
      <c r="E101" s="3026" t="s">
        <v>3446</v>
      </c>
      <c r="F101" s="3025">
        <v>68.94</v>
      </c>
      <c r="G101" s="3023" t="s">
        <v>3442</v>
      </c>
    </row>
    <row r="102" spans="1:7">
      <c r="A102" s="3025">
        <v>101</v>
      </c>
      <c r="B102" s="3025">
        <v>20</v>
      </c>
      <c r="C102" s="3025">
        <v>6</v>
      </c>
      <c r="D102" s="3025">
        <v>1</v>
      </c>
      <c r="E102" s="3026" t="s">
        <v>3447</v>
      </c>
      <c r="F102" s="3025">
        <v>93.91</v>
      </c>
      <c r="G102" s="3023" t="s">
        <v>3442</v>
      </c>
    </row>
    <row r="103" spans="1:7">
      <c r="A103" s="3025">
        <v>102</v>
      </c>
      <c r="B103" s="3025">
        <v>20</v>
      </c>
      <c r="C103" s="3025">
        <v>6</v>
      </c>
      <c r="D103" s="3025">
        <v>1</v>
      </c>
      <c r="E103" s="3026" t="s">
        <v>3448</v>
      </c>
      <c r="F103" s="3025">
        <v>68.94</v>
      </c>
      <c r="G103" s="3023" t="s">
        <v>3442</v>
      </c>
    </row>
    <row r="104" spans="1:7">
      <c r="A104" s="3025">
        <v>103</v>
      </c>
      <c r="B104" s="3025">
        <v>20</v>
      </c>
      <c r="C104" s="3025">
        <v>6</v>
      </c>
      <c r="D104" s="3025">
        <v>1</v>
      </c>
      <c r="E104" s="3026" t="s">
        <v>3449</v>
      </c>
      <c r="F104" s="3025">
        <v>65.510000000000005</v>
      </c>
      <c r="G104" s="3023" t="s">
        <v>3442</v>
      </c>
    </row>
    <row r="105" spans="1:7">
      <c r="A105" s="3025">
        <v>104</v>
      </c>
      <c r="B105" s="3025">
        <v>20</v>
      </c>
      <c r="C105" s="3025">
        <v>5</v>
      </c>
      <c r="D105" s="3025">
        <v>1</v>
      </c>
      <c r="E105" s="3026" t="s">
        <v>3450</v>
      </c>
      <c r="F105" s="3025">
        <v>68.94</v>
      </c>
      <c r="G105" s="3023" t="s">
        <v>3442</v>
      </c>
    </row>
    <row r="106" spans="1:7">
      <c r="A106" s="3025">
        <v>105</v>
      </c>
      <c r="B106" s="3025">
        <v>20</v>
      </c>
      <c r="C106" s="3025">
        <v>5</v>
      </c>
      <c r="D106" s="3025">
        <v>1</v>
      </c>
      <c r="E106" s="3026" t="s">
        <v>3451</v>
      </c>
      <c r="F106" s="3025">
        <v>69.290000000000006</v>
      </c>
      <c r="G106" s="3023" t="s">
        <v>3442</v>
      </c>
    </row>
    <row r="107" spans="1:7">
      <c r="A107" s="3025">
        <v>106</v>
      </c>
      <c r="B107" s="3025">
        <v>20</v>
      </c>
      <c r="C107" s="3025">
        <v>5</v>
      </c>
      <c r="D107" s="3025">
        <v>1</v>
      </c>
      <c r="E107" s="3026" t="s">
        <v>3452</v>
      </c>
      <c r="F107" s="3025">
        <v>69.290000000000006</v>
      </c>
      <c r="G107" s="3023" t="s">
        <v>3442</v>
      </c>
    </row>
    <row r="108" spans="1:7">
      <c r="A108" s="3025">
        <v>107</v>
      </c>
      <c r="B108" s="3025">
        <v>20</v>
      </c>
      <c r="C108" s="3025">
        <v>5</v>
      </c>
      <c r="D108" s="3025">
        <v>1</v>
      </c>
      <c r="E108" s="3026" t="s">
        <v>3453</v>
      </c>
      <c r="F108" s="3025">
        <v>68.94</v>
      </c>
      <c r="G108" s="3023" t="s">
        <v>3442</v>
      </c>
    </row>
    <row r="109" spans="1:7">
      <c r="A109" s="3025">
        <v>108</v>
      </c>
      <c r="B109" s="3025">
        <v>20</v>
      </c>
      <c r="C109" s="3025">
        <v>5</v>
      </c>
      <c r="D109" s="3025">
        <v>1</v>
      </c>
      <c r="E109" s="3026" t="s">
        <v>3454</v>
      </c>
      <c r="F109" s="3025">
        <v>65.510000000000005</v>
      </c>
      <c r="G109" s="3023" t="s">
        <v>3442</v>
      </c>
    </row>
    <row r="110" spans="1:7">
      <c r="A110" s="3025">
        <v>109</v>
      </c>
      <c r="B110" s="3025">
        <v>20</v>
      </c>
      <c r="C110" s="3025">
        <v>4</v>
      </c>
      <c r="D110" s="3025">
        <v>1</v>
      </c>
      <c r="E110" s="3026" t="s">
        <v>3455</v>
      </c>
      <c r="F110" s="3025">
        <v>69.290000000000006</v>
      </c>
      <c r="G110" s="3023" t="s">
        <v>3442</v>
      </c>
    </row>
    <row r="111" spans="1:7">
      <c r="A111" s="3025">
        <v>110</v>
      </c>
      <c r="B111" s="3025">
        <v>20</v>
      </c>
      <c r="C111" s="3025">
        <v>4</v>
      </c>
      <c r="D111" s="3025">
        <v>1</v>
      </c>
      <c r="E111" s="3026" t="s">
        <v>3456</v>
      </c>
      <c r="F111" s="3025">
        <v>69.290000000000006</v>
      </c>
      <c r="G111" s="3023" t="s">
        <v>3442</v>
      </c>
    </row>
    <row r="112" spans="1:7">
      <c r="A112" s="3025">
        <v>111</v>
      </c>
      <c r="B112" s="3025">
        <v>20</v>
      </c>
      <c r="C112" s="3025">
        <v>4</v>
      </c>
      <c r="D112" s="3025">
        <v>1</v>
      </c>
      <c r="E112" s="3026" t="s">
        <v>3457</v>
      </c>
      <c r="F112" s="3025">
        <v>68.94</v>
      </c>
      <c r="G112" s="3023" t="s">
        <v>3442</v>
      </c>
    </row>
    <row r="113" spans="1:7">
      <c r="A113" s="3025">
        <v>112</v>
      </c>
      <c r="B113" s="3025">
        <v>20</v>
      </c>
      <c r="C113" s="3025">
        <v>4</v>
      </c>
      <c r="D113" s="3025">
        <v>1</v>
      </c>
      <c r="E113" s="3026" t="s">
        <v>3458</v>
      </c>
      <c r="F113" s="3025">
        <v>65.510000000000005</v>
      </c>
      <c r="G113" s="3023" t="s">
        <v>3442</v>
      </c>
    </row>
    <row r="114" spans="1:7">
      <c r="A114" s="3025">
        <v>113</v>
      </c>
      <c r="B114" s="3025">
        <v>20</v>
      </c>
      <c r="C114" s="3025">
        <v>3</v>
      </c>
      <c r="D114" s="3025">
        <v>1</v>
      </c>
      <c r="E114" s="3026" t="s">
        <v>3459</v>
      </c>
      <c r="F114" s="3025">
        <v>93.91</v>
      </c>
      <c r="G114" s="3023" t="s">
        <v>3397</v>
      </c>
    </row>
    <row r="115" spans="1:7">
      <c r="A115" s="3025">
        <v>114</v>
      </c>
      <c r="B115" s="3025">
        <v>20</v>
      </c>
      <c r="C115" s="3025">
        <v>3</v>
      </c>
      <c r="D115" s="3025">
        <v>1</v>
      </c>
      <c r="E115" s="3026" t="s">
        <v>3460</v>
      </c>
      <c r="F115" s="3025">
        <v>68.94</v>
      </c>
      <c r="G115" s="3023" t="s">
        <v>3397</v>
      </c>
    </row>
    <row r="116" spans="1:7">
      <c r="A116" s="3025">
        <v>115</v>
      </c>
      <c r="B116" s="3025">
        <v>20</v>
      </c>
      <c r="C116" s="3025">
        <v>3</v>
      </c>
      <c r="D116" s="3025">
        <v>1</v>
      </c>
      <c r="E116" s="3026" t="s">
        <v>3461</v>
      </c>
      <c r="F116" s="3025">
        <v>69.290000000000006</v>
      </c>
      <c r="G116" s="3023" t="s">
        <v>3397</v>
      </c>
    </row>
    <row r="117" spans="1:7">
      <c r="A117" s="3025">
        <v>116</v>
      </c>
      <c r="B117" s="3025">
        <v>20</v>
      </c>
      <c r="C117" s="3025">
        <v>3</v>
      </c>
      <c r="D117" s="3025">
        <v>1</v>
      </c>
      <c r="E117" s="3026" t="s">
        <v>3462</v>
      </c>
      <c r="F117" s="3025">
        <v>69.290000000000006</v>
      </c>
      <c r="G117" s="3023" t="s">
        <v>3397</v>
      </c>
    </row>
    <row r="118" spans="1:7">
      <c r="A118" s="3025">
        <v>117</v>
      </c>
      <c r="B118" s="3025">
        <v>20</v>
      </c>
      <c r="C118" s="3025">
        <v>2</v>
      </c>
      <c r="D118" s="3025">
        <v>1</v>
      </c>
      <c r="E118" s="3026" t="s">
        <v>3463</v>
      </c>
      <c r="F118" s="3025">
        <v>93.91</v>
      </c>
      <c r="G118" s="3023" t="s">
        <v>3397</v>
      </c>
    </row>
    <row r="119" spans="1:7">
      <c r="A119" s="3025">
        <v>118</v>
      </c>
      <c r="B119" s="3025">
        <v>20</v>
      </c>
      <c r="C119" s="3025">
        <v>2</v>
      </c>
      <c r="D119" s="3025">
        <v>1</v>
      </c>
      <c r="E119" s="3026" t="s">
        <v>3464</v>
      </c>
      <c r="F119" s="3025">
        <v>68.94</v>
      </c>
      <c r="G119" s="3023" t="s">
        <v>3397</v>
      </c>
    </row>
    <row r="120" spans="1:7">
      <c r="A120" s="3025">
        <v>119</v>
      </c>
      <c r="B120" s="3025">
        <v>20</v>
      </c>
      <c r="C120" s="3025">
        <v>2</v>
      </c>
      <c r="D120" s="3025">
        <v>1</v>
      </c>
      <c r="E120" s="3026" t="s">
        <v>3465</v>
      </c>
      <c r="F120" s="3025">
        <v>69.290000000000006</v>
      </c>
      <c r="G120" s="3023" t="s">
        <v>3397</v>
      </c>
    </row>
    <row r="121" spans="1:7">
      <c r="A121" s="3025">
        <v>120</v>
      </c>
      <c r="B121" s="3025">
        <v>20</v>
      </c>
      <c r="C121" s="3025">
        <v>2</v>
      </c>
      <c r="D121" s="3025">
        <v>1</v>
      </c>
      <c r="E121" s="3026" t="s">
        <v>3466</v>
      </c>
      <c r="F121" s="3025">
        <v>69.290000000000006</v>
      </c>
      <c r="G121" s="3023" t="s">
        <v>3397</v>
      </c>
    </row>
    <row r="122" spans="1:7">
      <c r="A122" s="3025">
        <v>121</v>
      </c>
      <c r="B122" s="3025">
        <v>21</v>
      </c>
      <c r="C122" s="3025">
        <v>6</v>
      </c>
      <c r="D122" s="3025" t="s">
        <v>3467</v>
      </c>
      <c r="E122" s="3026" t="s">
        <v>3468</v>
      </c>
      <c r="F122" s="3025">
        <v>65.52</v>
      </c>
      <c r="G122" s="3023" t="s">
        <v>3420</v>
      </c>
    </row>
    <row r="123" spans="1:7">
      <c r="A123" s="3025">
        <v>122</v>
      </c>
      <c r="B123" s="3025">
        <v>21</v>
      </c>
      <c r="C123" s="3025">
        <v>6</v>
      </c>
      <c r="D123" s="3025" t="s">
        <v>3469</v>
      </c>
      <c r="E123" s="3026" t="s">
        <v>3470</v>
      </c>
      <c r="F123" s="3025">
        <v>93.93</v>
      </c>
      <c r="G123" s="3023" t="s">
        <v>3420</v>
      </c>
    </row>
    <row r="124" spans="1:7">
      <c r="A124" s="3025">
        <v>123</v>
      </c>
      <c r="B124" s="3025">
        <v>21</v>
      </c>
      <c r="C124" s="3025">
        <v>5</v>
      </c>
      <c r="D124" s="3025" t="s">
        <v>3469</v>
      </c>
      <c r="E124" s="3026" t="s">
        <v>3471</v>
      </c>
      <c r="F124" s="3025">
        <v>69.05</v>
      </c>
      <c r="G124" s="3023" t="s">
        <v>3420</v>
      </c>
    </row>
    <row r="125" spans="1:7">
      <c r="A125" s="3025">
        <v>124</v>
      </c>
      <c r="B125" s="3025">
        <v>21</v>
      </c>
      <c r="C125" s="3025">
        <v>5</v>
      </c>
      <c r="D125" s="3025" t="s">
        <v>3469</v>
      </c>
      <c r="E125" s="3026" t="s">
        <v>3472</v>
      </c>
      <c r="F125" s="3025">
        <v>69.05</v>
      </c>
      <c r="G125" s="3023" t="s">
        <v>3420</v>
      </c>
    </row>
    <row r="126" spans="1:7">
      <c r="A126" s="3025">
        <v>125</v>
      </c>
      <c r="B126" s="3025">
        <v>21</v>
      </c>
      <c r="C126" s="3025">
        <v>5</v>
      </c>
      <c r="D126" s="3025" t="s">
        <v>3469</v>
      </c>
      <c r="E126" s="3026" t="s">
        <v>3473</v>
      </c>
      <c r="F126" s="3025">
        <v>68.95</v>
      </c>
      <c r="G126" s="3023" t="s">
        <v>3438</v>
      </c>
    </row>
    <row r="127" spans="1:7">
      <c r="A127" s="3025">
        <v>126</v>
      </c>
      <c r="B127" s="3025">
        <v>21</v>
      </c>
      <c r="C127" s="3025">
        <v>5</v>
      </c>
      <c r="D127" s="3025" t="s">
        <v>3474</v>
      </c>
      <c r="E127" s="3026" t="s">
        <v>3475</v>
      </c>
      <c r="F127" s="3025">
        <v>93.93</v>
      </c>
      <c r="G127" s="3023" t="s">
        <v>3438</v>
      </c>
    </row>
    <row r="128" spans="1:7">
      <c r="A128" s="3025">
        <v>127</v>
      </c>
      <c r="B128" s="3025">
        <v>21</v>
      </c>
      <c r="C128" s="3025">
        <v>4</v>
      </c>
      <c r="D128" s="3025" t="s">
        <v>3474</v>
      </c>
      <c r="E128" s="3026" t="s">
        <v>3476</v>
      </c>
      <c r="F128" s="3025">
        <v>68.95</v>
      </c>
      <c r="G128" s="3023" t="s">
        <v>3438</v>
      </c>
    </row>
    <row r="129" spans="1:7">
      <c r="A129" s="3025">
        <v>128</v>
      </c>
      <c r="B129" s="3025">
        <v>21</v>
      </c>
      <c r="C129" s="3025">
        <v>4</v>
      </c>
      <c r="D129" s="3025" t="s">
        <v>3474</v>
      </c>
      <c r="E129" s="3026" t="s">
        <v>3477</v>
      </c>
      <c r="F129" s="3025">
        <v>69.05</v>
      </c>
      <c r="G129" s="3023" t="s">
        <v>3438</v>
      </c>
    </row>
    <row r="130" spans="1:7">
      <c r="A130" s="3025">
        <v>129</v>
      </c>
      <c r="B130" s="3025">
        <v>21</v>
      </c>
      <c r="C130" s="3025">
        <v>4</v>
      </c>
      <c r="D130" s="3025" t="s">
        <v>3474</v>
      </c>
      <c r="E130" s="3026" t="s">
        <v>3478</v>
      </c>
      <c r="F130" s="3025">
        <v>69.05</v>
      </c>
      <c r="G130" s="3023" t="s">
        <v>3438</v>
      </c>
    </row>
    <row r="131" spans="1:7">
      <c r="A131" s="3025">
        <v>130</v>
      </c>
      <c r="B131" s="3025">
        <v>21</v>
      </c>
      <c r="C131" s="3025">
        <v>4</v>
      </c>
      <c r="D131" s="3025" t="s">
        <v>3474</v>
      </c>
      <c r="E131" s="3026" t="s">
        <v>3479</v>
      </c>
      <c r="F131" s="3025">
        <v>68.95</v>
      </c>
      <c r="G131" s="3023" t="s">
        <v>3438</v>
      </c>
    </row>
    <row r="132" spans="1:7">
      <c r="A132" s="3025">
        <v>131</v>
      </c>
      <c r="B132" s="3025">
        <v>21</v>
      </c>
      <c r="C132" s="3025">
        <v>4</v>
      </c>
      <c r="D132" s="3025" t="s">
        <v>3474</v>
      </c>
      <c r="E132" s="3026" t="s">
        <v>3480</v>
      </c>
      <c r="F132" s="3025">
        <v>93.93</v>
      </c>
      <c r="G132" s="3023" t="s">
        <v>3438</v>
      </c>
    </row>
    <row r="133" spans="1:7">
      <c r="A133" s="3025">
        <v>132</v>
      </c>
      <c r="B133" s="3025">
        <v>21</v>
      </c>
      <c r="C133" s="3025">
        <v>3</v>
      </c>
      <c r="D133" s="3025" t="s">
        <v>3474</v>
      </c>
      <c r="E133" s="3026" t="s">
        <v>3481</v>
      </c>
      <c r="F133" s="3025">
        <v>68.95</v>
      </c>
      <c r="G133" s="3023" t="s">
        <v>3420</v>
      </c>
    </row>
    <row r="134" spans="1:7">
      <c r="A134" s="3025">
        <v>133</v>
      </c>
      <c r="B134" s="3025">
        <v>21</v>
      </c>
      <c r="C134" s="3025">
        <v>3</v>
      </c>
      <c r="D134" s="3025" t="s">
        <v>3469</v>
      </c>
      <c r="E134" s="3026" t="s">
        <v>3482</v>
      </c>
      <c r="F134" s="3025">
        <v>69.05</v>
      </c>
      <c r="G134" s="3023" t="s">
        <v>3397</v>
      </c>
    </row>
    <row r="135" spans="1:7">
      <c r="A135" s="3025">
        <v>134</v>
      </c>
      <c r="B135" s="3025">
        <v>21</v>
      </c>
      <c r="C135" s="3025">
        <v>3</v>
      </c>
      <c r="D135" s="3025" t="s">
        <v>3467</v>
      </c>
      <c r="E135" s="3026" t="s">
        <v>3483</v>
      </c>
      <c r="F135" s="3025">
        <v>69.05</v>
      </c>
      <c r="G135" s="3023" t="s">
        <v>3397</v>
      </c>
    </row>
    <row r="136" spans="1:7">
      <c r="A136" s="3025">
        <v>135</v>
      </c>
      <c r="B136" s="3025">
        <v>21</v>
      </c>
      <c r="C136" s="3025">
        <v>3</v>
      </c>
      <c r="D136" s="3025" t="s">
        <v>3467</v>
      </c>
      <c r="E136" s="3026" t="s">
        <v>3484</v>
      </c>
      <c r="F136" s="3025">
        <v>68.95</v>
      </c>
      <c r="G136" s="3023" t="s">
        <v>3397</v>
      </c>
    </row>
    <row r="137" spans="1:7">
      <c r="A137" s="3025">
        <v>136</v>
      </c>
      <c r="B137" s="3025">
        <v>21</v>
      </c>
      <c r="C137" s="3025">
        <v>3</v>
      </c>
      <c r="D137" s="3025" t="s">
        <v>3467</v>
      </c>
      <c r="E137" s="3026" t="s">
        <v>3485</v>
      </c>
      <c r="F137" s="3025">
        <v>93.93</v>
      </c>
      <c r="G137" s="3023" t="s">
        <v>3397</v>
      </c>
    </row>
    <row r="138" spans="1:7">
      <c r="A138" s="3025">
        <v>137</v>
      </c>
      <c r="B138" s="3025">
        <v>21</v>
      </c>
      <c r="C138" s="3025">
        <v>2</v>
      </c>
      <c r="D138" s="3025" t="s">
        <v>3467</v>
      </c>
      <c r="E138" s="3026" t="s">
        <v>3486</v>
      </c>
      <c r="F138" s="3025">
        <v>65.52</v>
      </c>
      <c r="G138" s="3023" t="s">
        <v>3397</v>
      </c>
    </row>
    <row r="139" spans="1:7">
      <c r="A139" s="3025">
        <v>138</v>
      </c>
      <c r="B139" s="3025">
        <v>21</v>
      </c>
      <c r="C139" s="3025">
        <v>2</v>
      </c>
      <c r="D139" s="3025" t="s">
        <v>3467</v>
      </c>
      <c r="E139" s="3026" t="s">
        <v>3487</v>
      </c>
      <c r="F139" s="3025">
        <v>68.95</v>
      </c>
      <c r="G139" s="3023" t="s">
        <v>3397</v>
      </c>
    </row>
    <row r="140" spans="1:7">
      <c r="A140" s="3025">
        <v>139</v>
      </c>
      <c r="B140" s="3025">
        <v>21</v>
      </c>
      <c r="C140" s="3025">
        <v>2</v>
      </c>
      <c r="D140" s="3025" t="s">
        <v>3467</v>
      </c>
      <c r="E140" s="3026" t="s">
        <v>3488</v>
      </c>
      <c r="F140" s="3025">
        <v>69.05</v>
      </c>
      <c r="G140" s="3023" t="s">
        <v>3397</v>
      </c>
    </row>
    <row r="141" spans="1:7">
      <c r="A141" s="3025">
        <v>140</v>
      </c>
      <c r="B141" s="3025">
        <v>21</v>
      </c>
      <c r="C141" s="3025">
        <v>2</v>
      </c>
      <c r="D141" s="3025" t="s">
        <v>3467</v>
      </c>
      <c r="E141" s="3026" t="s">
        <v>3489</v>
      </c>
      <c r="F141" s="3025">
        <v>69.05</v>
      </c>
      <c r="G141" s="3023" t="s">
        <v>3397</v>
      </c>
    </row>
    <row r="142" spans="1:7">
      <c r="A142" s="3025">
        <v>141</v>
      </c>
      <c r="B142" s="3025">
        <v>21</v>
      </c>
      <c r="C142" s="3025">
        <v>2</v>
      </c>
      <c r="D142" s="3025" t="s">
        <v>3467</v>
      </c>
      <c r="E142" s="3026" t="s">
        <v>3490</v>
      </c>
      <c r="F142" s="3025">
        <v>68.95</v>
      </c>
      <c r="G142" s="3023" t="s">
        <v>3397</v>
      </c>
    </row>
    <row r="143" spans="1:7">
      <c r="A143" s="3025">
        <v>142</v>
      </c>
      <c r="B143" s="3025">
        <v>21</v>
      </c>
      <c r="C143" s="3025">
        <v>2</v>
      </c>
      <c r="D143" s="3025" t="s">
        <v>3467</v>
      </c>
      <c r="E143" s="3026" t="s">
        <v>3491</v>
      </c>
      <c r="F143" s="3025">
        <v>93.93</v>
      </c>
      <c r="G143" s="3023" t="s">
        <v>3397</v>
      </c>
    </row>
    <row r="144" spans="1:7">
      <c r="A144" s="3025">
        <v>143</v>
      </c>
      <c r="B144" s="3025">
        <v>22</v>
      </c>
      <c r="C144" s="3025">
        <v>6</v>
      </c>
      <c r="D144" s="3025" t="s">
        <v>3467</v>
      </c>
      <c r="E144" s="3026" t="s">
        <v>3492</v>
      </c>
      <c r="F144" s="3025">
        <v>69.47</v>
      </c>
      <c r="G144" s="3023" t="s">
        <v>3397</v>
      </c>
    </row>
    <row r="145" spans="1:7">
      <c r="A145" s="3025">
        <v>144</v>
      </c>
      <c r="B145" s="3025">
        <v>22</v>
      </c>
      <c r="C145" s="3025">
        <v>5</v>
      </c>
      <c r="D145" s="3025" t="s">
        <v>3467</v>
      </c>
      <c r="E145" s="3026" t="s">
        <v>3493</v>
      </c>
      <c r="F145" s="3025">
        <v>94.63</v>
      </c>
      <c r="G145" s="3023" t="s">
        <v>3397</v>
      </c>
    </row>
    <row r="146" spans="1:7">
      <c r="A146" s="3025">
        <v>145</v>
      </c>
      <c r="B146" s="3025">
        <v>22</v>
      </c>
      <c r="C146" s="3025">
        <v>4</v>
      </c>
      <c r="D146" s="3025" t="s">
        <v>3467</v>
      </c>
      <c r="E146" s="3026" t="s">
        <v>3494</v>
      </c>
      <c r="F146" s="3025">
        <v>94.63</v>
      </c>
      <c r="G146" s="3023" t="s">
        <v>3397</v>
      </c>
    </row>
    <row r="147" spans="1:7">
      <c r="A147" s="3025">
        <v>146</v>
      </c>
      <c r="B147" s="3025">
        <v>22</v>
      </c>
      <c r="C147" s="3025">
        <v>3</v>
      </c>
      <c r="D147" s="3025" t="s">
        <v>3467</v>
      </c>
      <c r="E147" s="3026" t="s">
        <v>3495</v>
      </c>
      <c r="F147" s="3025">
        <v>69.47</v>
      </c>
      <c r="G147" s="3023" t="s">
        <v>3397</v>
      </c>
    </row>
    <row r="148" spans="1:7">
      <c r="A148" s="3025">
        <v>147</v>
      </c>
      <c r="B148" s="3025">
        <v>26</v>
      </c>
      <c r="C148" s="3025">
        <v>6</v>
      </c>
      <c r="D148" s="3025">
        <v>2</v>
      </c>
      <c r="E148" s="3026" t="s">
        <v>3496</v>
      </c>
      <c r="F148" s="3025">
        <v>66.069999999999993</v>
      </c>
      <c r="G148" s="3023" t="s">
        <v>3397</v>
      </c>
    </row>
    <row r="149" spans="1:7">
      <c r="A149" s="3025">
        <v>148</v>
      </c>
      <c r="B149" s="3025">
        <v>26</v>
      </c>
      <c r="C149" s="3025">
        <v>6</v>
      </c>
      <c r="D149" s="3025">
        <v>2</v>
      </c>
      <c r="E149" s="3026" t="s">
        <v>3497</v>
      </c>
      <c r="F149" s="3025">
        <v>94.74</v>
      </c>
      <c r="G149" s="3023" t="s">
        <v>3397</v>
      </c>
    </row>
    <row r="150" spans="1:7">
      <c r="A150" s="3025">
        <v>149</v>
      </c>
      <c r="B150" s="3025">
        <v>26</v>
      </c>
      <c r="C150" s="3025">
        <v>5</v>
      </c>
      <c r="D150" s="3025">
        <v>2</v>
      </c>
      <c r="E150" s="3026" t="s">
        <v>3498</v>
      </c>
      <c r="F150" s="3025">
        <v>69.56</v>
      </c>
      <c r="G150" s="3023" t="s">
        <v>3397</v>
      </c>
    </row>
    <row r="151" spans="1:7">
      <c r="A151" s="3025">
        <v>150</v>
      </c>
      <c r="B151" s="3025">
        <v>26</v>
      </c>
      <c r="C151" s="3025">
        <v>5</v>
      </c>
      <c r="D151" s="3025">
        <v>2</v>
      </c>
      <c r="E151" s="3026" t="s">
        <v>3499</v>
      </c>
      <c r="F151" s="3025">
        <v>69.75</v>
      </c>
      <c r="G151" s="3023" t="s">
        <v>3397</v>
      </c>
    </row>
    <row r="152" spans="1:7">
      <c r="A152" s="3025">
        <v>151</v>
      </c>
      <c r="B152" s="3025">
        <v>26</v>
      </c>
      <c r="C152" s="3025">
        <v>4</v>
      </c>
      <c r="D152" s="3025">
        <v>2</v>
      </c>
      <c r="E152" s="3026" t="s">
        <v>3500</v>
      </c>
      <c r="F152" s="3025">
        <v>66.069999999999993</v>
      </c>
      <c r="G152" s="3023" t="s">
        <v>3397</v>
      </c>
    </row>
    <row r="153" spans="1:7">
      <c r="A153" s="3025">
        <v>152</v>
      </c>
      <c r="B153" s="3025">
        <v>26</v>
      </c>
      <c r="C153" s="3025">
        <v>4</v>
      </c>
      <c r="D153" s="3025">
        <v>2</v>
      </c>
      <c r="E153" s="3026" t="s">
        <v>3501</v>
      </c>
      <c r="F153" s="3025">
        <v>69.75</v>
      </c>
      <c r="G153" s="3023" t="s">
        <v>3397</v>
      </c>
    </row>
    <row r="154" spans="1:7">
      <c r="A154" s="3025">
        <v>153</v>
      </c>
      <c r="B154" s="3025">
        <v>26</v>
      </c>
      <c r="C154" s="3025">
        <v>4</v>
      </c>
      <c r="D154" s="3025">
        <v>2</v>
      </c>
      <c r="E154" s="3026" t="s">
        <v>3502</v>
      </c>
      <c r="F154" s="3025">
        <v>69.75</v>
      </c>
      <c r="G154" s="3023" t="s">
        <v>3397</v>
      </c>
    </row>
    <row r="155" spans="1:7">
      <c r="A155" s="3025">
        <v>154</v>
      </c>
      <c r="B155" s="3025">
        <v>26</v>
      </c>
      <c r="C155" s="3025">
        <v>3</v>
      </c>
      <c r="D155" s="3025">
        <v>2</v>
      </c>
      <c r="E155" s="3026" t="s">
        <v>3503</v>
      </c>
      <c r="F155" s="3025">
        <v>69.75</v>
      </c>
      <c r="G155" s="3023" t="s">
        <v>3397</v>
      </c>
    </row>
    <row r="156" spans="1:7">
      <c r="A156" s="3025">
        <v>155</v>
      </c>
      <c r="B156" s="3025">
        <v>26</v>
      </c>
      <c r="C156" s="3025">
        <v>3</v>
      </c>
      <c r="D156" s="3025">
        <v>2</v>
      </c>
      <c r="E156" s="3026" t="s">
        <v>3504</v>
      </c>
      <c r="F156" s="3025">
        <v>69.75</v>
      </c>
      <c r="G156" s="3023" t="s">
        <v>3397</v>
      </c>
    </row>
    <row r="157" spans="1:7">
      <c r="A157" s="3025">
        <v>156</v>
      </c>
      <c r="B157" s="3025">
        <v>26</v>
      </c>
      <c r="C157" s="3025">
        <v>2</v>
      </c>
      <c r="D157" s="3025">
        <v>2</v>
      </c>
      <c r="E157" s="3026" t="s">
        <v>3505</v>
      </c>
      <c r="F157" s="3025">
        <v>69.75</v>
      </c>
      <c r="G157" s="3023" t="s">
        <v>3397</v>
      </c>
    </row>
    <row r="158" spans="1:7">
      <c r="A158" s="3025">
        <v>157</v>
      </c>
      <c r="B158" s="3025">
        <v>26</v>
      </c>
      <c r="C158" s="3025">
        <v>2</v>
      </c>
      <c r="D158" s="3025">
        <v>2</v>
      </c>
      <c r="E158" s="3026" t="s">
        <v>3506</v>
      </c>
      <c r="F158" s="3025">
        <v>69.75</v>
      </c>
      <c r="G158" s="3023" t="s">
        <v>3397</v>
      </c>
    </row>
    <row r="159" spans="1:7">
      <c r="A159" s="3025">
        <v>158</v>
      </c>
      <c r="B159" s="3025">
        <v>26</v>
      </c>
      <c r="C159" s="3025">
        <v>6</v>
      </c>
      <c r="D159" s="3025">
        <v>1</v>
      </c>
      <c r="E159" s="3026" t="s">
        <v>3507</v>
      </c>
      <c r="F159" s="3025">
        <v>94.74</v>
      </c>
      <c r="G159" s="3023" t="s">
        <v>3397</v>
      </c>
    </row>
    <row r="160" spans="1:7">
      <c r="A160" s="3025">
        <v>159</v>
      </c>
      <c r="B160" s="3025">
        <v>26</v>
      </c>
      <c r="C160" s="3025">
        <v>5</v>
      </c>
      <c r="D160" s="3025">
        <v>1</v>
      </c>
      <c r="E160" s="3026" t="s">
        <v>3508</v>
      </c>
      <c r="F160" s="3025">
        <v>69.75</v>
      </c>
      <c r="G160" s="3023" t="s">
        <v>3397</v>
      </c>
    </row>
    <row r="161" spans="1:7">
      <c r="A161" s="3025">
        <v>160</v>
      </c>
      <c r="B161" s="3025">
        <v>26</v>
      </c>
      <c r="C161" s="3025">
        <v>5</v>
      </c>
      <c r="D161" s="3025">
        <v>1</v>
      </c>
      <c r="E161" s="3026" t="s">
        <v>3509</v>
      </c>
      <c r="F161" s="3025">
        <v>69.75</v>
      </c>
      <c r="G161" s="3023" t="s">
        <v>3397</v>
      </c>
    </row>
    <row r="162" spans="1:7">
      <c r="A162" s="3025">
        <v>161</v>
      </c>
      <c r="B162" s="3025">
        <v>26</v>
      </c>
      <c r="C162" s="3025">
        <v>5</v>
      </c>
      <c r="D162" s="3025">
        <v>1</v>
      </c>
      <c r="E162" s="3026" t="s">
        <v>3510</v>
      </c>
      <c r="F162" s="3025">
        <v>69.56</v>
      </c>
      <c r="G162" s="3023" t="s">
        <v>3397</v>
      </c>
    </row>
    <row r="163" spans="1:7">
      <c r="A163" s="3025">
        <v>162</v>
      </c>
      <c r="B163" s="3025">
        <v>26</v>
      </c>
      <c r="C163" s="3025">
        <v>4</v>
      </c>
      <c r="D163" s="3025">
        <v>1</v>
      </c>
      <c r="E163" s="3026" t="s">
        <v>3511</v>
      </c>
      <c r="F163" s="3025">
        <v>69.56</v>
      </c>
      <c r="G163" s="3023" t="s">
        <v>3397</v>
      </c>
    </row>
    <row r="164" spans="1:7">
      <c r="A164" s="3025">
        <v>163</v>
      </c>
      <c r="B164" s="3025">
        <v>26</v>
      </c>
      <c r="C164" s="3025">
        <v>4</v>
      </c>
      <c r="D164" s="3025">
        <v>1</v>
      </c>
      <c r="E164" s="3026" t="s">
        <v>3512</v>
      </c>
      <c r="F164" s="3025">
        <v>69.75</v>
      </c>
      <c r="G164" s="3023" t="s">
        <v>3397</v>
      </c>
    </row>
    <row r="165" spans="1:7">
      <c r="A165" s="3025">
        <v>164</v>
      </c>
      <c r="B165" s="3025">
        <v>26</v>
      </c>
      <c r="C165" s="3025">
        <v>4</v>
      </c>
      <c r="D165" s="3025">
        <v>1</v>
      </c>
      <c r="E165" s="3026" t="s">
        <v>3513</v>
      </c>
      <c r="F165" s="3025">
        <v>69.75</v>
      </c>
      <c r="G165" s="3023" t="s">
        <v>3397</v>
      </c>
    </row>
    <row r="166" spans="1:7">
      <c r="A166" s="3025">
        <v>165</v>
      </c>
      <c r="B166" s="3025">
        <v>26</v>
      </c>
      <c r="C166" s="3025">
        <v>4</v>
      </c>
      <c r="D166" s="3025">
        <v>1</v>
      </c>
      <c r="E166" s="3026" t="s">
        <v>3514</v>
      </c>
      <c r="F166" s="3025">
        <v>69.56</v>
      </c>
      <c r="G166" s="3023" t="s">
        <v>3397</v>
      </c>
    </row>
    <row r="167" spans="1:7">
      <c r="A167" s="3025">
        <v>166</v>
      </c>
      <c r="B167" s="3025">
        <v>26</v>
      </c>
      <c r="C167" s="3025">
        <v>3</v>
      </c>
      <c r="D167" s="3025">
        <v>1</v>
      </c>
      <c r="E167" s="3026" t="s">
        <v>3515</v>
      </c>
      <c r="F167" s="3025">
        <v>69.75</v>
      </c>
      <c r="G167" s="3023" t="s">
        <v>3397</v>
      </c>
    </row>
    <row r="168" spans="1:7">
      <c r="A168" s="3025">
        <v>167</v>
      </c>
      <c r="B168" s="3025">
        <v>26</v>
      </c>
      <c r="C168" s="3025">
        <v>3</v>
      </c>
      <c r="D168" s="3025">
        <v>1</v>
      </c>
      <c r="E168" s="3026" t="s">
        <v>3516</v>
      </c>
      <c r="F168" s="3025">
        <v>69.75</v>
      </c>
      <c r="G168" s="3023" t="s">
        <v>3397</v>
      </c>
    </row>
    <row r="169" spans="1:7">
      <c r="A169" s="3025">
        <v>168</v>
      </c>
      <c r="B169" s="3025">
        <v>26</v>
      </c>
      <c r="C169" s="3025">
        <v>3</v>
      </c>
      <c r="D169" s="3025">
        <v>1</v>
      </c>
      <c r="E169" s="3026" t="s">
        <v>3517</v>
      </c>
      <c r="F169" s="3025">
        <v>69.56</v>
      </c>
      <c r="G169" s="3023" t="s">
        <v>3397</v>
      </c>
    </row>
    <row r="170" spans="1:7">
      <c r="A170" s="3025">
        <v>169</v>
      </c>
      <c r="B170" s="3025">
        <v>26</v>
      </c>
      <c r="C170" s="3025">
        <v>2</v>
      </c>
      <c r="D170" s="3025">
        <v>1</v>
      </c>
      <c r="E170" s="3026" t="s">
        <v>3518</v>
      </c>
      <c r="F170" s="3025">
        <v>69.56</v>
      </c>
      <c r="G170" s="3023" t="s">
        <v>3397</v>
      </c>
    </row>
    <row r="171" spans="1:7">
      <c r="A171" s="3025">
        <v>170</v>
      </c>
      <c r="B171" s="3025">
        <v>26</v>
      </c>
      <c r="C171" s="3025">
        <v>2</v>
      </c>
      <c r="D171" s="3025">
        <v>1</v>
      </c>
      <c r="E171" s="3026" t="s">
        <v>3519</v>
      </c>
      <c r="F171" s="3025">
        <v>69.75</v>
      </c>
      <c r="G171" s="3023" t="s">
        <v>3397</v>
      </c>
    </row>
    <row r="172" spans="1:7">
      <c r="A172" s="3025">
        <v>171</v>
      </c>
      <c r="B172" s="3025">
        <v>26</v>
      </c>
      <c r="C172" s="3025">
        <v>2</v>
      </c>
      <c r="D172" s="3025">
        <v>1</v>
      </c>
      <c r="E172" s="3026" t="s">
        <v>3520</v>
      </c>
      <c r="F172" s="3025">
        <v>69.75</v>
      </c>
      <c r="G172" s="3023" t="s">
        <v>3397</v>
      </c>
    </row>
    <row r="173" spans="1:7">
      <c r="A173" s="3025">
        <v>172</v>
      </c>
      <c r="B173" s="3025">
        <v>26</v>
      </c>
      <c r="C173" s="3025">
        <v>2</v>
      </c>
      <c r="D173" s="3025">
        <v>1</v>
      </c>
      <c r="E173" s="3026" t="s">
        <v>3521</v>
      </c>
      <c r="F173" s="3025">
        <v>69.56</v>
      </c>
      <c r="G173" s="3023" t="s">
        <v>3397</v>
      </c>
    </row>
    <row r="174" spans="1:7">
      <c r="F174" s="3025">
        <f>SUM(F2:F173)</f>
        <v>12430.649999999992</v>
      </c>
    </row>
    <row r="175" spans="1:7">
      <c r="A175" s="3025">
        <f>A173+抵押物清单9.26!A751</f>
        <v>922</v>
      </c>
    </row>
  </sheetData>
  <autoFilter ref="A1:G174"/>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4"/>
  <sheetViews>
    <sheetView tabSelected="1" topLeftCell="A715" workbookViewId="0">
      <selection activeCell="U749" sqref="U749"/>
    </sheetView>
  </sheetViews>
  <sheetFormatPr defaultRowHeight="13.5"/>
  <cols>
    <col min="6" max="6" width="12.5" customWidth="1"/>
    <col min="7" max="7" width="14.25" customWidth="1"/>
  </cols>
  <sheetData>
    <row r="1" spans="1:8" ht="14.25" thickBot="1">
      <c r="A1" s="3374" t="s">
        <v>3254</v>
      </c>
      <c r="B1" s="3375" t="s">
        <v>3522</v>
      </c>
      <c r="C1" s="3375" t="s">
        <v>3198</v>
      </c>
      <c r="D1" s="3375" t="s">
        <v>3123</v>
      </c>
      <c r="E1" s="3375" t="s">
        <v>3199</v>
      </c>
      <c r="F1" s="3375" t="s">
        <v>3523</v>
      </c>
      <c r="G1" s="3375" t="s">
        <v>3546</v>
      </c>
      <c r="H1" s="3375" t="s">
        <v>3127</v>
      </c>
    </row>
    <row r="2" spans="1:8" ht="14.25" thickBot="1">
      <c r="A2" s="3376">
        <v>1</v>
      </c>
      <c r="B2" s="3377" t="s">
        <v>3524</v>
      </c>
      <c r="C2" s="3378" t="s">
        <v>3256</v>
      </c>
      <c r="D2" s="3378" t="s">
        <v>3257</v>
      </c>
      <c r="E2" s="3378" t="s">
        <v>3258</v>
      </c>
      <c r="F2" s="3378">
        <v>101</v>
      </c>
      <c r="G2" s="3378">
        <v>66.069999999999993</v>
      </c>
      <c r="H2" s="3377" t="s">
        <v>3055</v>
      </c>
    </row>
    <row r="3" spans="1:8" ht="14.25" thickBot="1">
      <c r="A3" s="3376">
        <v>2</v>
      </c>
      <c r="B3" s="3377" t="s">
        <v>3524</v>
      </c>
      <c r="C3" s="3378" t="s">
        <v>3256</v>
      </c>
      <c r="D3" s="3378" t="s">
        <v>3257</v>
      </c>
      <c r="E3" s="3378" t="s">
        <v>3258</v>
      </c>
      <c r="F3" s="3378">
        <v>103</v>
      </c>
      <c r="G3" s="3378">
        <v>69.72</v>
      </c>
      <c r="H3" s="3377" t="s">
        <v>3055</v>
      </c>
    </row>
    <row r="4" spans="1:8" ht="14.25" thickBot="1">
      <c r="A4" s="3376">
        <v>3</v>
      </c>
      <c r="B4" s="3377" t="s">
        <v>3524</v>
      </c>
      <c r="C4" s="3378" t="s">
        <v>3256</v>
      </c>
      <c r="D4" s="3378" t="s">
        <v>3257</v>
      </c>
      <c r="E4" s="3378" t="s">
        <v>3258</v>
      </c>
      <c r="F4" s="3378">
        <v>105</v>
      </c>
      <c r="G4" s="3378">
        <v>69.56</v>
      </c>
      <c r="H4" s="3377" t="s">
        <v>3055</v>
      </c>
    </row>
    <row r="5" spans="1:8" ht="14.25" thickBot="1">
      <c r="A5" s="3376">
        <v>4</v>
      </c>
      <c r="B5" s="3377" t="s">
        <v>3524</v>
      </c>
      <c r="C5" s="3378" t="s">
        <v>3256</v>
      </c>
      <c r="D5" s="3378" t="s">
        <v>3257</v>
      </c>
      <c r="E5" s="3378" t="s">
        <v>3258</v>
      </c>
      <c r="F5" s="3378">
        <v>106</v>
      </c>
      <c r="G5" s="3378">
        <v>94.74</v>
      </c>
      <c r="H5" s="3377" t="s">
        <v>3055</v>
      </c>
    </row>
    <row r="6" spans="1:8" ht="14.25" thickBot="1">
      <c r="A6" s="3376">
        <v>5</v>
      </c>
      <c r="B6" s="3377" t="s">
        <v>3524</v>
      </c>
      <c r="C6" s="3378" t="s">
        <v>3256</v>
      </c>
      <c r="D6" s="3378" t="s">
        <v>3257</v>
      </c>
      <c r="E6" s="3378" t="s">
        <v>3259</v>
      </c>
      <c r="F6" s="3378">
        <v>101</v>
      </c>
      <c r="G6" s="3378">
        <v>94.74</v>
      </c>
      <c r="H6" s="3377" t="s">
        <v>3055</v>
      </c>
    </row>
    <row r="7" spans="1:8" ht="14.25" thickBot="1">
      <c r="A7" s="3376">
        <v>6</v>
      </c>
      <c r="B7" s="3377" t="s">
        <v>3524</v>
      </c>
      <c r="C7" s="3378" t="s">
        <v>3256</v>
      </c>
      <c r="D7" s="3378" t="s">
        <v>3257</v>
      </c>
      <c r="E7" s="3378" t="s">
        <v>3259</v>
      </c>
      <c r="F7" s="3378">
        <v>102</v>
      </c>
      <c r="G7" s="3378">
        <v>69.56</v>
      </c>
      <c r="H7" s="3377" t="s">
        <v>3055</v>
      </c>
    </row>
    <row r="8" spans="1:8" ht="14.25" thickBot="1">
      <c r="A8" s="3376">
        <v>7</v>
      </c>
      <c r="B8" s="3377" t="s">
        <v>3524</v>
      </c>
      <c r="C8" s="3378" t="s">
        <v>3256</v>
      </c>
      <c r="D8" s="3378" t="s">
        <v>3257</v>
      </c>
      <c r="E8" s="3378" t="s">
        <v>3259</v>
      </c>
      <c r="F8" s="3378">
        <v>103</v>
      </c>
      <c r="G8" s="3378">
        <v>69.72</v>
      </c>
      <c r="H8" s="3377" t="s">
        <v>3055</v>
      </c>
    </row>
    <row r="9" spans="1:8" ht="14.25" thickBot="1">
      <c r="A9" s="3376">
        <v>8</v>
      </c>
      <c r="B9" s="3377" t="s">
        <v>3524</v>
      </c>
      <c r="C9" s="3378" t="s">
        <v>3256</v>
      </c>
      <c r="D9" s="3378" t="s">
        <v>3257</v>
      </c>
      <c r="E9" s="3378" t="s">
        <v>3259</v>
      </c>
      <c r="F9" s="3378">
        <v>105</v>
      </c>
      <c r="G9" s="3378">
        <v>69.56</v>
      </c>
      <c r="H9" s="3377" t="s">
        <v>3055</v>
      </c>
    </row>
    <row r="10" spans="1:8" ht="14.25" thickBot="1">
      <c r="A10" s="3376">
        <v>9</v>
      </c>
      <c r="B10" s="3377" t="s">
        <v>3524</v>
      </c>
      <c r="C10" s="3378" t="s">
        <v>3256</v>
      </c>
      <c r="D10" s="3378" t="s">
        <v>3257</v>
      </c>
      <c r="E10" s="3378" t="s">
        <v>3259</v>
      </c>
      <c r="F10" s="3378">
        <v>106</v>
      </c>
      <c r="G10" s="3378">
        <v>66.069999999999993</v>
      </c>
      <c r="H10" s="3377" t="s">
        <v>3055</v>
      </c>
    </row>
    <row r="11" spans="1:8" ht="14.25" thickBot="1">
      <c r="A11" s="3376">
        <v>10</v>
      </c>
      <c r="B11" s="3377" t="s">
        <v>3524</v>
      </c>
      <c r="C11" s="3378" t="s">
        <v>3256</v>
      </c>
      <c r="D11" s="3378" t="s">
        <v>3260</v>
      </c>
      <c r="E11" s="3378" t="s">
        <v>3258</v>
      </c>
      <c r="F11" s="3378">
        <v>201</v>
      </c>
      <c r="G11" s="3378">
        <v>66.069999999999993</v>
      </c>
      <c r="H11" s="3377" t="s">
        <v>3055</v>
      </c>
    </row>
    <row r="12" spans="1:8" ht="14.25" thickBot="1">
      <c r="A12" s="3376">
        <v>11</v>
      </c>
      <c r="B12" s="3377" t="s">
        <v>3524</v>
      </c>
      <c r="C12" s="3378" t="s">
        <v>3256</v>
      </c>
      <c r="D12" s="3378" t="s">
        <v>3260</v>
      </c>
      <c r="E12" s="3378" t="s">
        <v>3258</v>
      </c>
      <c r="F12" s="3378">
        <v>202</v>
      </c>
      <c r="G12" s="3378">
        <v>69.56</v>
      </c>
      <c r="H12" s="3377" t="s">
        <v>3055</v>
      </c>
    </row>
    <row r="13" spans="1:8" ht="14.25" thickBot="1">
      <c r="A13" s="3376">
        <v>12</v>
      </c>
      <c r="B13" s="3377" t="s">
        <v>3524</v>
      </c>
      <c r="C13" s="3378" t="s">
        <v>3256</v>
      </c>
      <c r="D13" s="3378" t="s">
        <v>3260</v>
      </c>
      <c r="E13" s="3378" t="s">
        <v>3258</v>
      </c>
      <c r="F13" s="3378">
        <v>203</v>
      </c>
      <c r="G13" s="3378">
        <v>69.75</v>
      </c>
      <c r="H13" s="3377" t="s">
        <v>3055</v>
      </c>
    </row>
    <row r="14" spans="1:8" ht="14.25" thickBot="1">
      <c r="A14" s="3376">
        <v>13</v>
      </c>
      <c r="B14" s="3377" t="s">
        <v>3524</v>
      </c>
      <c r="C14" s="3378" t="s">
        <v>3256</v>
      </c>
      <c r="D14" s="3378" t="s">
        <v>3260</v>
      </c>
      <c r="E14" s="3378" t="s">
        <v>3258</v>
      </c>
      <c r="F14" s="3378">
        <v>205</v>
      </c>
      <c r="G14" s="3378">
        <v>69.75</v>
      </c>
      <c r="H14" s="3377" t="s">
        <v>3055</v>
      </c>
    </row>
    <row r="15" spans="1:8" ht="14.25" thickBot="1">
      <c r="A15" s="3376">
        <v>14</v>
      </c>
      <c r="B15" s="3377" t="s">
        <v>3524</v>
      </c>
      <c r="C15" s="3378" t="s">
        <v>3256</v>
      </c>
      <c r="D15" s="3378" t="s">
        <v>3260</v>
      </c>
      <c r="E15" s="3378" t="s">
        <v>3258</v>
      </c>
      <c r="F15" s="3378">
        <v>206</v>
      </c>
      <c r="G15" s="3378">
        <v>69.56</v>
      </c>
      <c r="H15" s="3377" t="s">
        <v>3055</v>
      </c>
    </row>
    <row r="16" spans="1:8" ht="14.25" thickBot="1">
      <c r="A16" s="3376">
        <v>15</v>
      </c>
      <c r="B16" s="3377" t="s">
        <v>3524</v>
      </c>
      <c r="C16" s="3378" t="s">
        <v>3256</v>
      </c>
      <c r="D16" s="3378" t="s">
        <v>3260</v>
      </c>
      <c r="E16" s="3378" t="s">
        <v>3258</v>
      </c>
      <c r="F16" s="3378">
        <v>207</v>
      </c>
      <c r="G16" s="3378">
        <v>94.74</v>
      </c>
      <c r="H16" s="3377" t="s">
        <v>3055</v>
      </c>
    </row>
    <row r="17" spans="1:8" ht="14.25" thickBot="1">
      <c r="A17" s="3376">
        <v>16</v>
      </c>
      <c r="B17" s="3377" t="s">
        <v>3524</v>
      </c>
      <c r="C17" s="3378" t="s">
        <v>3256</v>
      </c>
      <c r="D17" s="3378" t="s">
        <v>3260</v>
      </c>
      <c r="E17" s="3378" t="s">
        <v>3259</v>
      </c>
      <c r="F17" s="3378">
        <v>201</v>
      </c>
      <c r="G17" s="3378">
        <v>94.74</v>
      </c>
      <c r="H17" s="3377" t="s">
        <v>3055</v>
      </c>
    </row>
    <row r="18" spans="1:8" ht="14.25" thickBot="1">
      <c r="A18" s="3376">
        <v>17</v>
      </c>
      <c r="B18" s="3377" t="s">
        <v>3524</v>
      </c>
      <c r="C18" s="3378" t="s">
        <v>3256</v>
      </c>
      <c r="D18" s="3378" t="s">
        <v>3261</v>
      </c>
      <c r="E18" s="3378" t="s">
        <v>3258</v>
      </c>
      <c r="F18" s="3378">
        <v>301</v>
      </c>
      <c r="G18" s="3378">
        <v>66.069999999999993</v>
      </c>
      <c r="H18" s="3377" t="s">
        <v>3055</v>
      </c>
    </row>
    <row r="19" spans="1:8" ht="14.25" thickBot="1">
      <c r="A19" s="3376">
        <v>18</v>
      </c>
      <c r="B19" s="3377" t="s">
        <v>3524</v>
      </c>
      <c r="C19" s="3378" t="s">
        <v>3256</v>
      </c>
      <c r="D19" s="3378" t="s">
        <v>3261</v>
      </c>
      <c r="E19" s="3378" t="s">
        <v>3258</v>
      </c>
      <c r="F19" s="3378">
        <v>302</v>
      </c>
      <c r="G19" s="3378">
        <v>69.56</v>
      </c>
      <c r="H19" s="3377" t="s">
        <v>3055</v>
      </c>
    </row>
    <row r="20" spans="1:8" ht="14.25" thickBot="1">
      <c r="A20" s="3376">
        <v>19</v>
      </c>
      <c r="B20" s="3377" t="s">
        <v>3524</v>
      </c>
      <c r="C20" s="3378" t="s">
        <v>3256</v>
      </c>
      <c r="D20" s="3378" t="s">
        <v>3261</v>
      </c>
      <c r="E20" s="3378" t="s">
        <v>3258</v>
      </c>
      <c r="F20" s="3378">
        <v>303</v>
      </c>
      <c r="G20" s="3378">
        <v>69.75</v>
      </c>
      <c r="H20" s="3377" t="s">
        <v>3055</v>
      </c>
    </row>
    <row r="21" spans="1:8" ht="14.25" thickBot="1">
      <c r="A21" s="3376">
        <v>20</v>
      </c>
      <c r="B21" s="3377" t="s">
        <v>3524</v>
      </c>
      <c r="C21" s="3378" t="s">
        <v>3256</v>
      </c>
      <c r="D21" s="3378" t="s">
        <v>3261</v>
      </c>
      <c r="E21" s="3378" t="s">
        <v>3258</v>
      </c>
      <c r="F21" s="3378">
        <v>305</v>
      </c>
      <c r="G21" s="3378">
        <v>69.75</v>
      </c>
      <c r="H21" s="3377" t="s">
        <v>3055</v>
      </c>
    </row>
    <row r="22" spans="1:8" ht="14.25" thickBot="1">
      <c r="A22" s="3376">
        <v>21</v>
      </c>
      <c r="B22" s="3377" t="s">
        <v>3524</v>
      </c>
      <c r="C22" s="3378" t="s">
        <v>3256</v>
      </c>
      <c r="D22" s="3378" t="s">
        <v>3261</v>
      </c>
      <c r="E22" s="3378" t="s">
        <v>3258</v>
      </c>
      <c r="F22" s="3378">
        <v>306</v>
      </c>
      <c r="G22" s="3378">
        <v>69.56</v>
      </c>
      <c r="H22" s="3377" t="s">
        <v>3055</v>
      </c>
    </row>
    <row r="23" spans="1:8" ht="14.25" thickBot="1">
      <c r="A23" s="3376">
        <v>22</v>
      </c>
      <c r="B23" s="3377" t="s">
        <v>3524</v>
      </c>
      <c r="C23" s="3378" t="s">
        <v>3256</v>
      </c>
      <c r="D23" s="3378" t="s">
        <v>3261</v>
      </c>
      <c r="E23" s="3378" t="s">
        <v>3258</v>
      </c>
      <c r="F23" s="3378">
        <v>307</v>
      </c>
      <c r="G23" s="3378">
        <v>94.74</v>
      </c>
      <c r="H23" s="3377" t="s">
        <v>3055</v>
      </c>
    </row>
    <row r="24" spans="1:8" ht="14.25" thickBot="1">
      <c r="A24" s="3376">
        <v>23</v>
      </c>
      <c r="B24" s="3377" t="s">
        <v>3524</v>
      </c>
      <c r="C24" s="3378" t="s">
        <v>3256</v>
      </c>
      <c r="D24" s="3378" t="s">
        <v>3260</v>
      </c>
      <c r="E24" s="3378" t="s">
        <v>3259</v>
      </c>
      <c r="F24" s="3378">
        <v>203</v>
      </c>
      <c r="G24" s="3378">
        <v>69.75</v>
      </c>
      <c r="H24" s="3377" t="s">
        <v>3055</v>
      </c>
    </row>
    <row r="25" spans="1:8" ht="14.25" thickBot="1">
      <c r="A25" s="3376">
        <v>24</v>
      </c>
      <c r="B25" s="3377" t="s">
        <v>3524</v>
      </c>
      <c r="C25" s="3378" t="s">
        <v>3256</v>
      </c>
      <c r="D25" s="3378" t="s">
        <v>3260</v>
      </c>
      <c r="E25" s="3378" t="s">
        <v>3259</v>
      </c>
      <c r="F25" s="3378">
        <v>205</v>
      </c>
      <c r="G25" s="3378">
        <v>69.75</v>
      </c>
      <c r="H25" s="3377" t="s">
        <v>3055</v>
      </c>
    </row>
    <row r="26" spans="1:8" ht="14.25" thickBot="1">
      <c r="A26" s="3376">
        <v>25</v>
      </c>
      <c r="B26" s="3377" t="s">
        <v>3524</v>
      </c>
      <c r="C26" s="3378" t="s">
        <v>3256</v>
      </c>
      <c r="D26" s="3378" t="s">
        <v>3260</v>
      </c>
      <c r="E26" s="3378" t="s">
        <v>3259</v>
      </c>
      <c r="F26" s="3378">
        <v>207</v>
      </c>
      <c r="G26" s="3378">
        <v>66.069999999999993</v>
      </c>
      <c r="H26" s="3377" t="s">
        <v>3055</v>
      </c>
    </row>
    <row r="27" spans="1:8" ht="14.25" thickBot="1">
      <c r="A27" s="3376">
        <v>26</v>
      </c>
      <c r="B27" s="3377" t="s">
        <v>3524</v>
      </c>
      <c r="C27" s="3378" t="s">
        <v>3256</v>
      </c>
      <c r="D27" s="3378" t="s">
        <v>3261</v>
      </c>
      <c r="E27" s="3378" t="s">
        <v>3259</v>
      </c>
      <c r="F27" s="3378">
        <v>301</v>
      </c>
      <c r="G27" s="3378">
        <v>94.74</v>
      </c>
      <c r="H27" s="3377" t="s">
        <v>3055</v>
      </c>
    </row>
    <row r="28" spans="1:8" ht="14.25" thickBot="1">
      <c r="A28" s="3376">
        <v>27</v>
      </c>
      <c r="B28" s="3377" t="s">
        <v>3524</v>
      </c>
      <c r="C28" s="3378" t="s">
        <v>3256</v>
      </c>
      <c r="D28" s="3378" t="s">
        <v>3261</v>
      </c>
      <c r="E28" s="3378" t="s">
        <v>3259</v>
      </c>
      <c r="F28" s="3378">
        <v>302</v>
      </c>
      <c r="G28" s="3378">
        <v>69.56</v>
      </c>
      <c r="H28" s="3377" t="s">
        <v>3055</v>
      </c>
    </row>
    <row r="29" spans="1:8" ht="14.25" thickBot="1">
      <c r="A29" s="3376">
        <v>28</v>
      </c>
      <c r="B29" s="3377" t="s">
        <v>3524</v>
      </c>
      <c r="C29" s="3378" t="s">
        <v>3256</v>
      </c>
      <c r="D29" s="3378" t="s">
        <v>3261</v>
      </c>
      <c r="E29" s="3378" t="s">
        <v>3259</v>
      </c>
      <c r="F29" s="3378">
        <v>303</v>
      </c>
      <c r="G29" s="3378">
        <v>69.75</v>
      </c>
      <c r="H29" s="3377" t="s">
        <v>3055</v>
      </c>
    </row>
    <row r="30" spans="1:8" ht="14.25" thickBot="1">
      <c r="A30" s="3376">
        <v>29</v>
      </c>
      <c r="B30" s="3377" t="s">
        <v>3524</v>
      </c>
      <c r="C30" s="3378" t="s">
        <v>3256</v>
      </c>
      <c r="D30" s="3378" t="s">
        <v>3261</v>
      </c>
      <c r="E30" s="3378" t="s">
        <v>3259</v>
      </c>
      <c r="F30" s="3378">
        <v>305</v>
      </c>
      <c r="G30" s="3378">
        <v>69.75</v>
      </c>
      <c r="H30" s="3377" t="s">
        <v>3055</v>
      </c>
    </row>
    <row r="31" spans="1:8" ht="14.25" thickBot="1">
      <c r="A31" s="3376">
        <v>30</v>
      </c>
      <c r="B31" s="3377" t="s">
        <v>3524</v>
      </c>
      <c r="C31" s="3378" t="s">
        <v>3256</v>
      </c>
      <c r="D31" s="3378" t="s">
        <v>3261</v>
      </c>
      <c r="E31" s="3378" t="s">
        <v>3259</v>
      </c>
      <c r="F31" s="3378">
        <v>306</v>
      </c>
      <c r="G31" s="3378">
        <v>69.56</v>
      </c>
      <c r="H31" s="3377" t="s">
        <v>3055</v>
      </c>
    </row>
    <row r="32" spans="1:8" ht="14.25" thickBot="1">
      <c r="A32" s="3376">
        <v>31</v>
      </c>
      <c r="B32" s="3377" t="s">
        <v>3524</v>
      </c>
      <c r="C32" s="3378" t="s">
        <v>3256</v>
      </c>
      <c r="D32" s="3378" t="s">
        <v>3261</v>
      </c>
      <c r="E32" s="3378" t="s">
        <v>3259</v>
      </c>
      <c r="F32" s="3378">
        <v>307</v>
      </c>
      <c r="G32" s="3378">
        <v>66.069999999999993</v>
      </c>
      <c r="H32" s="3377" t="s">
        <v>3055</v>
      </c>
    </row>
    <row r="33" spans="1:8" ht="14.25" thickBot="1">
      <c r="A33" s="3376">
        <v>32</v>
      </c>
      <c r="B33" s="3377" t="s">
        <v>3524</v>
      </c>
      <c r="C33" s="3378" t="s">
        <v>3256</v>
      </c>
      <c r="D33" s="3378" t="s">
        <v>3262</v>
      </c>
      <c r="E33" s="3378" t="s">
        <v>3258</v>
      </c>
      <c r="F33" s="3378" t="s">
        <v>3146</v>
      </c>
      <c r="G33" s="3378">
        <v>69.56</v>
      </c>
      <c r="H33" s="3377" t="s">
        <v>3055</v>
      </c>
    </row>
    <row r="34" spans="1:8" ht="14.25" thickBot="1">
      <c r="A34" s="3376">
        <v>33</v>
      </c>
      <c r="B34" s="3377" t="s">
        <v>3524</v>
      </c>
      <c r="C34" s="3378" t="s">
        <v>3256</v>
      </c>
      <c r="D34" s="3378" t="s">
        <v>3262</v>
      </c>
      <c r="E34" s="3378" t="s">
        <v>3258</v>
      </c>
      <c r="F34" s="3378" t="s">
        <v>3148</v>
      </c>
      <c r="G34" s="3378">
        <v>69.75</v>
      </c>
      <c r="H34" s="3377" t="s">
        <v>3055</v>
      </c>
    </row>
    <row r="35" spans="1:8" ht="14.25" thickBot="1">
      <c r="A35" s="3376">
        <v>34</v>
      </c>
      <c r="B35" s="3377" t="s">
        <v>3524</v>
      </c>
      <c r="C35" s="3378" t="s">
        <v>3256</v>
      </c>
      <c r="D35" s="3378" t="s">
        <v>3262</v>
      </c>
      <c r="E35" s="3378" t="s">
        <v>3259</v>
      </c>
      <c r="F35" s="3378" t="s">
        <v>3145</v>
      </c>
      <c r="G35" s="3378">
        <v>94.74</v>
      </c>
      <c r="H35" s="3377" t="s">
        <v>3055</v>
      </c>
    </row>
    <row r="36" spans="1:8" ht="14.25" thickBot="1">
      <c r="A36" s="3376">
        <v>35</v>
      </c>
      <c r="B36" s="3377" t="s">
        <v>3524</v>
      </c>
      <c r="C36" s="3378" t="s">
        <v>3256</v>
      </c>
      <c r="D36" s="3378" t="s">
        <v>3262</v>
      </c>
      <c r="E36" s="3378" t="s">
        <v>3259</v>
      </c>
      <c r="F36" s="3378" t="s">
        <v>3146</v>
      </c>
      <c r="G36" s="3378">
        <v>69.56</v>
      </c>
      <c r="H36" s="3377" t="s">
        <v>3055</v>
      </c>
    </row>
    <row r="37" spans="1:8" ht="14.25" thickBot="1">
      <c r="A37" s="3376">
        <v>36</v>
      </c>
      <c r="B37" s="3377" t="s">
        <v>3524</v>
      </c>
      <c r="C37" s="3378" t="s">
        <v>3256</v>
      </c>
      <c r="D37" s="3378" t="s">
        <v>3262</v>
      </c>
      <c r="E37" s="3378" t="s">
        <v>3259</v>
      </c>
      <c r="F37" s="3378" t="s">
        <v>3147</v>
      </c>
      <c r="G37" s="3378">
        <v>69.75</v>
      </c>
      <c r="H37" s="3377" t="s">
        <v>3055</v>
      </c>
    </row>
    <row r="38" spans="1:8" ht="14.25" thickBot="1">
      <c r="A38" s="3376">
        <v>37</v>
      </c>
      <c r="B38" s="3377" t="s">
        <v>3524</v>
      </c>
      <c r="C38" s="3378" t="s">
        <v>3256</v>
      </c>
      <c r="D38" s="3378" t="s">
        <v>3262</v>
      </c>
      <c r="E38" s="3378" t="s">
        <v>3259</v>
      </c>
      <c r="F38" s="3378" t="s">
        <v>3148</v>
      </c>
      <c r="G38" s="3378">
        <v>69.75</v>
      </c>
      <c r="H38" s="3377" t="s">
        <v>3055</v>
      </c>
    </row>
    <row r="39" spans="1:8" ht="14.25" thickBot="1">
      <c r="A39" s="3376">
        <v>38</v>
      </c>
      <c r="B39" s="3377" t="s">
        <v>3524</v>
      </c>
      <c r="C39" s="3378" t="s">
        <v>3256</v>
      </c>
      <c r="D39" s="3378" t="s">
        <v>3262</v>
      </c>
      <c r="E39" s="3378" t="s">
        <v>3259</v>
      </c>
      <c r="F39" s="3378" t="s">
        <v>3150</v>
      </c>
      <c r="G39" s="3378">
        <v>66.069999999999993</v>
      </c>
      <c r="H39" s="3377" t="s">
        <v>3055</v>
      </c>
    </row>
    <row r="40" spans="1:8" ht="14.25" thickBot="1">
      <c r="A40" s="3376">
        <v>39</v>
      </c>
      <c r="B40" s="3377" t="s">
        <v>3524</v>
      </c>
      <c r="C40" s="3378" t="s">
        <v>3256</v>
      </c>
      <c r="D40" s="3378" t="s">
        <v>3263</v>
      </c>
      <c r="E40" s="3378" t="s">
        <v>3258</v>
      </c>
      <c r="F40" s="3378">
        <v>501</v>
      </c>
      <c r="G40" s="3378">
        <v>66.069999999999993</v>
      </c>
      <c r="H40" s="3377" t="s">
        <v>3055</v>
      </c>
    </row>
    <row r="41" spans="1:8" ht="14.25" thickBot="1">
      <c r="A41" s="3376">
        <v>40</v>
      </c>
      <c r="B41" s="3377" t="s">
        <v>3524</v>
      </c>
      <c r="C41" s="3378" t="s">
        <v>3256</v>
      </c>
      <c r="D41" s="3378" t="s">
        <v>3263</v>
      </c>
      <c r="E41" s="3378" t="s">
        <v>3258</v>
      </c>
      <c r="F41" s="3378">
        <v>502</v>
      </c>
      <c r="G41" s="3378">
        <v>69.56</v>
      </c>
      <c r="H41" s="3377" t="s">
        <v>3055</v>
      </c>
    </row>
    <row r="42" spans="1:8" ht="14.25" thickBot="1">
      <c r="A42" s="3376">
        <v>41</v>
      </c>
      <c r="B42" s="3377" t="s">
        <v>3524</v>
      </c>
      <c r="C42" s="3378" t="s">
        <v>3256</v>
      </c>
      <c r="D42" s="3378" t="s">
        <v>3263</v>
      </c>
      <c r="E42" s="3378" t="s">
        <v>3258</v>
      </c>
      <c r="F42" s="3378">
        <v>503</v>
      </c>
      <c r="G42" s="3378">
        <v>69.75</v>
      </c>
      <c r="H42" s="3377" t="s">
        <v>3055</v>
      </c>
    </row>
    <row r="43" spans="1:8" ht="14.25" thickBot="1">
      <c r="A43" s="3376">
        <v>42</v>
      </c>
      <c r="B43" s="3377" t="s">
        <v>3524</v>
      </c>
      <c r="C43" s="3378" t="s">
        <v>3256</v>
      </c>
      <c r="D43" s="3378" t="s">
        <v>3263</v>
      </c>
      <c r="E43" s="3378" t="s">
        <v>3258</v>
      </c>
      <c r="F43" s="3378">
        <v>505</v>
      </c>
      <c r="G43" s="3378">
        <v>69.75</v>
      </c>
      <c r="H43" s="3377" t="s">
        <v>3055</v>
      </c>
    </row>
    <row r="44" spans="1:8" ht="14.25" thickBot="1">
      <c r="A44" s="3376">
        <v>43</v>
      </c>
      <c r="B44" s="3377" t="s">
        <v>3524</v>
      </c>
      <c r="C44" s="3378" t="s">
        <v>3256</v>
      </c>
      <c r="D44" s="3378" t="s">
        <v>3263</v>
      </c>
      <c r="E44" s="3378" t="s">
        <v>3258</v>
      </c>
      <c r="F44" s="3378">
        <v>506</v>
      </c>
      <c r="G44" s="3378">
        <v>69.56</v>
      </c>
      <c r="H44" s="3377" t="s">
        <v>3055</v>
      </c>
    </row>
    <row r="45" spans="1:8" ht="14.25" thickBot="1">
      <c r="A45" s="3376">
        <v>44</v>
      </c>
      <c r="B45" s="3377" t="s">
        <v>3524</v>
      </c>
      <c r="C45" s="3378" t="s">
        <v>3256</v>
      </c>
      <c r="D45" s="3378" t="s">
        <v>3263</v>
      </c>
      <c r="E45" s="3378" t="s">
        <v>3258</v>
      </c>
      <c r="F45" s="3378">
        <v>507</v>
      </c>
      <c r="G45" s="3378">
        <v>94.74</v>
      </c>
      <c r="H45" s="3377" t="s">
        <v>3055</v>
      </c>
    </row>
    <row r="46" spans="1:8" ht="14.25" thickBot="1">
      <c r="A46" s="3376">
        <v>45</v>
      </c>
      <c r="B46" s="3377" t="s">
        <v>3524</v>
      </c>
      <c r="C46" s="3378" t="s">
        <v>3256</v>
      </c>
      <c r="D46" s="3378" t="s">
        <v>3263</v>
      </c>
      <c r="E46" s="3378" t="s">
        <v>3259</v>
      </c>
      <c r="F46" s="3378">
        <v>502</v>
      </c>
      <c r="G46" s="3378">
        <v>69.56</v>
      </c>
      <c r="H46" s="3377" t="s">
        <v>3055</v>
      </c>
    </row>
    <row r="47" spans="1:8" ht="14.25" thickBot="1">
      <c r="A47" s="3376">
        <v>46</v>
      </c>
      <c r="B47" s="3377" t="s">
        <v>3524</v>
      </c>
      <c r="C47" s="3378" t="s">
        <v>3256</v>
      </c>
      <c r="D47" s="3378" t="s">
        <v>3263</v>
      </c>
      <c r="E47" s="3378" t="s">
        <v>3259</v>
      </c>
      <c r="F47" s="3378">
        <v>503</v>
      </c>
      <c r="G47" s="3378">
        <v>69.75</v>
      </c>
      <c r="H47" s="3377" t="s">
        <v>3055</v>
      </c>
    </row>
    <row r="48" spans="1:8" ht="14.25" thickBot="1">
      <c r="A48" s="3376">
        <v>47</v>
      </c>
      <c r="B48" s="3377" t="s">
        <v>3524</v>
      </c>
      <c r="C48" s="3378" t="s">
        <v>3256</v>
      </c>
      <c r="D48" s="3378" t="s">
        <v>3263</v>
      </c>
      <c r="E48" s="3378" t="s">
        <v>3259</v>
      </c>
      <c r="F48" s="3378">
        <v>505</v>
      </c>
      <c r="G48" s="3378">
        <v>69.75</v>
      </c>
      <c r="H48" s="3377" t="s">
        <v>3055</v>
      </c>
    </row>
    <row r="49" spans="1:8" ht="14.25" thickBot="1">
      <c r="A49" s="3376">
        <v>48</v>
      </c>
      <c r="B49" s="3377" t="s">
        <v>3524</v>
      </c>
      <c r="C49" s="3378" t="s">
        <v>3256</v>
      </c>
      <c r="D49" s="3378" t="s">
        <v>3263</v>
      </c>
      <c r="E49" s="3378" t="s">
        <v>3259</v>
      </c>
      <c r="F49" s="3378">
        <v>506</v>
      </c>
      <c r="G49" s="3378">
        <v>69.56</v>
      </c>
      <c r="H49" s="3377" t="s">
        <v>3055</v>
      </c>
    </row>
    <row r="50" spans="1:8" ht="14.25" thickBot="1">
      <c r="A50" s="3376">
        <v>49</v>
      </c>
      <c r="B50" s="3377" t="s">
        <v>3524</v>
      </c>
      <c r="C50" s="3378" t="s">
        <v>3256</v>
      </c>
      <c r="D50" s="3378" t="s">
        <v>3263</v>
      </c>
      <c r="E50" s="3378" t="s">
        <v>3259</v>
      </c>
      <c r="F50" s="3378">
        <v>507</v>
      </c>
      <c r="G50" s="3378">
        <v>66.069999999999993</v>
      </c>
      <c r="H50" s="3377" t="s">
        <v>3055</v>
      </c>
    </row>
    <row r="51" spans="1:8" ht="14.25" thickBot="1">
      <c r="A51" s="3376">
        <v>50</v>
      </c>
      <c r="B51" s="3377" t="s">
        <v>3524</v>
      </c>
      <c r="C51" s="3378" t="s">
        <v>3256</v>
      </c>
      <c r="D51" s="3378" t="s">
        <v>3264</v>
      </c>
      <c r="E51" s="3378" t="s">
        <v>3258</v>
      </c>
      <c r="F51" s="3378">
        <v>602</v>
      </c>
      <c r="G51" s="3378">
        <v>69.56</v>
      </c>
      <c r="H51" s="3377" t="s">
        <v>3055</v>
      </c>
    </row>
    <row r="52" spans="1:8" ht="14.25" thickBot="1">
      <c r="A52" s="3376">
        <v>51</v>
      </c>
      <c r="B52" s="3377" t="s">
        <v>3524</v>
      </c>
      <c r="C52" s="3378" t="s">
        <v>3256</v>
      </c>
      <c r="D52" s="3378" t="s">
        <v>3264</v>
      </c>
      <c r="E52" s="3378" t="s">
        <v>3258</v>
      </c>
      <c r="F52" s="3378">
        <v>603</v>
      </c>
      <c r="G52" s="3378">
        <v>69.75</v>
      </c>
      <c r="H52" s="3377" t="s">
        <v>3055</v>
      </c>
    </row>
    <row r="53" spans="1:8" ht="14.25" thickBot="1">
      <c r="A53" s="3376">
        <v>52</v>
      </c>
      <c r="B53" s="3377" t="s">
        <v>3524</v>
      </c>
      <c r="C53" s="3378" t="s">
        <v>3256</v>
      </c>
      <c r="D53" s="3378" t="s">
        <v>3264</v>
      </c>
      <c r="E53" s="3378" t="s">
        <v>3258</v>
      </c>
      <c r="F53" s="3378">
        <v>605</v>
      </c>
      <c r="G53" s="3378">
        <v>69.75</v>
      </c>
      <c r="H53" s="3377" t="s">
        <v>3055</v>
      </c>
    </row>
    <row r="54" spans="1:8" ht="14.25" thickBot="1">
      <c r="A54" s="3376">
        <v>53</v>
      </c>
      <c r="B54" s="3377" t="s">
        <v>3524</v>
      </c>
      <c r="C54" s="3378" t="s">
        <v>3256</v>
      </c>
      <c r="D54" s="3378" t="s">
        <v>3264</v>
      </c>
      <c r="E54" s="3378" t="s">
        <v>3258</v>
      </c>
      <c r="F54" s="3378">
        <v>606</v>
      </c>
      <c r="G54" s="3378">
        <v>69.56</v>
      </c>
      <c r="H54" s="3377" t="s">
        <v>3055</v>
      </c>
    </row>
    <row r="55" spans="1:8" ht="14.25" thickBot="1">
      <c r="A55" s="3376">
        <v>54</v>
      </c>
      <c r="B55" s="3377" t="s">
        <v>3524</v>
      </c>
      <c r="C55" s="3378" t="s">
        <v>3256</v>
      </c>
      <c r="D55" s="3378" t="s">
        <v>3264</v>
      </c>
      <c r="E55" s="3378" t="s">
        <v>3258</v>
      </c>
      <c r="F55" s="3378">
        <v>607</v>
      </c>
      <c r="G55" s="3378">
        <v>94.74</v>
      </c>
      <c r="H55" s="3377" t="s">
        <v>3055</v>
      </c>
    </row>
    <row r="56" spans="1:8" ht="14.25" thickBot="1">
      <c r="A56" s="3376">
        <v>55</v>
      </c>
      <c r="B56" s="3377" t="s">
        <v>3524</v>
      </c>
      <c r="C56" s="3378" t="s">
        <v>3256</v>
      </c>
      <c r="D56" s="3378" t="s">
        <v>3264</v>
      </c>
      <c r="E56" s="3378" t="s">
        <v>3259</v>
      </c>
      <c r="F56" s="3378">
        <v>601</v>
      </c>
      <c r="G56" s="3378">
        <v>94.74</v>
      </c>
      <c r="H56" s="3377" t="s">
        <v>3055</v>
      </c>
    </row>
    <row r="57" spans="1:8" ht="14.25" thickBot="1">
      <c r="A57" s="3376">
        <v>56</v>
      </c>
      <c r="B57" s="3377" t="s">
        <v>3524</v>
      </c>
      <c r="C57" s="3378" t="s">
        <v>3256</v>
      </c>
      <c r="D57" s="3378" t="s">
        <v>3264</v>
      </c>
      <c r="E57" s="3378" t="s">
        <v>3259</v>
      </c>
      <c r="F57" s="3378">
        <v>602</v>
      </c>
      <c r="G57" s="3378">
        <v>69.56</v>
      </c>
      <c r="H57" s="3377" t="s">
        <v>3055</v>
      </c>
    </row>
    <row r="58" spans="1:8" ht="14.25" thickBot="1">
      <c r="A58" s="3376">
        <v>57</v>
      </c>
      <c r="B58" s="3377" t="s">
        <v>3524</v>
      </c>
      <c r="C58" s="3378" t="s">
        <v>3256</v>
      </c>
      <c r="D58" s="3378" t="s">
        <v>3264</v>
      </c>
      <c r="E58" s="3378" t="s">
        <v>3259</v>
      </c>
      <c r="F58" s="3378">
        <v>603</v>
      </c>
      <c r="G58" s="3378">
        <v>69.75</v>
      </c>
      <c r="H58" s="3377" t="s">
        <v>3055</v>
      </c>
    </row>
    <row r="59" spans="1:8" ht="14.25" thickBot="1">
      <c r="A59" s="3376">
        <v>58</v>
      </c>
      <c r="B59" s="3377" t="s">
        <v>3524</v>
      </c>
      <c r="C59" s="3378" t="s">
        <v>3256</v>
      </c>
      <c r="D59" s="3378" t="s">
        <v>3264</v>
      </c>
      <c r="E59" s="3378" t="s">
        <v>3259</v>
      </c>
      <c r="F59" s="3378">
        <v>605</v>
      </c>
      <c r="G59" s="3378">
        <v>69.75</v>
      </c>
      <c r="H59" s="3377" t="s">
        <v>3055</v>
      </c>
    </row>
    <row r="60" spans="1:8" ht="14.25" thickBot="1">
      <c r="A60" s="3376">
        <v>59</v>
      </c>
      <c r="B60" s="3377" t="s">
        <v>3524</v>
      </c>
      <c r="C60" s="3378" t="s">
        <v>3256</v>
      </c>
      <c r="D60" s="3378" t="s">
        <v>3264</v>
      </c>
      <c r="E60" s="3378" t="s">
        <v>3259</v>
      </c>
      <c r="F60" s="3378">
        <v>607</v>
      </c>
      <c r="G60" s="3378">
        <v>66.069999999999993</v>
      </c>
      <c r="H60" s="3377" t="s">
        <v>3055</v>
      </c>
    </row>
    <row r="61" spans="1:8" ht="14.25" thickBot="1">
      <c r="A61" s="3376">
        <v>60</v>
      </c>
      <c r="B61" s="3377" t="s">
        <v>3524</v>
      </c>
      <c r="C61" s="3378" t="s">
        <v>3265</v>
      </c>
      <c r="D61" s="3378" t="s">
        <v>3257</v>
      </c>
      <c r="E61" s="3378" t="s">
        <v>3258</v>
      </c>
      <c r="F61" s="3378">
        <v>101</v>
      </c>
      <c r="G61" s="3378">
        <v>67.23</v>
      </c>
      <c r="H61" s="3377" t="s">
        <v>3055</v>
      </c>
    </row>
    <row r="62" spans="1:8" ht="14.25" thickBot="1">
      <c r="A62" s="3376">
        <v>61</v>
      </c>
      <c r="B62" s="3377" t="s">
        <v>3524</v>
      </c>
      <c r="C62" s="3378" t="s">
        <v>3265</v>
      </c>
      <c r="D62" s="3378" t="s">
        <v>3257</v>
      </c>
      <c r="E62" s="3378" t="s">
        <v>3258</v>
      </c>
      <c r="F62" s="3378">
        <v>102</v>
      </c>
      <c r="G62" s="3378">
        <v>86.67</v>
      </c>
      <c r="H62" s="3377" t="s">
        <v>3055</v>
      </c>
    </row>
    <row r="63" spans="1:8" ht="14.25" thickBot="1">
      <c r="A63" s="3376">
        <v>62</v>
      </c>
      <c r="B63" s="3377" t="s">
        <v>3524</v>
      </c>
      <c r="C63" s="3378" t="s">
        <v>3265</v>
      </c>
      <c r="D63" s="3378" t="s">
        <v>3257</v>
      </c>
      <c r="E63" s="3378" t="s">
        <v>3258</v>
      </c>
      <c r="F63" s="3378">
        <v>103</v>
      </c>
      <c r="G63" s="3378">
        <v>86.67</v>
      </c>
      <c r="H63" s="3377" t="s">
        <v>3055</v>
      </c>
    </row>
    <row r="64" spans="1:8" ht="14.25" thickBot="1">
      <c r="A64" s="3376">
        <v>63</v>
      </c>
      <c r="B64" s="3377" t="s">
        <v>3524</v>
      </c>
      <c r="C64" s="3378" t="s">
        <v>3265</v>
      </c>
      <c r="D64" s="3378" t="s">
        <v>3257</v>
      </c>
      <c r="E64" s="3378" t="s">
        <v>3258</v>
      </c>
      <c r="F64" s="3378">
        <v>105</v>
      </c>
      <c r="G64" s="3378">
        <v>72.48</v>
      </c>
      <c r="H64" s="3377" t="s">
        <v>3055</v>
      </c>
    </row>
    <row r="65" spans="1:8" ht="14.25" thickBot="1">
      <c r="A65" s="3376">
        <v>64</v>
      </c>
      <c r="B65" s="3377" t="s">
        <v>3524</v>
      </c>
      <c r="C65" s="3378" t="s">
        <v>3265</v>
      </c>
      <c r="D65" s="3378" t="s">
        <v>3257</v>
      </c>
      <c r="E65" s="3378" t="s">
        <v>3259</v>
      </c>
      <c r="F65" s="3378">
        <v>101</v>
      </c>
      <c r="G65" s="3378">
        <v>97.31</v>
      </c>
      <c r="H65" s="3377" t="s">
        <v>3055</v>
      </c>
    </row>
    <row r="66" spans="1:8" ht="14.25" thickBot="1">
      <c r="A66" s="3376">
        <v>65</v>
      </c>
      <c r="B66" s="3377" t="s">
        <v>3524</v>
      </c>
      <c r="C66" s="3378" t="s">
        <v>3265</v>
      </c>
      <c r="D66" s="3378" t="s">
        <v>3257</v>
      </c>
      <c r="E66" s="3378" t="s">
        <v>3259</v>
      </c>
      <c r="F66" s="3378">
        <v>102</v>
      </c>
      <c r="G66" s="3378">
        <v>85.45</v>
      </c>
      <c r="H66" s="3377" t="s">
        <v>3055</v>
      </c>
    </row>
    <row r="67" spans="1:8" ht="14.25" thickBot="1">
      <c r="A67" s="3376">
        <v>66</v>
      </c>
      <c r="B67" s="3377" t="s">
        <v>3524</v>
      </c>
      <c r="C67" s="3378" t="s">
        <v>3265</v>
      </c>
      <c r="D67" s="3378" t="s">
        <v>3257</v>
      </c>
      <c r="E67" s="3378" t="s">
        <v>3259</v>
      </c>
      <c r="F67" s="3378">
        <v>103</v>
      </c>
      <c r="G67" s="3378">
        <v>85.45</v>
      </c>
      <c r="H67" s="3377" t="s">
        <v>3055</v>
      </c>
    </row>
    <row r="68" spans="1:8" ht="14.25" thickBot="1">
      <c r="A68" s="3376">
        <v>67</v>
      </c>
      <c r="B68" s="3377" t="s">
        <v>3524</v>
      </c>
      <c r="C68" s="3378" t="s">
        <v>3265</v>
      </c>
      <c r="D68" s="3378" t="s">
        <v>3257</v>
      </c>
      <c r="E68" s="3378" t="s">
        <v>3259</v>
      </c>
      <c r="F68" s="3378">
        <v>105</v>
      </c>
      <c r="G68" s="3378">
        <v>66.28</v>
      </c>
      <c r="H68" s="3377" t="s">
        <v>3055</v>
      </c>
    </row>
    <row r="69" spans="1:8" ht="14.25" thickBot="1">
      <c r="A69" s="3376">
        <v>68</v>
      </c>
      <c r="B69" s="3377" t="s">
        <v>3524</v>
      </c>
      <c r="C69" s="3378" t="s">
        <v>3265</v>
      </c>
      <c r="D69" s="3378" t="s">
        <v>3260</v>
      </c>
      <c r="E69" s="3378" t="s">
        <v>3258</v>
      </c>
      <c r="F69" s="3378">
        <v>202</v>
      </c>
      <c r="G69" s="3378">
        <v>86.67</v>
      </c>
      <c r="H69" s="3377" t="s">
        <v>3055</v>
      </c>
    </row>
    <row r="70" spans="1:8" ht="14.25" thickBot="1">
      <c r="A70" s="3376">
        <v>69</v>
      </c>
      <c r="B70" s="3377" t="s">
        <v>3524</v>
      </c>
      <c r="C70" s="3378" t="s">
        <v>3265</v>
      </c>
      <c r="D70" s="3378" t="s">
        <v>3260</v>
      </c>
      <c r="E70" s="3378" t="s">
        <v>3258</v>
      </c>
      <c r="F70" s="3378">
        <v>203</v>
      </c>
      <c r="G70" s="3378">
        <v>86.67</v>
      </c>
      <c r="H70" s="3377" t="s">
        <v>3055</v>
      </c>
    </row>
    <row r="71" spans="1:8" ht="14.25" thickBot="1">
      <c r="A71" s="3376">
        <v>70</v>
      </c>
      <c r="B71" s="3377" t="s">
        <v>3524</v>
      </c>
      <c r="C71" s="3378" t="s">
        <v>3265</v>
      </c>
      <c r="D71" s="3378" t="s">
        <v>3260</v>
      </c>
      <c r="E71" s="3378" t="s">
        <v>3259</v>
      </c>
      <c r="F71" s="3378">
        <v>201</v>
      </c>
      <c r="G71" s="3378">
        <v>97.31</v>
      </c>
      <c r="H71" s="3377" t="s">
        <v>3055</v>
      </c>
    </row>
    <row r="72" spans="1:8" ht="14.25" thickBot="1">
      <c r="A72" s="3376">
        <v>71</v>
      </c>
      <c r="B72" s="3377" t="s">
        <v>3524</v>
      </c>
      <c r="C72" s="3378" t="s">
        <v>3265</v>
      </c>
      <c r="D72" s="3378" t="s">
        <v>3261</v>
      </c>
      <c r="E72" s="3378" t="s">
        <v>3258</v>
      </c>
      <c r="F72" s="3378">
        <v>302</v>
      </c>
      <c r="G72" s="3378">
        <v>86.67</v>
      </c>
      <c r="H72" s="3377" t="s">
        <v>3055</v>
      </c>
    </row>
    <row r="73" spans="1:8" ht="14.25" thickBot="1">
      <c r="A73" s="3376">
        <v>72</v>
      </c>
      <c r="B73" s="3377" t="s">
        <v>3524</v>
      </c>
      <c r="C73" s="3378" t="s">
        <v>3265</v>
      </c>
      <c r="D73" s="3378" t="s">
        <v>3261</v>
      </c>
      <c r="E73" s="3378" t="s">
        <v>3258</v>
      </c>
      <c r="F73" s="3378">
        <v>305</v>
      </c>
      <c r="G73" s="3378">
        <v>72.48</v>
      </c>
      <c r="H73" s="3377" t="s">
        <v>3055</v>
      </c>
    </row>
    <row r="74" spans="1:8" ht="14.25" thickBot="1">
      <c r="A74" s="3376">
        <v>73</v>
      </c>
      <c r="B74" s="3377" t="s">
        <v>3524</v>
      </c>
      <c r="C74" s="3378" t="s">
        <v>3265</v>
      </c>
      <c r="D74" s="3378" t="s">
        <v>3262</v>
      </c>
      <c r="E74" s="3378" t="s">
        <v>3259</v>
      </c>
      <c r="F74" s="3378" t="s">
        <v>3145</v>
      </c>
      <c r="G74" s="3378">
        <v>97.31</v>
      </c>
      <c r="H74" s="3377" t="s">
        <v>3055</v>
      </c>
    </row>
    <row r="75" spans="1:8" ht="14.25" thickBot="1">
      <c r="A75" s="3376">
        <v>74</v>
      </c>
      <c r="B75" s="3377" t="s">
        <v>3524</v>
      </c>
      <c r="C75" s="3378" t="s">
        <v>3265</v>
      </c>
      <c r="D75" s="3378" t="s">
        <v>3262</v>
      </c>
      <c r="E75" s="3378" t="s">
        <v>3259</v>
      </c>
      <c r="F75" s="3378" t="s">
        <v>3148</v>
      </c>
      <c r="G75" s="3378">
        <v>66.28</v>
      </c>
      <c r="H75" s="3377" t="s">
        <v>3055</v>
      </c>
    </row>
    <row r="76" spans="1:8" ht="14.25" thickBot="1">
      <c r="A76" s="3376">
        <v>75</v>
      </c>
      <c r="B76" s="3377" t="s">
        <v>3524</v>
      </c>
      <c r="C76" s="3378" t="s">
        <v>3265</v>
      </c>
      <c r="D76" s="3378" t="s">
        <v>3263</v>
      </c>
      <c r="E76" s="3378" t="s">
        <v>3258</v>
      </c>
      <c r="F76" s="3378">
        <v>503</v>
      </c>
      <c r="G76" s="3378">
        <v>86.67</v>
      </c>
      <c r="H76" s="3377" t="s">
        <v>3055</v>
      </c>
    </row>
    <row r="77" spans="1:8" ht="14.25" thickBot="1">
      <c r="A77" s="3376">
        <v>76</v>
      </c>
      <c r="B77" s="3377" t="s">
        <v>3524</v>
      </c>
      <c r="C77" s="3378" t="s">
        <v>3265</v>
      </c>
      <c r="D77" s="3378" t="s">
        <v>3263</v>
      </c>
      <c r="E77" s="3378" t="s">
        <v>3258</v>
      </c>
      <c r="F77" s="3378">
        <v>505</v>
      </c>
      <c r="G77" s="3378">
        <v>72.48</v>
      </c>
      <c r="H77" s="3377" t="s">
        <v>3055</v>
      </c>
    </row>
    <row r="78" spans="1:8" ht="14.25" thickBot="1">
      <c r="A78" s="3376">
        <v>77</v>
      </c>
      <c r="B78" s="3377" t="s">
        <v>3524</v>
      </c>
      <c r="C78" s="3378" t="s">
        <v>3265</v>
      </c>
      <c r="D78" s="3378" t="s">
        <v>3264</v>
      </c>
      <c r="E78" s="3378" t="s">
        <v>3258</v>
      </c>
      <c r="F78" s="3378">
        <v>602</v>
      </c>
      <c r="G78" s="3378">
        <v>86.67</v>
      </c>
      <c r="H78" s="3377" t="s">
        <v>3055</v>
      </c>
    </row>
    <row r="79" spans="1:8" ht="14.25" thickBot="1">
      <c r="A79" s="3376">
        <v>78</v>
      </c>
      <c r="B79" s="3377" t="s">
        <v>3524</v>
      </c>
      <c r="C79" s="3378" t="s">
        <v>3265</v>
      </c>
      <c r="D79" s="3378" t="s">
        <v>3264</v>
      </c>
      <c r="E79" s="3378" t="s">
        <v>3259</v>
      </c>
      <c r="F79" s="3378">
        <v>601</v>
      </c>
      <c r="G79" s="3378">
        <v>97.31</v>
      </c>
      <c r="H79" s="3377" t="s">
        <v>3055</v>
      </c>
    </row>
    <row r="80" spans="1:8" ht="14.25" thickBot="1">
      <c r="A80" s="3376">
        <v>79</v>
      </c>
      <c r="B80" s="3377" t="s">
        <v>3525</v>
      </c>
      <c r="C80" s="3378" t="s">
        <v>3266</v>
      </c>
      <c r="D80" s="3379" t="s">
        <v>3257</v>
      </c>
      <c r="E80" s="3378" t="s">
        <v>3259</v>
      </c>
      <c r="F80" s="3379">
        <v>101</v>
      </c>
      <c r="G80" s="3378">
        <v>97.04</v>
      </c>
      <c r="H80" s="3377" t="s">
        <v>3055</v>
      </c>
    </row>
    <row r="81" spans="1:8" ht="14.25" thickBot="1">
      <c r="A81" s="3376">
        <v>80</v>
      </c>
      <c r="B81" s="3377" t="s">
        <v>3525</v>
      </c>
      <c r="C81" s="3378" t="s">
        <v>3266</v>
      </c>
      <c r="D81" s="3379" t="s">
        <v>3257</v>
      </c>
      <c r="E81" s="3378" t="s">
        <v>3259</v>
      </c>
      <c r="F81" s="3379">
        <v>102</v>
      </c>
      <c r="G81" s="3378">
        <v>86.49</v>
      </c>
      <c r="H81" s="3377" t="s">
        <v>3055</v>
      </c>
    </row>
    <row r="82" spans="1:8" ht="14.25" thickBot="1">
      <c r="A82" s="3376">
        <v>81</v>
      </c>
      <c r="B82" s="3377" t="s">
        <v>3525</v>
      </c>
      <c r="C82" s="3378" t="s">
        <v>3266</v>
      </c>
      <c r="D82" s="3379" t="s">
        <v>3257</v>
      </c>
      <c r="E82" s="3378" t="s">
        <v>3259</v>
      </c>
      <c r="F82" s="3379">
        <v>103</v>
      </c>
      <c r="G82" s="3378">
        <v>86.49</v>
      </c>
      <c r="H82" s="3377" t="s">
        <v>3055</v>
      </c>
    </row>
    <row r="83" spans="1:8" ht="14.25" thickBot="1">
      <c r="A83" s="3376">
        <v>82</v>
      </c>
      <c r="B83" s="3377" t="s">
        <v>3525</v>
      </c>
      <c r="C83" s="3378" t="s">
        <v>3266</v>
      </c>
      <c r="D83" s="3379" t="s">
        <v>3257</v>
      </c>
      <c r="E83" s="3378" t="s">
        <v>3259</v>
      </c>
      <c r="F83" s="3379">
        <v>105</v>
      </c>
      <c r="G83" s="3378">
        <v>66.540000000000006</v>
      </c>
      <c r="H83" s="3377" t="s">
        <v>3055</v>
      </c>
    </row>
    <row r="84" spans="1:8" ht="14.25" thickBot="1">
      <c r="A84" s="3376">
        <v>83</v>
      </c>
      <c r="B84" s="3377" t="s">
        <v>3525</v>
      </c>
      <c r="C84" s="3378" t="s">
        <v>3266</v>
      </c>
      <c r="D84" s="3379" t="s">
        <v>3257</v>
      </c>
      <c r="E84" s="3378" t="s">
        <v>3258</v>
      </c>
      <c r="F84" s="3379">
        <v>106</v>
      </c>
      <c r="G84" s="3378">
        <v>67.47</v>
      </c>
      <c r="H84" s="3377" t="s">
        <v>3055</v>
      </c>
    </row>
    <row r="85" spans="1:8" ht="14.25" thickBot="1">
      <c r="A85" s="3376">
        <v>84</v>
      </c>
      <c r="B85" s="3377" t="s">
        <v>3525</v>
      </c>
      <c r="C85" s="3378" t="s">
        <v>3266</v>
      </c>
      <c r="D85" s="3379" t="s">
        <v>3257</v>
      </c>
      <c r="E85" s="3378" t="s">
        <v>3258</v>
      </c>
      <c r="F85" s="3379">
        <v>107</v>
      </c>
      <c r="G85" s="3378">
        <v>87.71</v>
      </c>
      <c r="H85" s="3377" t="s">
        <v>3055</v>
      </c>
    </row>
    <row r="86" spans="1:8" ht="14.25" thickBot="1">
      <c r="A86" s="3376">
        <v>85</v>
      </c>
      <c r="B86" s="3377" t="s">
        <v>3525</v>
      </c>
      <c r="C86" s="3378" t="s">
        <v>3266</v>
      </c>
      <c r="D86" s="3379" t="s">
        <v>3257</v>
      </c>
      <c r="E86" s="3378" t="s">
        <v>3258</v>
      </c>
      <c r="F86" s="3379">
        <v>108</v>
      </c>
      <c r="G86" s="3378">
        <v>87.71</v>
      </c>
      <c r="H86" s="3377" t="s">
        <v>3055</v>
      </c>
    </row>
    <row r="87" spans="1:8" ht="14.25" thickBot="1">
      <c r="A87" s="3376">
        <v>86</v>
      </c>
      <c r="B87" s="3377" t="s">
        <v>3525</v>
      </c>
      <c r="C87" s="3378" t="s">
        <v>3266</v>
      </c>
      <c r="D87" s="3379" t="s">
        <v>3257</v>
      </c>
      <c r="E87" s="3378" t="s">
        <v>3258</v>
      </c>
      <c r="F87" s="3379">
        <v>109</v>
      </c>
      <c r="G87" s="3378">
        <v>72.27</v>
      </c>
      <c r="H87" s="3377" t="s">
        <v>3055</v>
      </c>
    </row>
    <row r="88" spans="1:8" ht="14.25" thickBot="1">
      <c r="A88" s="3376">
        <v>87</v>
      </c>
      <c r="B88" s="3377" t="s">
        <v>3525</v>
      </c>
      <c r="C88" s="3378" t="s">
        <v>3266</v>
      </c>
      <c r="D88" s="3379" t="s">
        <v>3260</v>
      </c>
      <c r="E88" s="3378" t="s">
        <v>3259</v>
      </c>
      <c r="F88" s="3379">
        <v>201</v>
      </c>
      <c r="G88" s="3378">
        <v>97.04</v>
      </c>
      <c r="H88" s="3377" t="s">
        <v>3055</v>
      </c>
    </row>
    <row r="89" spans="1:8" ht="14.25" thickBot="1">
      <c r="A89" s="3376">
        <v>88</v>
      </c>
      <c r="B89" s="3377" t="s">
        <v>3525</v>
      </c>
      <c r="C89" s="3378" t="s">
        <v>3266</v>
      </c>
      <c r="D89" s="3379" t="s">
        <v>3260</v>
      </c>
      <c r="E89" s="3378" t="s">
        <v>3259</v>
      </c>
      <c r="F89" s="3379">
        <v>202</v>
      </c>
      <c r="G89" s="3378">
        <v>86.49</v>
      </c>
      <c r="H89" s="3377" t="s">
        <v>3055</v>
      </c>
    </row>
    <row r="90" spans="1:8" ht="14.25" thickBot="1">
      <c r="A90" s="3376">
        <v>89</v>
      </c>
      <c r="B90" s="3377" t="s">
        <v>3525</v>
      </c>
      <c r="C90" s="3378" t="s">
        <v>3266</v>
      </c>
      <c r="D90" s="3379" t="s">
        <v>3260</v>
      </c>
      <c r="E90" s="3378" t="s">
        <v>3259</v>
      </c>
      <c r="F90" s="3379">
        <v>203</v>
      </c>
      <c r="G90" s="3378">
        <v>86.49</v>
      </c>
      <c r="H90" s="3377" t="s">
        <v>3055</v>
      </c>
    </row>
    <row r="91" spans="1:8" ht="14.25" thickBot="1">
      <c r="A91" s="3376">
        <v>90</v>
      </c>
      <c r="B91" s="3377" t="s">
        <v>3525</v>
      </c>
      <c r="C91" s="3378" t="s">
        <v>3266</v>
      </c>
      <c r="D91" s="3379" t="s">
        <v>3260</v>
      </c>
      <c r="E91" s="3378" t="s">
        <v>3259</v>
      </c>
      <c r="F91" s="3379">
        <v>205</v>
      </c>
      <c r="G91" s="3378">
        <v>66.540000000000006</v>
      </c>
      <c r="H91" s="3377" t="s">
        <v>3055</v>
      </c>
    </row>
    <row r="92" spans="1:8" ht="14.25" thickBot="1">
      <c r="A92" s="3376">
        <v>91</v>
      </c>
      <c r="B92" s="3377" t="s">
        <v>3525</v>
      </c>
      <c r="C92" s="3378" t="s">
        <v>3266</v>
      </c>
      <c r="D92" s="3379" t="s">
        <v>3260</v>
      </c>
      <c r="E92" s="3378" t="s">
        <v>3258</v>
      </c>
      <c r="F92" s="3379">
        <v>206</v>
      </c>
      <c r="G92" s="3378">
        <v>67.47</v>
      </c>
      <c r="H92" s="3377" t="s">
        <v>3055</v>
      </c>
    </row>
    <row r="93" spans="1:8" ht="14.25" thickBot="1">
      <c r="A93" s="3376">
        <v>92</v>
      </c>
      <c r="B93" s="3377" t="s">
        <v>3525</v>
      </c>
      <c r="C93" s="3378" t="s">
        <v>3266</v>
      </c>
      <c r="D93" s="3379" t="s">
        <v>3260</v>
      </c>
      <c r="E93" s="3378" t="s">
        <v>3258</v>
      </c>
      <c r="F93" s="3379">
        <v>207</v>
      </c>
      <c r="G93" s="3378">
        <v>87.71</v>
      </c>
      <c r="H93" s="3377" t="s">
        <v>3055</v>
      </c>
    </row>
    <row r="94" spans="1:8" ht="14.25" thickBot="1">
      <c r="A94" s="3376">
        <v>93</v>
      </c>
      <c r="B94" s="3377" t="s">
        <v>3525</v>
      </c>
      <c r="C94" s="3378" t="s">
        <v>3266</v>
      </c>
      <c r="D94" s="3379" t="s">
        <v>3260</v>
      </c>
      <c r="E94" s="3378" t="s">
        <v>3258</v>
      </c>
      <c r="F94" s="3379">
        <v>208</v>
      </c>
      <c r="G94" s="3378">
        <v>87.71</v>
      </c>
      <c r="H94" s="3377" t="s">
        <v>3055</v>
      </c>
    </row>
    <row r="95" spans="1:8" ht="14.25" thickBot="1">
      <c r="A95" s="3376">
        <v>94</v>
      </c>
      <c r="B95" s="3377" t="s">
        <v>3525</v>
      </c>
      <c r="C95" s="3378" t="s">
        <v>3266</v>
      </c>
      <c r="D95" s="3379" t="s">
        <v>3260</v>
      </c>
      <c r="E95" s="3378" t="s">
        <v>3258</v>
      </c>
      <c r="F95" s="3379">
        <v>209</v>
      </c>
      <c r="G95" s="3378">
        <v>72.27</v>
      </c>
      <c r="H95" s="3377" t="s">
        <v>3055</v>
      </c>
    </row>
    <row r="96" spans="1:8" ht="14.25" thickBot="1">
      <c r="A96" s="3376">
        <v>95</v>
      </c>
      <c r="B96" s="3377" t="s">
        <v>3525</v>
      </c>
      <c r="C96" s="3378" t="s">
        <v>3266</v>
      </c>
      <c r="D96" s="3379" t="s">
        <v>3261</v>
      </c>
      <c r="E96" s="3378" t="s">
        <v>3259</v>
      </c>
      <c r="F96" s="3379">
        <v>301</v>
      </c>
      <c r="G96" s="3378">
        <v>97.04</v>
      </c>
      <c r="H96" s="3377" t="s">
        <v>3055</v>
      </c>
    </row>
    <row r="97" spans="1:8" ht="14.25" thickBot="1">
      <c r="A97" s="3376">
        <v>96</v>
      </c>
      <c r="B97" s="3377" t="s">
        <v>3525</v>
      </c>
      <c r="C97" s="3378" t="s">
        <v>3266</v>
      </c>
      <c r="D97" s="3379" t="s">
        <v>3261</v>
      </c>
      <c r="E97" s="3378" t="s">
        <v>3259</v>
      </c>
      <c r="F97" s="3379">
        <v>302</v>
      </c>
      <c r="G97" s="3378">
        <v>86.49</v>
      </c>
      <c r="H97" s="3377" t="s">
        <v>3055</v>
      </c>
    </row>
    <row r="98" spans="1:8" ht="14.25" thickBot="1">
      <c r="A98" s="3376">
        <v>97</v>
      </c>
      <c r="B98" s="3377" t="s">
        <v>3525</v>
      </c>
      <c r="C98" s="3378" t="s">
        <v>3266</v>
      </c>
      <c r="D98" s="3379" t="s">
        <v>3261</v>
      </c>
      <c r="E98" s="3378" t="s">
        <v>3259</v>
      </c>
      <c r="F98" s="3379">
        <v>303</v>
      </c>
      <c r="G98" s="3378">
        <v>86.49</v>
      </c>
      <c r="H98" s="3377" t="s">
        <v>3055</v>
      </c>
    </row>
    <row r="99" spans="1:8" ht="14.25" thickBot="1">
      <c r="A99" s="3376">
        <v>98</v>
      </c>
      <c r="B99" s="3377" t="s">
        <v>3525</v>
      </c>
      <c r="C99" s="3378" t="s">
        <v>3266</v>
      </c>
      <c r="D99" s="3379" t="s">
        <v>3261</v>
      </c>
      <c r="E99" s="3378" t="s">
        <v>3259</v>
      </c>
      <c r="F99" s="3379">
        <v>305</v>
      </c>
      <c r="G99" s="3378">
        <v>66.540000000000006</v>
      </c>
      <c r="H99" s="3377" t="s">
        <v>3055</v>
      </c>
    </row>
    <row r="100" spans="1:8" ht="14.25" thickBot="1">
      <c r="A100" s="3376">
        <v>99</v>
      </c>
      <c r="B100" s="3377" t="s">
        <v>3525</v>
      </c>
      <c r="C100" s="3378" t="s">
        <v>3266</v>
      </c>
      <c r="D100" s="3379" t="s">
        <v>3261</v>
      </c>
      <c r="E100" s="3378" t="s">
        <v>3258</v>
      </c>
      <c r="F100" s="3379">
        <v>306</v>
      </c>
      <c r="G100" s="3378">
        <v>67.47</v>
      </c>
      <c r="H100" s="3377" t="s">
        <v>3055</v>
      </c>
    </row>
    <row r="101" spans="1:8" ht="14.25" thickBot="1">
      <c r="A101" s="3376">
        <v>100</v>
      </c>
      <c r="B101" s="3377" t="s">
        <v>3525</v>
      </c>
      <c r="C101" s="3378" t="s">
        <v>3266</v>
      </c>
      <c r="D101" s="3379" t="s">
        <v>3261</v>
      </c>
      <c r="E101" s="3378" t="s">
        <v>3258</v>
      </c>
      <c r="F101" s="3379">
        <v>307</v>
      </c>
      <c r="G101" s="3378">
        <v>87.71</v>
      </c>
      <c r="H101" s="3377" t="s">
        <v>3055</v>
      </c>
    </row>
    <row r="102" spans="1:8" ht="14.25" thickBot="1">
      <c r="A102" s="3376">
        <v>101</v>
      </c>
      <c r="B102" s="3377" t="s">
        <v>3525</v>
      </c>
      <c r="C102" s="3378" t="s">
        <v>3266</v>
      </c>
      <c r="D102" s="3379" t="s">
        <v>3261</v>
      </c>
      <c r="E102" s="3378" t="s">
        <v>3258</v>
      </c>
      <c r="F102" s="3379">
        <v>308</v>
      </c>
      <c r="G102" s="3378">
        <v>87.71</v>
      </c>
      <c r="H102" s="3377" t="s">
        <v>3055</v>
      </c>
    </row>
    <row r="103" spans="1:8" ht="14.25" thickBot="1">
      <c r="A103" s="3376">
        <v>102</v>
      </c>
      <c r="B103" s="3377" t="s">
        <v>3525</v>
      </c>
      <c r="C103" s="3378" t="s">
        <v>3266</v>
      </c>
      <c r="D103" s="3379" t="s">
        <v>3261</v>
      </c>
      <c r="E103" s="3378" t="s">
        <v>3258</v>
      </c>
      <c r="F103" s="3379">
        <v>309</v>
      </c>
      <c r="G103" s="3378">
        <v>72.27</v>
      </c>
      <c r="H103" s="3377" t="s">
        <v>3055</v>
      </c>
    </row>
    <row r="104" spans="1:8" ht="14.25" thickBot="1">
      <c r="A104" s="3376">
        <v>103</v>
      </c>
      <c r="B104" s="3377" t="s">
        <v>3525</v>
      </c>
      <c r="C104" s="3378" t="s">
        <v>3266</v>
      </c>
      <c r="D104" s="3379" t="s">
        <v>3262</v>
      </c>
      <c r="E104" s="3378" t="s">
        <v>3259</v>
      </c>
      <c r="F104" s="3379" t="s">
        <v>3145</v>
      </c>
      <c r="G104" s="3378">
        <v>97.04</v>
      </c>
      <c r="H104" s="3377" t="s">
        <v>3055</v>
      </c>
    </row>
    <row r="105" spans="1:8" ht="14.25" thickBot="1">
      <c r="A105" s="3376">
        <v>104</v>
      </c>
      <c r="B105" s="3377" t="s">
        <v>3525</v>
      </c>
      <c r="C105" s="3378" t="s">
        <v>3266</v>
      </c>
      <c r="D105" s="3379" t="s">
        <v>3262</v>
      </c>
      <c r="E105" s="3378" t="s">
        <v>3259</v>
      </c>
      <c r="F105" s="3379" t="s">
        <v>3146</v>
      </c>
      <c r="G105" s="3378">
        <v>86.49</v>
      </c>
      <c r="H105" s="3377" t="s">
        <v>3055</v>
      </c>
    </row>
    <row r="106" spans="1:8" ht="14.25" thickBot="1">
      <c r="A106" s="3376">
        <v>105</v>
      </c>
      <c r="B106" s="3377" t="s">
        <v>3525</v>
      </c>
      <c r="C106" s="3378" t="s">
        <v>3266</v>
      </c>
      <c r="D106" s="3379" t="s">
        <v>3262</v>
      </c>
      <c r="E106" s="3378" t="s">
        <v>3259</v>
      </c>
      <c r="F106" s="3379" t="s">
        <v>3147</v>
      </c>
      <c r="G106" s="3378">
        <v>86.49</v>
      </c>
      <c r="H106" s="3377" t="s">
        <v>3055</v>
      </c>
    </row>
    <row r="107" spans="1:8" ht="14.25" thickBot="1">
      <c r="A107" s="3376">
        <v>106</v>
      </c>
      <c r="B107" s="3377" t="s">
        <v>3525</v>
      </c>
      <c r="C107" s="3378" t="s">
        <v>3266</v>
      </c>
      <c r="D107" s="3379" t="s">
        <v>3262</v>
      </c>
      <c r="E107" s="3378" t="s">
        <v>3259</v>
      </c>
      <c r="F107" s="3379" t="s">
        <v>3148</v>
      </c>
      <c r="G107" s="3378">
        <v>66.540000000000006</v>
      </c>
      <c r="H107" s="3377" t="s">
        <v>3055</v>
      </c>
    </row>
    <row r="108" spans="1:8" ht="14.25" thickBot="1">
      <c r="A108" s="3376">
        <v>107</v>
      </c>
      <c r="B108" s="3377" t="s">
        <v>3525</v>
      </c>
      <c r="C108" s="3378" t="s">
        <v>3266</v>
      </c>
      <c r="D108" s="3379" t="s">
        <v>3262</v>
      </c>
      <c r="E108" s="3378" t="s">
        <v>3258</v>
      </c>
      <c r="F108" s="3379" t="s">
        <v>3149</v>
      </c>
      <c r="G108" s="3378">
        <v>67.47</v>
      </c>
      <c r="H108" s="3377" t="s">
        <v>3055</v>
      </c>
    </row>
    <row r="109" spans="1:8" ht="14.25" thickBot="1">
      <c r="A109" s="3376">
        <v>108</v>
      </c>
      <c r="B109" s="3377" t="s">
        <v>3525</v>
      </c>
      <c r="C109" s="3378" t="s">
        <v>3266</v>
      </c>
      <c r="D109" s="3379" t="s">
        <v>3262</v>
      </c>
      <c r="E109" s="3378" t="s">
        <v>3258</v>
      </c>
      <c r="F109" s="3379" t="s">
        <v>3150</v>
      </c>
      <c r="G109" s="3378">
        <v>87.71</v>
      </c>
      <c r="H109" s="3377" t="s">
        <v>3055</v>
      </c>
    </row>
    <row r="110" spans="1:8" ht="14.25" thickBot="1">
      <c r="A110" s="3376">
        <v>109</v>
      </c>
      <c r="B110" s="3377" t="s">
        <v>3525</v>
      </c>
      <c r="C110" s="3378" t="s">
        <v>3266</v>
      </c>
      <c r="D110" s="3379" t="s">
        <v>3262</v>
      </c>
      <c r="E110" s="3378" t="s">
        <v>3258</v>
      </c>
      <c r="F110" s="3379" t="s">
        <v>3151</v>
      </c>
      <c r="G110" s="3378">
        <v>87.71</v>
      </c>
      <c r="H110" s="3377" t="s">
        <v>3055</v>
      </c>
    </row>
    <row r="111" spans="1:8" ht="14.25" thickBot="1">
      <c r="A111" s="3376">
        <v>110</v>
      </c>
      <c r="B111" s="3377" t="s">
        <v>3525</v>
      </c>
      <c r="C111" s="3378" t="s">
        <v>3266</v>
      </c>
      <c r="D111" s="3379" t="s">
        <v>3262</v>
      </c>
      <c r="E111" s="3378" t="s">
        <v>3258</v>
      </c>
      <c r="F111" s="3379" t="s">
        <v>3163</v>
      </c>
      <c r="G111" s="3378">
        <v>72.27</v>
      </c>
      <c r="H111" s="3377" t="s">
        <v>3055</v>
      </c>
    </row>
    <row r="112" spans="1:8" ht="14.25" thickBot="1">
      <c r="A112" s="3376">
        <v>111</v>
      </c>
      <c r="B112" s="3377" t="s">
        <v>3525</v>
      </c>
      <c r="C112" s="3378" t="s">
        <v>3266</v>
      </c>
      <c r="D112" s="3379" t="s">
        <v>3263</v>
      </c>
      <c r="E112" s="3378" t="s">
        <v>3259</v>
      </c>
      <c r="F112" s="3379">
        <v>501</v>
      </c>
      <c r="G112" s="3378">
        <v>97.04</v>
      </c>
      <c r="H112" s="3377" t="s">
        <v>3055</v>
      </c>
    </row>
    <row r="113" spans="1:8" ht="14.25" thickBot="1">
      <c r="A113" s="3376">
        <v>112</v>
      </c>
      <c r="B113" s="3377" t="s">
        <v>3525</v>
      </c>
      <c r="C113" s="3378" t="s">
        <v>3266</v>
      </c>
      <c r="D113" s="3379" t="s">
        <v>3263</v>
      </c>
      <c r="E113" s="3378" t="s">
        <v>3259</v>
      </c>
      <c r="F113" s="3379">
        <v>502</v>
      </c>
      <c r="G113" s="3378">
        <v>86.49</v>
      </c>
      <c r="H113" s="3377" t="s">
        <v>3055</v>
      </c>
    </row>
    <row r="114" spans="1:8" ht="14.25" thickBot="1">
      <c r="A114" s="3376">
        <v>113</v>
      </c>
      <c r="B114" s="3377" t="s">
        <v>3525</v>
      </c>
      <c r="C114" s="3378" t="s">
        <v>3266</v>
      </c>
      <c r="D114" s="3379" t="s">
        <v>3263</v>
      </c>
      <c r="E114" s="3378" t="s">
        <v>3259</v>
      </c>
      <c r="F114" s="3379">
        <v>503</v>
      </c>
      <c r="G114" s="3378">
        <v>86.49</v>
      </c>
      <c r="H114" s="3377" t="s">
        <v>3055</v>
      </c>
    </row>
    <row r="115" spans="1:8" ht="14.25" thickBot="1">
      <c r="A115" s="3376">
        <v>114</v>
      </c>
      <c r="B115" s="3377" t="s">
        <v>3525</v>
      </c>
      <c r="C115" s="3378" t="s">
        <v>3266</v>
      </c>
      <c r="D115" s="3379" t="s">
        <v>3263</v>
      </c>
      <c r="E115" s="3378" t="s">
        <v>3259</v>
      </c>
      <c r="F115" s="3379">
        <v>505</v>
      </c>
      <c r="G115" s="3378">
        <v>66.540000000000006</v>
      </c>
      <c r="H115" s="3377" t="s">
        <v>3055</v>
      </c>
    </row>
    <row r="116" spans="1:8" ht="14.25" thickBot="1">
      <c r="A116" s="3376">
        <v>115</v>
      </c>
      <c r="B116" s="3377" t="s">
        <v>3525</v>
      </c>
      <c r="C116" s="3378" t="s">
        <v>3266</v>
      </c>
      <c r="D116" s="3379" t="s">
        <v>3263</v>
      </c>
      <c r="E116" s="3378" t="s">
        <v>3258</v>
      </c>
      <c r="F116" s="3379">
        <v>506</v>
      </c>
      <c r="G116" s="3378">
        <v>67.47</v>
      </c>
      <c r="H116" s="3377" t="s">
        <v>3055</v>
      </c>
    </row>
    <row r="117" spans="1:8" ht="14.25" thickBot="1">
      <c r="A117" s="3376">
        <v>116</v>
      </c>
      <c r="B117" s="3377" t="s">
        <v>3525</v>
      </c>
      <c r="C117" s="3378" t="s">
        <v>3266</v>
      </c>
      <c r="D117" s="3379" t="s">
        <v>3263</v>
      </c>
      <c r="E117" s="3378" t="s">
        <v>3258</v>
      </c>
      <c r="F117" s="3379">
        <v>507</v>
      </c>
      <c r="G117" s="3378">
        <v>87.71</v>
      </c>
      <c r="H117" s="3377" t="s">
        <v>3055</v>
      </c>
    </row>
    <row r="118" spans="1:8" ht="14.25" thickBot="1">
      <c r="A118" s="3376">
        <v>117</v>
      </c>
      <c r="B118" s="3377" t="s">
        <v>3525</v>
      </c>
      <c r="C118" s="3378" t="s">
        <v>3266</v>
      </c>
      <c r="D118" s="3379" t="s">
        <v>3263</v>
      </c>
      <c r="E118" s="3378" t="s">
        <v>3258</v>
      </c>
      <c r="F118" s="3379">
        <v>508</v>
      </c>
      <c r="G118" s="3378">
        <v>87.71</v>
      </c>
      <c r="H118" s="3377" t="s">
        <v>3055</v>
      </c>
    </row>
    <row r="119" spans="1:8" ht="14.25" thickBot="1">
      <c r="A119" s="3376">
        <v>118</v>
      </c>
      <c r="B119" s="3377" t="s">
        <v>3525</v>
      </c>
      <c r="C119" s="3378" t="s">
        <v>3266</v>
      </c>
      <c r="D119" s="3379" t="s">
        <v>3263</v>
      </c>
      <c r="E119" s="3378" t="s">
        <v>3258</v>
      </c>
      <c r="F119" s="3379">
        <v>509</v>
      </c>
      <c r="G119" s="3378">
        <v>72.27</v>
      </c>
      <c r="H119" s="3377" t="s">
        <v>3055</v>
      </c>
    </row>
    <row r="120" spans="1:8" ht="14.25" thickBot="1">
      <c r="A120" s="3376">
        <v>119</v>
      </c>
      <c r="B120" s="3377" t="s">
        <v>3525</v>
      </c>
      <c r="C120" s="3378" t="s">
        <v>3266</v>
      </c>
      <c r="D120" s="3379" t="s">
        <v>3264</v>
      </c>
      <c r="E120" s="3378" t="s">
        <v>3259</v>
      </c>
      <c r="F120" s="3379">
        <v>601</v>
      </c>
      <c r="G120" s="3378">
        <v>97.04</v>
      </c>
      <c r="H120" s="3377" t="s">
        <v>3055</v>
      </c>
    </row>
    <row r="121" spans="1:8" ht="14.25" thickBot="1">
      <c r="A121" s="3376">
        <v>120</v>
      </c>
      <c r="B121" s="3377" t="s">
        <v>3525</v>
      </c>
      <c r="C121" s="3378" t="s">
        <v>3266</v>
      </c>
      <c r="D121" s="3379" t="s">
        <v>3264</v>
      </c>
      <c r="E121" s="3378" t="s">
        <v>3259</v>
      </c>
      <c r="F121" s="3379">
        <v>602</v>
      </c>
      <c r="G121" s="3378">
        <v>86.49</v>
      </c>
      <c r="H121" s="3377" t="s">
        <v>3055</v>
      </c>
    </row>
    <row r="122" spans="1:8" ht="14.25" thickBot="1">
      <c r="A122" s="3376">
        <v>121</v>
      </c>
      <c r="B122" s="3377" t="s">
        <v>3525</v>
      </c>
      <c r="C122" s="3378" t="s">
        <v>3266</v>
      </c>
      <c r="D122" s="3379" t="s">
        <v>3264</v>
      </c>
      <c r="E122" s="3378" t="s">
        <v>3259</v>
      </c>
      <c r="F122" s="3379">
        <v>603</v>
      </c>
      <c r="G122" s="3378">
        <v>86.49</v>
      </c>
      <c r="H122" s="3377" t="s">
        <v>3055</v>
      </c>
    </row>
    <row r="123" spans="1:8" ht="14.25" thickBot="1">
      <c r="A123" s="3376">
        <v>122</v>
      </c>
      <c r="B123" s="3377" t="s">
        <v>3525</v>
      </c>
      <c r="C123" s="3378" t="s">
        <v>3266</v>
      </c>
      <c r="D123" s="3379" t="s">
        <v>3264</v>
      </c>
      <c r="E123" s="3378" t="s">
        <v>3259</v>
      </c>
      <c r="F123" s="3379">
        <v>605</v>
      </c>
      <c r="G123" s="3378">
        <v>66.540000000000006</v>
      </c>
      <c r="H123" s="3377" t="s">
        <v>3055</v>
      </c>
    </row>
    <row r="124" spans="1:8" ht="14.25" thickBot="1">
      <c r="A124" s="3376">
        <v>123</v>
      </c>
      <c r="B124" s="3377" t="s">
        <v>3525</v>
      </c>
      <c r="C124" s="3378" t="s">
        <v>3266</v>
      </c>
      <c r="D124" s="3379" t="s">
        <v>3264</v>
      </c>
      <c r="E124" s="3378" t="s">
        <v>3258</v>
      </c>
      <c r="F124" s="3379">
        <v>606</v>
      </c>
      <c r="G124" s="3378">
        <v>67.47</v>
      </c>
      <c r="H124" s="3377" t="s">
        <v>3055</v>
      </c>
    </row>
    <row r="125" spans="1:8" ht="14.25" thickBot="1">
      <c r="A125" s="3376">
        <v>124</v>
      </c>
      <c r="B125" s="3377" t="s">
        <v>3525</v>
      </c>
      <c r="C125" s="3378" t="s">
        <v>3266</v>
      </c>
      <c r="D125" s="3379" t="s">
        <v>3264</v>
      </c>
      <c r="E125" s="3378" t="s">
        <v>3258</v>
      </c>
      <c r="F125" s="3379">
        <v>607</v>
      </c>
      <c r="G125" s="3378">
        <v>87.71</v>
      </c>
      <c r="H125" s="3377" t="s">
        <v>3055</v>
      </c>
    </row>
    <row r="126" spans="1:8" ht="14.25" thickBot="1">
      <c r="A126" s="3376">
        <v>125</v>
      </c>
      <c r="B126" s="3377" t="s">
        <v>3525</v>
      </c>
      <c r="C126" s="3378" t="s">
        <v>3266</v>
      </c>
      <c r="D126" s="3379" t="s">
        <v>3264</v>
      </c>
      <c r="E126" s="3378" t="s">
        <v>3258</v>
      </c>
      <c r="F126" s="3379">
        <v>608</v>
      </c>
      <c r="G126" s="3378">
        <v>87.71</v>
      </c>
      <c r="H126" s="3377" t="s">
        <v>3055</v>
      </c>
    </row>
    <row r="127" spans="1:8" ht="14.25" thickBot="1">
      <c r="A127" s="3376">
        <v>126</v>
      </c>
      <c r="B127" s="3377" t="s">
        <v>3525</v>
      </c>
      <c r="C127" s="3378" t="s">
        <v>3266</v>
      </c>
      <c r="D127" s="3379" t="s">
        <v>3264</v>
      </c>
      <c r="E127" s="3378" t="s">
        <v>3258</v>
      </c>
      <c r="F127" s="3379">
        <v>609</v>
      </c>
      <c r="G127" s="3378">
        <v>72.27</v>
      </c>
      <c r="H127" s="3377" t="s">
        <v>3055</v>
      </c>
    </row>
    <row r="128" spans="1:8" ht="14.25" thickBot="1">
      <c r="A128" s="3376">
        <v>127</v>
      </c>
      <c r="B128" s="3377" t="s">
        <v>3525</v>
      </c>
      <c r="C128" s="3378" t="s">
        <v>3267</v>
      </c>
      <c r="D128" s="3379" t="s">
        <v>3261</v>
      </c>
      <c r="E128" s="3378" t="s">
        <v>3259</v>
      </c>
      <c r="F128" s="3379">
        <v>301</v>
      </c>
      <c r="G128" s="3378">
        <v>99.02</v>
      </c>
      <c r="H128" s="3377" t="s">
        <v>3055</v>
      </c>
    </row>
    <row r="129" spans="1:8" ht="14.25" thickBot="1">
      <c r="A129" s="3376">
        <v>128</v>
      </c>
      <c r="B129" s="3377" t="s">
        <v>3525</v>
      </c>
      <c r="C129" s="3378" t="s">
        <v>3267</v>
      </c>
      <c r="D129" s="3379" t="s">
        <v>3261</v>
      </c>
      <c r="E129" s="3378" t="s">
        <v>3259</v>
      </c>
      <c r="F129" s="3379">
        <v>302</v>
      </c>
      <c r="G129" s="3378">
        <v>72.72</v>
      </c>
      <c r="H129" s="3377" t="s">
        <v>3055</v>
      </c>
    </row>
    <row r="130" spans="1:8" ht="14.25" thickBot="1">
      <c r="A130" s="3376">
        <v>129</v>
      </c>
      <c r="B130" s="3377" t="s">
        <v>3525</v>
      </c>
      <c r="C130" s="3378" t="s">
        <v>3267</v>
      </c>
      <c r="D130" s="3379" t="s">
        <v>3261</v>
      </c>
      <c r="E130" s="3378" t="s">
        <v>3259</v>
      </c>
      <c r="F130" s="3379">
        <v>303</v>
      </c>
      <c r="G130" s="3378">
        <v>72.760000000000005</v>
      </c>
      <c r="H130" s="3377" t="s">
        <v>3055</v>
      </c>
    </row>
    <row r="131" spans="1:8" ht="14.25" thickBot="1">
      <c r="A131" s="3376">
        <v>130</v>
      </c>
      <c r="B131" s="3377" t="s">
        <v>3525</v>
      </c>
      <c r="C131" s="3378" t="s">
        <v>3267</v>
      </c>
      <c r="D131" s="3379" t="s">
        <v>3261</v>
      </c>
      <c r="E131" s="3378" t="s">
        <v>3259</v>
      </c>
      <c r="F131" s="3379">
        <v>305</v>
      </c>
      <c r="G131" s="3378">
        <v>72.760000000000005</v>
      </c>
      <c r="H131" s="3377" t="s">
        <v>3055</v>
      </c>
    </row>
    <row r="132" spans="1:8" ht="14.25" thickBot="1">
      <c r="A132" s="3376">
        <v>131</v>
      </c>
      <c r="B132" s="3377" t="s">
        <v>3525</v>
      </c>
      <c r="C132" s="3378" t="s">
        <v>3267</v>
      </c>
      <c r="D132" s="3379" t="s">
        <v>3261</v>
      </c>
      <c r="E132" s="3378" t="s">
        <v>3259</v>
      </c>
      <c r="F132" s="3379">
        <v>306</v>
      </c>
      <c r="G132" s="3378">
        <v>72.72</v>
      </c>
      <c r="H132" s="3377" t="s">
        <v>3055</v>
      </c>
    </row>
    <row r="133" spans="1:8" ht="14.25" thickBot="1">
      <c r="A133" s="3376">
        <v>132</v>
      </c>
      <c r="B133" s="3377" t="s">
        <v>3525</v>
      </c>
      <c r="C133" s="3378" t="s">
        <v>3267</v>
      </c>
      <c r="D133" s="3379" t="s">
        <v>3261</v>
      </c>
      <c r="E133" s="3378" t="s">
        <v>3259</v>
      </c>
      <c r="F133" s="3379">
        <v>307</v>
      </c>
      <c r="G133" s="3378">
        <v>68.989999999999995</v>
      </c>
      <c r="H133" s="3377" t="s">
        <v>3055</v>
      </c>
    </row>
    <row r="134" spans="1:8" ht="14.25" thickBot="1">
      <c r="A134" s="3376">
        <v>133</v>
      </c>
      <c r="B134" s="3377" t="s">
        <v>3525</v>
      </c>
      <c r="C134" s="3378" t="s">
        <v>3267</v>
      </c>
      <c r="D134" s="3379" t="s">
        <v>3261</v>
      </c>
      <c r="E134" s="3378" t="s">
        <v>3258</v>
      </c>
      <c r="F134" s="3379">
        <v>308</v>
      </c>
      <c r="G134" s="3378">
        <v>69.92</v>
      </c>
      <c r="H134" s="3377" t="s">
        <v>3055</v>
      </c>
    </row>
    <row r="135" spans="1:8" ht="14.25" thickBot="1">
      <c r="A135" s="3376">
        <v>134</v>
      </c>
      <c r="B135" s="3377" t="s">
        <v>3525</v>
      </c>
      <c r="C135" s="3378" t="s">
        <v>3267</v>
      </c>
      <c r="D135" s="3379" t="s">
        <v>3261</v>
      </c>
      <c r="E135" s="3378" t="s">
        <v>3258</v>
      </c>
      <c r="F135" s="3379">
        <v>309</v>
      </c>
      <c r="G135" s="3378">
        <v>73.7</v>
      </c>
      <c r="H135" s="3377" t="s">
        <v>3055</v>
      </c>
    </row>
    <row r="136" spans="1:8" ht="14.25" thickBot="1">
      <c r="A136" s="3376">
        <v>135</v>
      </c>
      <c r="B136" s="3377" t="s">
        <v>3525</v>
      </c>
      <c r="C136" s="3378" t="s">
        <v>3267</v>
      </c>
      <c r="D136" s="3379" t="s">
        <v>3261</v>
      </c>
      <c r="E136" s="3378" t="s">
        <v>3258</v>
      </c>
      <c r="F136" s="3379">
        <v>310</v>
      </c>
      <c r="G136" s="3378">
        <v>73.739999999999995</v>
      </c>
      <c r="H136" s="3377" t="s">
        <v>3055</v>
      </c>
    </row>
    <row r="137" spans="1:8" ht="14.25" thickBot="1">
      <c r="A137" s="3376">
        <v>136</v>
      </c>
      <c r="B137" s="3377" t="s">
        <v>3525</v>
      </c>
      <c r="C137" s="3378" t="s">
        <v>3267</v>
      </c>
      <c r="D137" s="3379" t="s">
        <v>3261</v>
      </c>
      <c r="E137" s="3378" t="s">
        <v>3258</v>
      </c>
      <c r="F137" s="3379">
        <v>311</v>
      </c>
      <c r="G137" s="3378">
        <v>73.739999999999995</v>
      </c>
      <c r="H137" s="3377" t="s">
        <v>3055</v>
      </c>
    </row>
    <row r="138" spans="1:8" ht="14.25" thickBot="1">
      <c r="A138" s="3376">
        <v>137</v>
      </c>
      <c r="B138" s="3377" t="s">
        <v>3525</v>
      </c>
      <c r="C138" s="3378" t="s">
        <v>3267</v>
      </c>
      <c r="D138" s="3379" t="s">
        <v>3261</v>
      </c>
      <c r="E138" s="3378" t="s">
        <v>3258</v>
      </c>
      <c r="F138" s="3379">
        <v>312</v>
      </c>
      <c r="G138" s="3378">
        <v>73.7</v>
      </c>
      <c r="H138" s="3377" t="s">
        <v>3055</v>
      </c>
    </row>
    <row r="139" spans="1:8" ht="14.25" thickBot="1">
      <c r="A139" s="3376">
        <v>138</v>
      </c>
      <c r="B139" s="3377" t="s">
        <v>3525</v>
      </c>
      <c r="C139" s="3378" t="s">
        <v>3267</v>
      </c>
      <c r="D139" s="3379" t="s">
        <v>3261</v>
      </c>
      <c r="E139" s="3378" t="s">
        <v>3258</v>
      </c>
      <c r="F139" s="3379">
        <v>313</v>
      </c>
      <c r="G139" s="3378">
        <v>70.14</v>
      </c>
      <c r="H139" s="3377" t="s">
        <v>3055</v>
      </c>
    </row>
    <row r="140" spans="1:8" ht="14.25" thickBot="1">
      <c r="A140" s="3376">
        <v>139</v>
      </c>
      <c r="B140" s="3377" t="s">
        <v>3525</v>
      </c>
      <c r="C140" s="3378" t="s">
        <v>3267</v>
      </c>
      <c r="D140" s="3379" t="s">
        <v>3262</v>
      </c>
      <c r="E140" s="3378" t="s">
        <v>3259</v>
      </c>
      <c r="F140" s="3379" t="s">
        <v>3145</v>
      </c>
      <c r="G140" s="3378">
        <v>99.02</v>
      </c>
      <c r="H140" s="3377" t="s">
        <v>3055</v>
      </c>
    </row>
    <row r="141" spans="1:8" ht="14.25" thickBot="1">
      <c r="A141" s="3376">
        <v>140</v>
      </c>
      <c r="B141" s="3377" t="s">
        <v>3525</v>
      </c>
      <c r="C141" s="3378" t="s">
        <v>3267</v>
      </c>
      <c r="D141" s="3379" t="s">
        <v>3262</v>
      </c>
      <c r="E141" s="3378" t="s">
        <v>3259</v>
      </c>
      <c r="F141" s="3379" t="s">
        <v>3146</v>
      </c>
      <c r="G141" s="3378">
        <v>72.72</v>
      </c>
      <c r="H141" s="3377" t="s">
        <v>3055</v>
      </c>
    </row>
    <row r="142" spans="1:8" ht="14.25" thickBot="1">
      <c r="A142" s="3376">
        <v>141</v>
      </c>
      <c r="B142" s="3377" t="s">
        <v>3525</v>
      </c>
      <c r="C142" s="3378" t="s">
        <v>3267</v>
      </c>
      <c r="D142" s="3379" t="s">
        <v>3262</v>
      </c>
      <c r="E142" s="3378" t="s">
        <v>3259</v>
      </c>
      <c r="F142" s="3379" t="s">
        <v>3147</v>
      </c>
      <c r="G142" s="3378">
        <v>72.760000000000005</v>
      </c>
      <c r="H142" s="3377" t="s">
        <v>3055</v>
      </c>
    </row>
    <row r="143" spans="1:8" ht="14.25" thickBot="1">
      <c r="A143" s="3376">
        <v>142</v>
      </c>
      <c r="B143" s="3377" t="s">
        <v>3525</v>
      </c>
      <c r="C143" s="3378" t="s">
        <v>3267</v>
      </c>
      <c r="D143" s="3379" t="s">
        <v>3262</v>
      </c>
      <c r="E143" s="3378" t="s">
        <v>3259</v>
      </c>
      <c r="F143" s="3379" t="s">
        <v>3148</v>
      </c>
      <c r="G143" s="3378">
        <v>72.760000000000005</v>
      </c>
      <c r="H143" s="3377" t="s">
        <v>3055</v>
      </c>
    </row>
    <row r="144" spans="1:8" ht="14.25" thickBot="1">
      <c r="A144" s="3376">
        <v>143</v>
      </c>
      <c r="B144" s="3377" t="s">
        <v>3525</v>
      </c>
      <c r="C144" s="3378" t="s">
        <v>3267</v>
      </c>
      <c r="D144" s="3379" t="s">
        <v>3262</v>
      </c>
      <c r="E144" s="3378" t="s">
        <v>3259</v>
      </c>
      <c r="F144" s="3379" t="s">
        <v>3149</v>
      </c>
      <c r="G144" s="3378">
        <v>72.72</v>
      </c>
      <c r="H144" s="3377" t="s">
        <v>3055</v>
      </c>
    </row>
    <row r="145" spans="1:8" ht="14.25" thickBot="1">
      <c r="A145" s="3376">
        <v>144</v>
      </c>
      <c r="B145" s="3377" t="s">
        <v>3525</v>
      </c>
      <c r="C145" s="3378" t="s">
        <v>3267</v>
      </c>
      <c r="D145" s="3379" t="s">
        <v>3262</v>
      </c>
      <c r="E145" s="3378" t="s">
        <v>3259</v>
      </c>
      <c r="F145" s="3379" t="s">
        <v>3150</v>
      </c>
      <c r="G145" s="3378">
        <v>68.989999999999995</v>
      </c>
      <c r="H145" s="3377" t="s">
        <v>3055</v>
      </c>
    </row>
    <row r="146" spans="1:8" ht="14.25" thickBot="1">
      <c r="A146" s="3376">
        <v>145</v>
      </c>
      <c r="B146" s="3377" t="s">
        <v>3525</v>
      </c>
      <c r="C146" s="3378" t="s">
        <v>3267</v>
      </c>
      <c r="D146" s="3379" t="s">
        <v>3262</v>
      </c>
      <c r="E146" s="3378" t="s">
        <v>3258</v>
      </c>
      <c r="F146" s="3379" t="s">
        <v>3151</v>
      </c>
      <c r="G146" s="3378">
        <v>69.92</v>
      </c>
      <c r="H146" s="3377" t="s">
        <v>3055</v>
      </c>
    </row>
    <row r="147" spans="1:8" ht="14.25" thickBot="1">
      <c r="A147" s="3376">
        <v>146</v>
      </c>
      <c r="B147" s="3377" t="s">
        <v>3525</v>
      </c>
      <c r="C147" s="3378" t="s">
        <v>3267</v>
      </c>
      <c r="D147" s="3379" t="s">
        <v>3262</v>
      </c>
      <c r="E147" s="3378" t="s">
        <v>3258</v>
      </c>
      <c r="F147" s="3379" t="s">
        <v>3163</v>
      </c>
      <c r="G147" s="3378">
        <v>73.7</v>
      </c>
      <c r="H147" s="3377" t="s">
        <v>3055</v>
      </c>
    </row>
    <row r="148" spans="1:8" ht="14.25" thickBot="1">
      <c r="A148" s="3376">
        <v>147</v>
      </c>
      <c r="B148" s="3377" t="s">
        <v>3525</v>
      </c>
      <c r="C148" s="3378" t="s">
        <v>3267</v>
      </c>
      <c r="D148" s="3379" t="s">
        <v>3262</v>
      </c>
      <c r="E148" s="3378" t="s">
        <v>3258</v>
      </c>
      <c r="F148" s="3379" t="s">
        <v>3166</v>
      </c>
      <c r="G148" s="3378">
        <v>73.739999999999995</v>
      </c>
      <c r="H148" s="3377" t="s">
        <v>3055</v>
      </c>
    </row>
    <row r="149" spans="1:8" ht="14.25" thickBot="1">
      <c r="A149" s="3376">
        <v>148</v>
      </c>
      <c r="B149" s="3377" t="s">
        <v>3525</v>
      </c>
      <c r="C149" s="3378" t="s">
        <v>3267</v>
      </c>
      <c r="D149" s="3379" t="s">
        <v>3262</v>
      </c>
      <c r="E149" s="3378" t="s">
        <v>3258</v>
      </c>
      <c r="F149" s="3379" t="s">
        <v>3167</v>
      </c>
      <c r="G149" s="3378">
        <v>73.739999999999995</v>
      </c>
      <c r="H149" s="3377" t="s">
        <v>3055</v>
      </c>
    </row>
    <row r="150" spans="1:8" ht="14.25" thickBot="1">
      <c r="A150" s="3376">
        <v>149</v>
      </c>
      <c r="B150" s="3377" t="s">
        <v>3525</v>
      </c>
      <c r="C150" s="3378" t="s">
        <v>3267</v>
      </c>
      <c r="D150" s="3379" t="s">
        <v>3262</v>
      </c>
      <c r="E150" s="3378" t="s">
        <v>3258</v>
      </c>
      <c r="F150" s="3379" t="s">
        <v>3168</v>
      </c>
      <c r="G150" s="3378">
        <v>73.7</v>
      </c>
      <c r="H150" s="3377" t="s">
        <v>3055</v>
      </c>
    </row>
    <row r="151" spans="1:8" ht="14.25" thickBot="1">
      <c r="A151" s="3376">
        <v>150</v>
      </c>
      <c r="B151" s="3377" t="s">
        <v>3525</v>
      </c>
      <c r="C151" s="3378" t="s">
        <v>3267</v>
      </c>
      <c r="D151" s="3379" t="s">
        <v>3262</v>
      </c>
      <c r="E151" s="3378" t="s">
        <v>3258</v>
      </c>
      <c r="F151" s="3379" t="s">
        <v>3169</v>
      </c>
      <c r="G151" s="3378">
        <v>70.14</v>
      </c>
      <c r="H151" s="3377" t="s">
        <v>3055</v>
      </c>
    </row>
    <row r="152" spans="1:8" ht="14.25" thickBot="1">
      <c r="A152" s="3376">
        <v>151</v>
      </c>
      <c r="B152" s="3377" t="s">
        <v>3525</v>
      </c>
      <c r="C152" s="3378" t="s">
        <v>3267</v>
      </c>
      <c r="D152" s="3379" t="s">
        <v>3263</v>
      </c>
      <c r="E152" s="3378" t="s">
        <v>3259</v>
      </c>
      <c r="F152" s="3379">
        <v>501</v>
      </c>
      <c r="G152" s="3378">
        <v>99.02</v>
      </c>
      <c r="H152" s="3377" t="s">
        <v>3055</v>
      </c>
    </row>
    <row r="153" spans="1:8" ht="14.25" thickBot="1">
      <c r="A153" s="3376">
        <v>152</v>
      </c>
      <c r="B153" s="3377" t="s">
        <v>3525</v>
      </c>
      <c r="C153" s="3378" t="s">
        <v>3267</v>
      </c>
      <c r="D153" s="3379" t="s">
        <v>3263</v>
      </c>
      <c r="E153" s="3378" t="s">
        <v>3259</v>
      </c>
      <c r="F153" s="3379">
        <v>502</v>
      </c>
      <c r="G153" s="3378">
        <v>72.72</v>
      </c>
      <c r="H153" s="3377" t="s">
        <v>3055</v>
      </c>
    </row>
    <row r="154" spans="1:8" ht="14.25" thickBot="1">
      <c r="A154" s="3376">
        <v>153</v>
      </c>
      <c r="B154" s="3377" t="s">
        <v>3525</v>
      </c>
      <c r="C154" s="3378" t="s">
        <v>3267</v>
      </c>
      <c r="D154" s="3379" t="s">
        <v>3263</v>
      </c>
      <c r="E154" s="3378" t="s">
        <v>3259</v>
      </c>
      <c r="F154" s="3379">
        <v>503</v>
      </c>
      <c r="G154" s="3378">
        <v>72.760000000000005</v>
      </c>
      <c r="H154" s="3377" t="s">
        <v>3055</v>
      </c>
    </row>
    <row r="155" spans="1:8" ht="14.25" thickBot="1">
      <c r="A155" s="3376">
        <v>154</v>
      </c>
      <c r="B155" s="3377" t="s">
        <v>3525</v>
      </c>
      <c r="C155" s="3378" t="s">
        <v>3267</v>
      </c>
      <c r="D155" s="3379" t="s">
        <v>3263</v>
      </c>
      <c r="E155" s="3378" t="s">
        <v>3259</v>
      </c>
      <c r="F155" s="3379">
        <v>505</v>
      </c>
      <c r="G155" s="3378">
        <v>72.760000000000005</v>
      </c>
      <c r="H155" s="3377" t="s">
        <v>3055</v>
      </c>
    </row>
    <row r="156" spans="1:8" ht="14.25" thickBot="1">
      <c r="A156" s="3376">
        <v>155</v>
      </c>
      <c r="B156" s="3377" t="s">
        <v>3525</v>
      </c>
      <c r="C156" s="3378" t="s">
        <v>3267</v>
      </c>
      <c r="D156" s="3379" t="s">
        <v>3263</v>
      </c>
      <c r="E156" s="3378" t="s">
        <v>3259</v>
      </c>
      <c r="F156" s="3379">
        <v>506</v>
      </c>
      <c r="G156" s="3378">
        <v>72.72</v>
      </c>
      <c r="H156" s="3377" t="s">
        <v>3055</v>
      </c>
    </row>
    <row r="157" spans="1:8" ht="14.25" thickBot="1">
      <c r="A157" s="3376">
        <v>156</v>
      </c>
      <c r="B157" s="3377" t="s">
        <v>3525</v>
      </c>
      <c r="C157" s="3378" t="s">
        <v>3267</v>
      </c>
      <c r="D157" s="3379" t="s">
        <v>3263</v>
      </c>
      <c r="E157" s="3378" t="s">
        <v>3259</v>
      </c>
      <c r="F157" s="3379">
        <v>507</v>
      </c>
      <c r="G157" s="3378">
        <v>68.989999999999995</v>
      </c>
      <c r="H157" s="3377" t="s">
        <v>3055</v>
      </c>
    </row>
    <row r="158" spans="1:8" ht="14.25" thickBot="1">
      <c r="A158" s="3376">
        <v>157</v>
      </c>
      <c r="B158" s="3377" t="s">
        <v>3525</v>
      </c>
      <c r="C158" s="3378" t="s">
        <v>3267</v>
      </c>
      <c r="D158" s="3379" t="s">
        <v>3263</v>
      </c>
      <c r="E158" s="3378" t="s">
        <v>3258</v>
      </c>
      <c r="F158" s="3379">
        <v>508</v>
      </c>
      <c r="G158" s="3378">
        <v>69.92</v>
      </c>
      <c r="H158" s="3377" t="s">
        <v>3055</v>
      </c>
    </row>
    <row r="159" spans="1:8" ht="14.25" thickBot="1">
      <c r="A159" s="3376">
        <v>158</v>
      </c>
      <c r="B159" s="3377" t="s">
        <v>3525</v>
      </c>
      <c r="C159" s="3378" t="s">
        <v>3267</v>
      </c>
      <c r="D159" s="3379" t="s">
        <v>3263</v>
      </c>
      <c r="E159" s="3378" t="s">
        <v>3258</v>
      </c>
      <c r="F159" s="3379">
        <v>509</v>
      </c>
      <c r="G159" s="3378">
        <v>73.7</v>
      </c>
      <c r="H159" s="3377" t="s">
        <v>3055</v>
      </c>
    </row>
    <row r="160" spans="1:8" ht="14.25" thickBot="1">
      <c r="A160" s="3376">
        <v>159</v>
      </c>
      <c r="B160" s="3377" t="s">
        <v>3525</v>
      </c>
      <c r="C160" s="3378" t="s">
        <v>3267</v>
      </c>
      <c r="D160" s="3379" t="s">
        <v>3263</v>
      </c>
      <c r="E160" s="3378" t="s">
        <v>3258</v>
      </c>
      <c r="F160" s="3379">
        <v>510</v>
      </c>
      <c r="G160" s="3378">
        <v>73.739999999999995</v>
      </c>
      <c r="H160" s="3377" t="s">
        <v>3055</v>
      </c>
    </row>
    <row r="161" spans="1:8" ht="14.25" thickBot="1">
      <c r="A161" s="3376">
        <v>160</v>
      </c>
      <c r="B161" s="3377" t="s">
        <v>3525</v>
      </c>
      <c r="C161" s="3378" t="s">
        <v>3267</v>
      </c>
      <c r="D161" s="3379" t="s">
        <v>3263</v>
      </c>
      <c r="E161" s="3378" t="s">
        <v>3258</v>
      </c>
      <c r="F161" s="3379">
        <v>511</v>
      </c>
      <c r="G161" s="3378">
        <v>73.739999999999995</v>
      </c>
      <c r="H161" s="3377" t="s">
        <v>3055</v>
      </c>
    </row>
    <row r="162" spans="1:8" ht="14.25" thickBot="1">
      <c r="A162" s="3376">
        <v>161</v>
      </c>
      <c r="B162" s="3377" t="s">
        <v>3525</v>
      </c>
      <c r="C162" s="3378" t="s">
        <v>3267</v>
      </c>
      <c r="D162" s="3379" t="s">
        <v>3263</v>
      </c>
      <c r="E162" s="3378" t="s">
        <v>3258</v>
      </c>
      <c r="F162" s="3379">
        <v>512</v>
      </c>
      <c r="G162" s="3378">
        <v>73.7</v>
      </c>
      <c r="H162" s="3377" t="s">
        <v>3055</v>
      </c>
    </row>
    <row r="163" spans="1:8" ht="14.25" thickBot="1">
      <c r="A163" s="3376">
        <v>162</v>
      </c>
      <c r="B163" s="3377" t="s">
        <v>3525</v>
      </c>
      <c r="C163" s="3378" t="s">
        <v>3267</v>
      </c>
      <c r="D163" s="3379" t="s">
        <v>3263</v>
      </c>
      <c r="E163" s="3378" t="s">
        <v>3258</v>
      </c>
      <c r="F163" s="3379">
        <v>513</v>
      </c>
      <c r="G163" s="3378">
        <v>70.14</v>
      </c>
      <c r="H163" s="3377" t="s">
        <v>3055</v>
      </c>
    </row>
    <row r="164" spans="1:8" ht="14.25" thickBot="1">
      <c r="A164" s="3376">
        <v>163</v>
      </c>
      <c r="B164" s="3377" t="s">
        <v>3525</v>
      </c>
      <c r="C164" s="3378" t="s">
        <v>3267</v>
      </c>
      <c r="D164" s="3379" t="s">
        <v>3264</v>
      </c>
      <c r="E164" s="3378" t="s">
        <v>3259</v>
      </c>
      <c r="F164" s="3379">
        <v>601</v>
      </c>
      <c r="G164" s="3378">
        <v>99.02</v>
      </c>
      <c r="H164" s="3377" t="s">
        <v>3055</v>
      </c>
    </row>
    <row r="165" spans="1:8" ht="14.25" thickBot="1">
      <c r="A165" s="3376">
        <v>164</v>
      </c>
      <c r="B165" s="3377" t="s">
        <v>3525</v>
      </c>
      <c r="C165" s="3378" t="s">
        <v>3267</v>
      </c>
      <c r="D165" s="3379" t="s">
        <v>3264</v>
      </c>
      <c r="E165" s="3378" t="s">
        <v>3259</v>
      </c>
      <c r="F165" s="3379">
        <v>602</v>
      </c>
      <c r="G165" s="3378">
        <v>72.72</v>
      </c>
      <c r="H165" s="3377" t="s">
        <v>3055</v>
      </c>
    </row>
    <row r="166" spans="1:8" ht="14.25" thickBot="1">
      <c r="A166" s="3376">
        <v>165</v>
      </c>
      <c r="B166" s="3377" t="s">
        <v>3525</v>
      </c>
      <c r="C166" s="3378" t="s">
        <v>3267</v>
      </c>
      <c r="D166" s="3379" t="s">
        <v>3264</v>
      </c>
      <c r="E166" s="3378" t="s">
        <v>3259</v>
      </c>
      <c r="F166" s="3379">
        <v>603</v>
      </c>
      <c r="G166" s="3378">
        <v>72.760000000000005</v>
      </c>
      <c r="H166" s="3377" t="s">
        <v>3055</v>
      </c>
    </row>
    <row r="167" spans="1:8" ht="14.25" thickBot="1">
      <c r="A167" s="3376">
        <v>166</v>
      </c>
      <c r="B167" s="3377" t="s">
        <v>3525</v>
      </c>
      <c r="C167" s="3378" t="s">
        <v>3267</v>
      </c>
      <c r="D167" s="3379" t="s">
        <v>3264</v>
      </c>
      <c r="E167" s="3378" t="s">
        <v>3259</v>
      </c>
      <c r="F167" s="3379">
        <v>605</v>
      </c>
      <c r="G167" s="3378">
        <v>72.760000000000005</v>
      </c>
      <c r="H167" s="3377" t="s">
        <v>3055</v>
      </c>
    </row>
    <row r="168" spans="1:8" ht="14.25" thickBot="1">
      <c r="A168" s="3376">
        <v>167</v>
      </c>
      <c r="B168" s="3377" t="s">
        <v>3525</v>
      </c>
      <c r="C168" s="3378" t="s">
        <v>3267</v>
      </c>
      <c r="D168" s="3379" t="s">
        <v>3264</v>
      </c>
      <c r="E168" s="3378" t="s">
        <v>3259</v>
      </c>
      <c r="F168" s="3379">
        <v>606</v>
      </c>
      <c r="G168" s="3378">
        <v>72.72</v>
      </c>
      <c r="H168" s="3377" t="s">
        <v>3055</v>
      </c>
    </row>
    <row r="169" spans="1:8" ht="14.25" thickBot="1">
      <c r="A169" s="3376">
        <v>168</v>
      </c>
      <c r="B169" s="3377" t="s">
        <v>3525</v>
      </c>
      <c r="C169" s="3378" t="s">
        <v>3267</v>
      </c>
      <c r="D169" s="3379" t="s">
        <v>3264</v>
      </c>
      <c r="E169" s="3378" t="s">
        <v>3259</v>
      </c>
      <c r="F169" s="3379">
        <v>607</v>
      </c>
      <c r="G169" s="3378">
        <v>68.989999999999995</v>
      </c>
      <c r="H169" s="3377" t="s">
        <v>3055</v>
      </c>
    </row>
    <row r="170" spans="1:8" ht="14.25" thickBot="1">
      <c r="A170" s="3376">
        <v>169</v>
      </c>
      <c r="B170" s="3377" t="s">
        <v>3525</v>
      </c>
      <c r="C170" s="3378" t="s">
        <v>3267</v>
      </c>
      <c r="D170" s="3379" t="s">
        <v>3264</v>
      </c>
      <c r="E170" s="3378" t="s">
        <v>3258</v>
      </c>
      <c r="F170" s="3379">
        <v>608</v>
      </c>
      <c r="G170" s="3378">
        <v>69.92</v>
      </c>
      <c r="H170" s="3377" t="s">
        <v>3055</v>
      </c>
    </row>
    <row r="171" spans="1:8" ht="14.25" thickBot="1">
      <c r="A171" s="3376">
        <v>170</v>
      </c>
      <c r="B171" s="3377" t="s">
        <v>3525</v>
      </c>
      <c r="C171" s="3378" t="s">
        <v>3267</v>
      </c>
      <c r="D171" s="3379" t="s">
        <v>3264</v>
      </c>
      <c r="E171" s="3378" t="s">
        <v>3258</v>
      </c>
      <c r="F171" s="3379">
        <v>609</v>
      </c>
      <c r="G171" s="3378">
        <v>73.7</v>
      </c>
      <c r="H171" s="3377" t="s">
        <v>3055</v>
      </c>
    </row>
    <row r="172" spans="1:8" ht="14.25" thickBot="1">
      <c r="A172" s="3376">
        <v>171</v>
      </c>
      <c r="B172" s="3377" t="s">
        <v>3525</v>
      </c>
      <c r="C172" s="3378" t="s">
        <v>3267</v>
      </c>
      <c r="D172" s="3379" t="s">
        <v>3264</v>
      </c>
      <c r="E172" s="3378" t="s">
        <v>3258</v>
      </c>
      <c r="F172" s="3379">
        <v>610</v>
      </c>
      <c r="G172" s="3378">
        <v>73.739999999999995</v>
      </c>
      <c r="H172" s="3377" t="s">
        <v>3055</v>
      </c>
    </row>
    <row r="173" spans="1:8" ht="14.25" thickBot="1">
      <c r="A173" s="3376">
        <v>172</v>
      </c>
      <c r="B173" s="3377" t="s">
        <v>3525</v>
      </c>
      <c r="C173" s="3378" t="s">
        <v>3267</v>
      </c>
      <c r="D173" s="3379" t="s">
        <v>3264</v>
      </c>
      <c r="E173" s="3378" t="s">
        <v>3258</v>
      </c>
      <c r="F173" s="3379">
        <v>611</v>
      </c>
      <c r="G173" s="3378">
        <v>73.739999999999995</v>
      </c>
      <c r="H173" s="3377" t="s">
        <v>3055</v>
      </c>
    </row>
    <row r="174" spans="1:8" ht="14.25" thickBot="1">
      <c r="A174" s="3376">
        <v>173</v>
      </c>
      <c r="B174" s="3377" t="s">
        <v>3525</v>
      </c>
      <c r="C174" s="3378" t="s">
        <v>3267</v>
      </c>
      <c r="D174" s="3379" t="s">
        <v>3264</v>
      </c>
      <c r="E174" s="3378" t="s">
        <v>3258</v>
      </c>
      <c r="F174" s="3379">
        <v>612</v>
      </c>
      <c r="G174" s="3378">
        <v>73.7</v>
      </c>
      <c r="H174" s="3377" t="s">
        <v>3055</v>
      </c>
    </row>
    <row r="175" spans="1:8" ht="14.25" thickBot="1">
      <c r="A175" s="3376">
        <v>174</v>
      </c>
      <c r="B175" s="3377" t="s">
        <v>3525</v>
      </c>
      <c r="C175" s="3378" t="s">
        <v>3267</v>
      </c>
      <c r="D175" s="3379" t="s">
        <v>3264</v>
      </c>
      <c r="E175" s="3378" t="s">
        <v>3258</v>
      </c>
      <c r="F175" s="3379">
        <v>613</v>
      </c>
      <c r="G175" s="3378">
        <v>70.14</v>
      </c>
      <c r="H175" s="3377" t="s">
        <v>3055</v>
      </c>
    </row>
    <row r="176" spans="1:8" ht="14.25" thickBot="1">
      <c r="A176" s="3376">
        <v>175</v>
      </c>
      <c r="B176" s="3377" t="s">
        <v>3525</v>
      </c>
      <c r="C176" s="3378" t="s">
        <v>3268</v>
      </c>
      <c r="D176" s="3379" t="s">
        <v>3261</v>
      </c>
      <c r="E176" s="3378" t="s">
        <v>3259</v>
      </c>
      <c r="F176" s="3379">
        <v>301</v>
      </c>
      <c r="G176" s="3378">
        <v>101.78</v>
      </c>
      <c r="H176" s="3377" t="s">
        <v>3055</v>
      </c>
    </row>
    <row r="177" spans="1:8" ht="14.25" thickBot="1">
      <c r="A177" s="3376">
        <v>176</v>
      </c>
      <c r="B177" s="3377" t="s">
        <v>3525</v>
      </c>
      <c r="C177" s="3378" t="s">
        <v>3268</v>
      </c>
      <c r="D177" s="3379" t="s">
        <v>3261</v>
      </c>
      <c r="E177" s="3378" t="s">
        <v>3259</v>
      </c>
      <c r="F177" s="3379">
        <v>302</v>
      </c>
      <c r="G177" s="3378">
        <v>90.71</v>
      </c>
      <c r="H177" s="3377" t="s">
        <v>3055</v>
      </c>
    </row>
    <row r="178" spans="1:8" ht="14.25" thickBot="1">
      <c r="A178" s="3376">
        <v>177</v>
      </c>
      <c r="B178" s="3377" t="s">
        <v>3525</v>
      </c>
      <c r="C178" s="3378" t="s">
        <v>3268</v>
      </c>
      <c r="D178" s="3379" t="s">
        <v>3261</v>
      </c>
      <c r="E178" s="3378" t="s">
        <v>3259</v>
      </c>
      <c r="F178" s="3379">
        <v>303</v>
      </c>
      <c r="G178" s="3378">
        <v>90.71</v>
      </c>
      <c r="H178" s="3377" t="s">
        <v>3055</v>
      </c>
    </row>
    <row r="179" spans="1:8" ht="14.25" thickBot="1">
      <c r="A179" s="3376">
        <v>178</v>
      </c>
      <c r="B179" s="3377" t="s">
        <v>3525</v>
      </c>
      <c r="C179" s="3378" t="s">
        <v>3268</v>
      </c>
      <c r="D179" s="3379" t="s">
        <v>3261</v>
      </c>
      <c r="E179" s="3378" t="s">
        <v>3259</v>
      </c>
      <c r="F179" s="3379">
        <v>305</v>
      </c>
      <c r="G179" s="3378">
        <v>69.78</v>
      </c>
      <c r="H179" s="3377" t="s">
        <v>3055</v>
      </c>
    </row>
    <row r="180" spans="1:8" ht="14.25" thickBot="1">
      <c r="A180" s="3376">
        <v>179</v>
      </c>
      <c r="B180" s="3377" t="s">
        <v>3525</v>
      </c>
      <c r="C180" s="3378" t="s">
        <v>3268</v>
      </c>
      <c r="D180" s="3379" t="s">
        <v>3261</v>
      </c>
      <c r="E180" s="3378" t="s">
        <v>3258</v>
      </c>
      <c r="F180" s="3379">
        <v>306</v>
      </c>
      <c r="G180" s="3378">
        <v>69.78</v>
      </c>
      <c r="H180" s="3377" t="s">
        <v>3055</v>
      </c>
    </row>
    <row r="181" spans="1:8" ht="14.25" thickBot="1">
      <c r="A181" s="3376">
        <v>180</v>
      </c>
      <c r="B181" s="3377" t="s">
        <v>3525</v>
      </c>
      <c r="C181" s="3378" t="s">
        <v>3268</v>
      </c>
      <c r="D181" s="3379" t="s">
        <v>3261</v>
      </c>
      <c r="E181" s="3378" t="s">
        <v>3258</v>
      </c>
      <c r="F181" s="3379">
        <v>307</v>
      </c>
      <c r="G181" s="3378">
        <v>90.71</v>
      </c>
      <c r="H181" s="3377" t="s">
        <v>3055</v>
      </c>
    </row>
    <row r="182" spans="1:8" ht="14.25" thickBot="1">
      <c r="A182" s="3376">
        <v>181</v>
      </c>
      <c r="B182" s="3377" t="s">
        <v>3525</v>
      </c>
      <c r="C182" s="3378" t="s">
        <v>3268</v>
      </c>
      <c r="D182" s="3379" t="s">
        <v>3261</v>
      </c>
      <c r="E182" s="3378" t="s">
        <v>3258</v>
      </c>
      <c r="F182" s="3379">
        <v>308</v>
      </c>
      <c r="G182" s="3378">
        <v>90.71</v>
      </c>
      <c r="H182" s="3377" t="s">
        <v>3055</v>
      </c>
    </row>
    <row r="183" spans="1:8" ht="14.25" thickBot="1">
      <c r="A183" s="3376">
        <v>182</v>
      </c>
      <c r="B183" s="3377" t="s">
        <v>3525</v>
      </c>
      <c r="C183" s="3378" t="s">
        <v>3268</v>
      </c>
      <c r="D183" s="3379" t="s">
        <v>3261</v>
      </c>
      <c r="E183" s="3378" t="s">
        <v>3258</v>
      </c>
      <c r="F183" s="3379">
        <v>309</v>
      </c>
      <c r="G183" s="3378">
        <v>101.78</v>
      </c>
      <c r="H183" s="3377" t="s">
        <v>3055</v>
      </c>
    </row>
    <row r="184" spans="1:8" ht="14.25" thickBot="1">
      <c r="A184" s="3376">
        <v>183</v>
      </c>
      <c r="B184" s="3377" t="s">
        <v>3525</v>
      </c>
      <c r="C184" s="3378" t="s">
        <v>3268</v>
      </c>
      <c r="D184" s="3379" t="s">
        <v>3262</v>
      </c>
      <c r="E184" s="3378" t="s">
        <v>3259</v>
      </c>
      <c r="F184" s="3379" t="s">
        <v>3145</v>
      </c>
      <c r="G184" s="3378">
        <v>101.78</v>
      </c>
      <c r="H184" s="3377" t="s">
        <v>3055</v>
      </c>
    </row>
    <row r="185" spans="1:8" ht="14.25" thickBot="1">
      <c r="A185" s="3376">
        <v>184</v>
      </c>
      <c r="B185" s="3377" t="s">
        <v>3525</v>
      </c>
      <c r="C185" s="3378" t="s">
        <v>3268</v>
      </c>
      <c r="D185" s="3379" t="s">
        <v>3262</v>
      </c>
      <c r="E185" s="3378" t="s">
        <v>3259</v>
      </c>
      <c r="F185" s="3379" t="s">
        <v>3146</v>
      </c>
      <c r="G185" s="3378">
        <v>90.71</v>
      </c>
      <c r="H185" s="3377" t="s">
        <v>3055</v>
      </c>
    </row>
    <row r="186" spans="1:8" ht="14.25" thickBot="1">
      <c r="A186" s="3376">
        <v>185</v>
      </c>
      <c r="B186" s="3377" t="s">
        <v>3525</v>
      </c>
      <c r="C186" s="3378" t="s">
        <v>3268</v>
      </c>
      <c r="D186" s="3379" t="s">
        <v>3262</v>
      </c>
      <c r="E186" s="3378" t="s">
        <v>3259</v>
      </c>
      <c r="F186" s="3379" t="s">
        <v>3147</v>
      </c>
      <c r="G186" s="3378">
        <v>90.71</v>
      </c>
      <c r="H186" s="3377" t="s">
        <v>3055</v>
      </c>
    </row>
    <row r="187" spans="1:8" ht="14.25" thickBot="1">
      <c r="A187" s="3376">
        <v>186</v>
      </c>
      <c r="B187" s="3377" t="s">
        <v>3525</v>
      </c>
      <c r="C187" s="3378" t="s">
        <v>3268</v>
      </c>
      <c r="D187" s="3379" t="s">
        <v>3262</v>
      </c>
      <c r="E187" s="3378" t="s">
        <v>3259</v>
      </c>
      <c r="F187" s="3379" t="s">
        <v>3148</v>
      </c>
      <c r="G187" s="3378">
        <v>69.78</v>
      </c>
      <c r="H187" s="3377" t="s">
        <v>3055</v>
      </c>
    </row>
    <row r="188" spans="1:8" ht="14.25" thickBot="1">
      <c r="A188" s="3376">
        <v>187</v>
      </c>
      <c r="B188" s="3377" t="s">
        <v>3525</v>
      </c>
      <c r="C188" s="3378" t="s">
        <v>3268</v>
      </c>
      <c r="D188" s="3379" t="s">
        <v>3262</v>
      </c>
      <c r="E188" s="3378" t="s">
        <v>3258</v>
      </c>
      <c r="F188" s="3379" t="s">
        <v>3149</v>
      </c>
      <c r="G188" s="3378">
        <v>69.78</v>
      </c>
      <c r="H188" s="3377" t="s">
        <v>3055</v>
      </c>
    </row>
    <row r="189" spans="1:8" ht="14.25" thickBot="1">
      <c r="A189" s="3376">
        <v>188</v>
      </c>
      <c r="B189" s="3377" t="s">
        <v>3525</v>
      </c>
      <c r="C189" s="3378" t="s">
        <v>3268</v>
      </c>
      <c r="D189" s="3379" t="s">
        <v>3262</v>
      </c>
      <c r="E189" s="3378" t="s">
        <v>3258</v>
      </c>
      <c r="F189" s="3379" t="s">
        <v>3150</v>
      </c>
      <c r="G189" s="3378">
        <v>90.71</v>
      </c>
      <c r="H189" s="3377" t="s">
        <v>3055</v>
      </c>
    </row>
    <row r="190" spans="1:8" ht="14.25" thickBot="1">
      <c r="A190" s="3376">
        <v>189</v>
      </c>
      <c r="B190" s="3377" t="s">
        <v>3525</v>
      </c>
      <c r="C190" s="3378" t="s">
        <v>3268</v>
      </c>
      <c r="D190" s="3379" t="s">
        <v>3262</v>
      </c>
      <c r="E190" s="3378" t="s">
        <v>3258</v>
      </c>
      <c r="F190" s="3379" t="s">
        <v>3151</v>
      </c>
      <c r="G190" s="3378">
        <v>90.71</v>
      </c>
      <c r="H190" s="3377" t="s">
        <v>3055</v>
      </c>
    </row>
    <row r="191" spans="1:8" ht="14.25" thickBot="1">
      <c r="A191" s="3376">
        <v>190</v>
      </c>
      <c r="B191" s="3377" t="s">
        <v>3525</v>
      </c>
      <c r="C191" s="3378" t="s">
        <v>3268</v>
      </c>
      <c r="D191" s="3379" t="s">
        <v>3262</v>
      </c>
      <c r="E191" s="3378" t="s">
        <v>3258</v>
      </c>
      <c r="F191" s="3379" t="s">
        <v>3163</v>
      </c>
      <c r="G191" s="3378">
        <v>101.78</v>
      </c>
      <c r="H191" s="3377" t="s">
        <v>3055</v>
      </c>
    </row>
    <row r="192" spans="1:8" ht="14.25" thickBot="1">
      <c r="A192" s="3376">
        <v>191</v>
      </c>
      <c r="B192" s="3377" t="s">
        <v>3525</v>
      </c>
      <c r="C192" s="3378" t="s">
        <v>3268</v>
      </c>
      <c r="D192" s="3379" t="s">
        <v>3263</v>
      </c>
      <c r="E192" s="3378" t="s">
        <v>3259</v>
      </c>
      <c r="F192" s="3379">
        <v>501</v>
      </c>
      <c r="G192" s="3378">
        <v>101.78</v>
      </c>
      <c r="H192" s="3377" t="s">
        <v>3055</v>
      </c>
    </row>
    <row r="193" spans="1:8" ht="14.25" thickBot="1">
      <c r="A193" s="3376">
        <v>192</v>
      </c>
      <c r="B193" s="3377" t="s">
        <v>3525</v>
      </c>
      <c r="C193" s="3378" t="s">
        <v>3268</v>
      </c>
      <c r="D193" s="3379" t="s">
        <v>3263</v>
      </c>
      <c r="E193" s="3378" t="s">
        <v>3259</v>
      </c>
      <c r="F193" s="3379">
        <v>502</v>
      </c>
      <c r="G193" s="3378">
        <v>90.71</v>
      </c>
      <c r="H193" s="3377" t="s">
        <v>3055</v>
      </c>
    </row>
    <row r="194" spans="1:8" ht="14.25" thickBot="1">
      <c r="A194" s="3376">
        <v>193</v>
      </c>
      <c r="B194" s="3377" t="s">
        <v>3525</v>
      </c>
      <c r="C194" s="3378" t="s">
        <v>3268</v>
      </c>
      <c r="D194" s="3379" t="s">
        <v>3263</v>
      </c>
      <c r="E194" s="3378" t="s">
        <v>3259</v>
      </c>
      <c r="F194" s="3379">
        <v>503</v>
      </c>
      <c r="G194" s="3378">
        <v>90.71</v>
      </c>
      <c r="H194" s="3377" t="s">
        <v>3055</v>
      </c>
    </row>
    <row r="195" spans="1:8" ht="14.25" thickBot="1">
      <c r="A195" s="3376">
        <v>194</v>
      </c>
      <c r="B195" s="3377" t="s">
        <v>3525</v>
      </c>
      <c r="C195" s="3378" t="s">
        <v>3268</v>
      </c>
      <c r="D195" s="3379" t="s">
        <v>3263</v>
      </c>
      <c r="E195" s="3378" t="s">
        <v>3259</v>
      </c>
      <c r="F195" s="3379">
        <v>505</v>
      </c>
      <c r="G195" s="3378">
        <v>69.78</v>
      </c>
      <c r="H195" s="3377" t="s">
        <v>3055</v>
      </c>
    </row>
    <row r="196" spans="1:8" ht="14.25" thickBot="1">
      <c r="A196" s="3376">
        <v>195</v>
      </c>
      <c r="B196" s="3377" t="s">
        <v>3525</v>
      </c>
      <c r="C196" s="3378" t="s">
        <v>3268</v>
      </c>
      <c r="D196" s="3379" t="s">
        <v>3263</v>
      </c>
      <c r="E196" s="3378" t="s">
        <v>3258</v>
      </c>
      <c r="F196" s="3379">
        <v>506</v>
      </c>
      <c r="G196" s="3378">
        <v>69.78</v>
      </c>
      <c r="H196" s="3377" t="s">
        <v>3055</v>
      </c>
    </row>
    <row r="197" spans="1:8" ht="14.25" thickBot="1">
      <c r="A197" s="3376">
        <v>196</v>
      </c>
      <c r="B197" s="3377" t="s">
        <v>3525</v>
      </c>
      <c r="C197" s="3378" t="s">
        <v>3268</v>
      </c>
      <c r="D197" s="3379" t="s">
        <v>3263</v>
      </c>
      <c r="E197" s="3378" t="s">
        <v>3258</v>
      </c>
      <c r="F197" s="3379">
        <v>507</v>
      </c>
      <c r="G197" s="3378">
        <v>90.71</v>
      </c>
      <c r="H197" s="3377" t="s">
        <v>3055</v>
      </c>
    </row>
    <row r="198" spans="1:8" ht="14.25" thickBot="1">
      <c r="A198" s="3376">
        <v>197</v>
      </c>
      <c r="B198" s="3377" t="s">
        <v>3525</v>
      </c>
      <c r="C198" s="3378" t="s">
        <v>3268</v>
      </c>
      <c r="D198" s="3379" t="s">
        <v>3263</v>
      </c>
      <c r="E198" s="3378" t="s">
        <v>3258</v>
      </c>
      <c r="F198" s="3379">
        <v>508</v>
      </c>
      <c r="G198" s="3378">
        <v>90.71</v>
      </c>
      <c r="H198" s="3377" t="s">
        <v>3055</v>
      </c>
    </row>
    <row r="199" spans="1:8" ht="14.25" thickBot="1">
      <c r="A199" s="3376">
        <v>198</v>
      </c>
      <c r="B199" s="3377" t="s">
        <v>3525</v>
      </c>
      <c r="C199" s="3378" t="s">
        <v>3268</v>
      </c>
      <c r="D199" s="3379" t="s">
        <v>3263</v>
      </c>
      <c r="E199" s="3378" t="s">
        <v>3258</v>
      </c>
      <c r="F199" s="3379">
        <v>509</v>
      </c>
      <c r="G199" s="3378">
        <v>101.78</v>
      </c>
      <c r="H199" s="3377" t="s">
        <v>3055</v>
      </c>
    </row>
    <row r="200" spans="1:8" ht="14.25" thickBot="1">
      <c r="A200" s="3376">
        <v>199</v>
      </c>
      <c r="B200" s="3377" t="s">
        <v>3525</v>
      </c>
      <c r="C200" s="3378" t="s">
        <v>3268</v>
      </c>
      <c r="D200" s="3379" t="s">
        <v>3264</v>
      </c>
      <c r="E200" s="3378" t="s">
        <v>3259</v>
      </c>
      <c r="F200" s="3379">
        <v>601</v>
      </c>
      <c r="G200" s="3378">
        <v>101.78</v>
      </c>
      <c r="H200" s="3377" t="s">
        <v>3055</v>
      </c>
    </row>
    <row r="201" spans="1:8" ht="14.25" thickBot="1">
      <c r="A201" s="3376">
        <v>200</v>
      </c>
      <c r="B201" s="3377" t="s">
        <v>3525</v>
      </c>
      <c r="C201" s="3378" t="s">
        <v>3268</v>
      </c>
      <c r="D201" s="3379" t="s">
        <v>3264</v>
      </c>
      <c r="E201" s="3378" t="s">
        <v>3259</v>
      </c>
      <c r="F201" s="3379">
        <v>602</v>
      </c>
      <c r="G201" s="3378">
        <v>90.71</v>
      </c>
      <c r="H201" s="3377" t="s">
        <v>3055</v>
      </c>
    </row>
    <row r="202" spans="1:8" ht="14.25" thickBot="1">
      <c r="A202" s="3376">
        <v>201</v>
      </c>
      <c r="B202" s="3377" t="s">
        <v>3525</v>
      </c>
      <c r="C202" s="3378" t="s">
        <v>3268</v>
      </c>
      <c r="D202" s="3379" t="s">
        <v>3264</v>
      </c>
      <c r="E202" s="3378" t="s">
        <v>3259</v>
      </c>
      <c r="F202" s="3379">
        <v>603</v>
      </c>
      <c r="G202" s="3378">
        <v>90.71</v>
      </c>
      <c r="H202" s="3377" t="s">
        <v>3055</v>
      </c>
    </row>
    <row r="203" spans="1:8" ht="14.25" thickBot="1">
      <c r="A203" s="3376">
        <v>202</v>
      </c>
      <c r="B203" s="3377" t="s">
        <v>3525</v>
      </c>
      <c r="C203" s="3378" t="s">
        <v>3268</v>
      </c>
      <c r="D203" s="3379" t="s">
        <v>3264</v>
      </c>
      <c r="E203" s="3378" t="s">
        <v>3259</v>
      </c>
      <c r="F203" s="3379">
        <v>605</v>
      </c>
      <c r="G203" s="3378">
        <v>69.78</v>
      </c>
      <c r="H203" s="3377" t="s">
        <v>3055</v>
      </c>
    </row>
    <row r="204" spans="1:8" ht="14.25" thickBot="1">
      <c r="A204" s="3376">
        <v>203</v>
      </c>
      <c r="B204" s="3377" t="s">
        <v>3525</v>
      </c>
      <c r="C204" s="3378" t="s">
        <v>3268</v>
      </c>
      <c r="D204" s="3379" t="s">
        <v>3264</v>
      </c>
      <c r="E204" s="3378" t="s">
        <v>3258</v>
      </c>
      <c r="F204" s="3379">
        <v>606</v>
      </c>
      <c r="G204" s="3378">
        <v>69.78</v>
      </c>
      <c r="H204" s="3377" t="s">
        <v>3055</v>
      </c>
    </row>
    <row r="205" spans="1:8" ht="14.25" thickBot="1">
      <c r="A205" s="3376">
        <v>204</v>
      </c>
      <c r="B205" s="3377" t="s">
        <v>3525</v>
      </c>
      <c r="C205" s="3378" t="s">
        <v>3268</v>
      </c>
      <c r="D205" s="3379" t="s">
        <v>3264</v>
      </c>
      <c r="E205" s="3378" t="s">
        <v>3258</v>
      </c>
      <c r="F205" s="3379">
        <v>607</v>
      </c>
      <c r="G205" s="3378">
        <v>90.71</v>
      </c>
      <c r="H205" s="3377" t="s">
        <v>3055</v>
      </c>
    </row>
    <row r="206" spans="1:8" ht="14.25" thickBot="1">
      <c r="A206" s="3376">
        <v>205</v>
      </c>
      <c r="B206" s="3377" t="s">
        <v>3525</v>
      </c>
      <c r="C206" s="3378" t="s">
        <v>3268</v>
      </c>
      <c r="D206" s="3379" t="s">
        <v>3264</v>
      </c>
      <c r="E206" s="3378" t="s">
        <v>3258</v>
      </c>
      <c r="F206" s="3379">
        <v>608</v>
      </c>
      <c r="G206" s="3378">
        <v>90.71</v>
      </c>
      <c r="H206" s="3377" t="s">
        <v>3055</v>
      </c>
    </row>
    <row r="207" spans="1:8" ht="14.25" thickBot="1">
      <c r="A207" s="3376">
        <v>206</v>
      </c>
      <c r="B207" s="3377" t="s">
        <v>3525</v>
      </c>
      <c r="C207" s="3378" t="s">
        <v>3268</v>
      </c>
      <c r="D207" s="3379" t="s">
        <v>3264</v>
      </c>
      <c r="E207" s="3378" t="s">
        <v>3258</v>
      </c>
      <c r="F207" s="3379">
        <v>609</v>
      </c>
      <c r="G207" s="3378">
        <v>101.78</v>
      </c>
      <c r="H207" s="3377" t="s">
        <v>3055</v>
      </c>
    </row>
    <row r="208" spans="1:8" ht="14.25" thickBot="1">
      <c r="A208" s="3376">
        <v>207</v>
      </c>
      <c r="B208" s="3377" t="s">
        <v>3525</v>
      </c>
      <c r="C208" s="3378" t="s">
        <v>3269</v>
      </c>
      <c r="D208" s="3379" t="s">
        <v>3257</v>
      </c>
      <c r="E208" s="3378" t="s">
        <v>70</v>
      </c>
      <c r="F208" s="3379">
        <v>101</v>
      </c>
      <c r="G208" s="3378">
        <v>94.58</v>
      </c>
      <c r="H208" s="3377" t="s">
        <v>3055</v>
      </c>
    </row>
    <row r="209" spans="1:8" ht="14.25" thickBot="1">
      <c r="A209" s="3376">
        <v>208</v>
      </c>
      <c r="B209" s="3377" t="s">
        <v>3525</v>
      </c>
      <c r="C209" s="3378" t="s">
        <v>3269</v>
      </c>
      <c r="D209" s="3379" t="s">
        <v>3257</v>
      </c>
      <c r="E209" s="3378" t="s">
        <v>70</v>
      </c>
      <c r="F209" s="3379">
        <v>102</v>
      </c>
      <c r="G209" s="3378">
        <v>69.56</v>
      </c>
      <c r="H209" s="3377" t="s">
        <v>3055</v>
      </c>
    </row>
    <row r="210" spans="1:8" ht="14.25" thickBot="1">
      <c r="A210" s="3376">
        <v>209</v>
      </c>
      <c r="B210" s="3377" t="s">
        <v>3525</v>
      </c>
      <c r="C210" s="3378" t="s">
        <v>3269</v>
      </c>
      <c r="D210" s="3379" t="s">
        <v>3257</v>
      </c>
      <c r="E210" s="3378" t="s">
        <v>70</v>
      </c>
      <c r="F210" s="3379">
        <v>103</v>
      </c>
      <c r="G210" s="3378">
        <v>69.5</v>
      </c>
      <c r="H210" s="3377" t="s">
        <v>3055</v>
      </c>
    </row>
    <row r="211" spans="1:8" ht="14.25" thickBot="1">
      <c r="A211" s="3376">
        <v>210</v>
      </c>
      <c r="B211" s="3377" t="s">
        <v>3525</v>
      </c>
      <c r="C211" s="3378" t="s">
        <v>3269</v>
      </c>
      <c r="D211" s="3379" t="s">
        <v>3257</v>
      </c>
      <c r="E211" s="3378" t="s">
        <v>70</v>
      </c>
      <c r="F211" s="3379">
        <v>106</v>
      </c>
      <c r="G211" s="3378">
        <v>69.56</v>
      </c>
      <c r="H211" s="3377" t="s">
        <v>3055</v>
      </c>
    </row>
    <row r="212" spans="1:8" ht="14.25" thickBot="1">
      <c r="A212" s="3376">
        <v>211</v>
      </c>
      <c r="B212" s="3377" t="s">
        <v>3525</v>
      </c>
      <c r="C212" s="3378" t="s">
        <v>3269</v>
      </c>
      <c r="D212" s="3379" t="s">
        <v>3257</v>
      </c>
      <c r="E212" s="3378" t="s">
        <v>70</v>
      </c>
      <c r="F212" s="3379">
        <v>107</v>
      </c>
      <c r="G212" s="3378">
        <v>66.11</v>
      </c>
      <c r="H212" s="3377" t="s">
        <v>3055</v>
      </c>
    </row>
    <row r="213" spans="1:8" ht="14.25" thickBot="1">
      <c r="A213" s="3376">
        <v>212</v>
      </c>
      <c r="B213" s="3377" t="s">
        <v>3525</v>
      </c>
      <c r="C213" s="3378" t="s">
        <v>3269</v>
      </c>
      <c r="D213" s="3379" t="s">
        <v>3260</v>
      </c>
      <c r="E213" s="3378" t="s">
        <v>70</v>
      </c>
      <c r="F213" s="3379">
        <v>201</v>
      </c>
      <c r="G213" s="3378">
        <v>94.58</v>
      </c>
      <c r="H213" s="3377" t="s">
        <v>3055</v>
      </c>
    </row>
    <row r="214" spans="1:8" ht="14.25" thickBot="1">
      <c r="A214" s="3376">
        <v>213</v>
      </c>
      <c r="B214" s="3377" t="s">
        <v>3525</v>
      </c>
      <c r="C214" s="3378" t="s">
        <v>3269</v>
      </c>
      <c r="D214" s="3379" t="s">
        <v>3260</v>
      </c>
      <c r="E214" s="3378" t="s">
        <v>70</v>
      </c>
      <c r="F214" s="3379">
        <v>202</v>
      </c>
      <c r="G214" s="3378">
        <v>69.56</v>
      </c>
      <c r="H214" s="3377" t="s">
        <v>3055</v>
      </c>
    </row>
    <row r="215" spans="1:8" ht="14.25" thickBot="1">
      <c r="A215" s="3376">
        <v>214</v>
      </c>
      <c r="B215" s="3377" t="s">
        <v>3525</v>
      </c>
      <c r="C215" s="3378" t="s">
        <v>3269</v>
      </c>
      <c r="D215" s="3379" t="s">
        <v>3260</v>
      </c>
      <c r="E215" s="3378" t="s">
        <v>70</v>
      </c>
      <c r="F215" s="3379">
        <v>203</v>
      </c>
      <c r="G215" s="3378">
        <v>69.5</v>
      </c>
      <c r="H215" s="3377" t="s">
        <v>3055</v>
      </c>
    </row>
    <row r="216" spans="1:8" ht="14.25" thickBot="1">
      <c r="A216" s="3376">
        <v>215</v>
      </c>
      <c r="B216" s="3377" t="s">
        <v>3525</v>
      </c>
      <c r="C216" s="3378" t="s">
        <v>3269</v>
      </c>
      <c r="D216" s="3379" t="s">
        <v>3260</v>
      </c>
      <c r="E216" s="3378" t="s">
        <v>70</v>
      </c>
      <c r="F216" s="3379">
        <v>205</v>
      </c>
      <c r="G216" s="3378">
        <v>69.5</v>
      </c>
      <c r="H216" s="3377" t="s">
        <v>3055</v>
      </c>
    </row>
    <row r="217" spans="1:8" ht="14.25" thickBot="1">
      <c r="A217" s="3376">
        <v>216</v>
      </c>
      <c r="B217" s="3377" t="s">
        <v>3525</v>
      </c>
      <c r="C217" s="3378" t="s">
        <v>3269</v>
      </c>
      <c r="D217" s="3379" t="s">
        <v>3260</v>
      </c>
      <c r="E217" s="3378" t="s">
        <v>70</v>
      </c>
      <c r="F217" s="3379">
        <v>206</v>
      </c>
      <c r="G217" s="3378">
        <v>69.56</v>
      </c>
      <c r="H217" s="3377" t="s">
        <v>3055</v>
      </c>
    </row>
    <row r="218" spans="1:8" ht="14.25" thickBot="1">
      <c r="A218" s="3376">
        <v>217</v>
      </c>
      <c r="B218" s="3377" t="s">
        <v>3525</v>
      </c>
      <c r="C218" s="3378" t="s">
        <v>3269</v>
      </c>
      <c r="D218" s="3379" t="s">
        <v>3260</v>
      </c>
      <c r="E218" s="3378" t="s">
        <v>70</v>
      </c>
      <c r="F218" s="3379">
        <v>207</v>
      </c>
      <c r="G218" s="3378">
        <v>66.11</v>
      </c>
      <c r="H218" s="3377" t="s">
        <v>3055</v>
      </c>
    </row>
    <row r="219" spans="1:8" ht="14.25" thickBot="1">
      <c r="A219" s="3376">
        <v>218</v>
      </c>
      <c r="B219" s="3377" t="s">
        <v>3525</v>
      </c>
      <c r="C219" s="3378" t="s">
        <v>3269</v>
      </c>
      <c r="D219" s="3379" t="s">
        <v>3261</v>
      </c>
      <c r="E219" s="3378" t="s">
        <v>70</v>
      </c>
      <c r="F219" s="3379">
        <v>301</v>
      </c>
      <c r="G219" s="3378">
        <v>94.58</v>
      </c>
      <c r="H219" s="3377" t="s">
        <v>3055</v>
      </c>
    </row>
    <row r="220" spans="1:8" ht="14.25" thickBot="1">
      <c r="A220" s="3376">
        <v>219</v>
      </c>
      <c r="B220" s="3377" t="s">
        <v>3525</v>
      </c>
      <c r="C220" s="3378" t="s">
        <v>3269</v>
      </c>
      <c r="D220" s="3379" t="s">
        <v>3261</v>
      </c>
      <c r="E220" s="3378" t="s">
        <v>70</v>
      </c>
      <c r="F220" s="3379">
        <v>302</v>
      </c>
      <c r="G220" s="3378">
        <v>69.56</v>
      </c>
      <c r="H220" s="3377" t="s">
        <v>3055</v>
      </c>
    </row>
    <row r="221" spans="1:8" ht="14.25" thickBot="1">
      <c r="A221" s="3376">
        <v>220</v>
      </c>
      <c r="B221" s="3377" t="s">
        <v>3525</v>
      </c>
      <c r="C221" s="3378" t="s">
        <v>3269</v>
      </c>
      <c r="D221" s="3379" t="s">
        <v>3261</v>
      </c>
      <c r="E221" s="3378" t="s">
        <v>70</v>
      </c>
      <c r="F221" s="3379">
        <v>303</v>
      </c>
      <c r="G221" s="3378">
        <v>69.5</v>
      </c>
      <c r="H221" s="3377" t="s">
        <v>3055</v>
      </c>
    </row>
    <row r="222" spans="1:8" ht="14.25" thickBot="1">
      <c r="A222" s="3376">
        <v>221</v>
      </c>
      <c r="B222" s="3377" t="s">
        <v>3525</v>
      </c>
      <c r="C222" s="3378" t="s">
        <v>3269</v>
      </c>
      <c r="D222" s="3379" t="s">
        <v>3261</v>
      </c>
      <c r="E222" s="3378" t="s">
        <v>70</v>
      </c>
      <c r="F222" s="3379">
        <v>305</v>
      </c>
      <c r="G222" s="3378">
        <v>69.5</v>
      </c>
      <c r="H222" s="3377" t="s">
        <v>3055</v>
      </c>
    </row>
    <row r="223" spans="1:8" ht="14.25" thickBot="1">
      <c r="A223" s="3376">
        <v>222</v>
      </c>
      <c r="B223" s="3377" t="s">
        <v>3525</v>
      </c>
      <c r="C223" s="3378" t="s">
        <v>3269</v>
      </c>
      <c r="D223" s="3379" t="s">
        <v>3261</v>
      </c>
      <c r="E223" s="3378" t="s">
        <v>70</v>
      </c>
      <c r="F223" s="3379">
        <v>306</v>
      </c>
      <c r="G223" s="3378">
        <v>69.56</v>
      </c>
      <c r="H223" s="3377" t="s">
        <v>3055</v>
      </c>
    </row>
    <row r="224" spans="1:8" ht="14.25" thickBot="1">
      <c r="A224" s="3376">
        <v>223</v>
      </c>
      <c r="B224" s="3377" t="s">
        <v>3525</v>
      </c>
      <c r="C224" s="3378" t="s">
        <v>3269</v>
      </c>
      <c r="D224" s="3379" t="s">
        <v>3261</v>
      </c>
      <c r="E224" s="3378" t="s">
        <v>70</v>
      </c>
      <c r="F224" s="3379">
        <v>307</v>
      </c>
      <c r="G224" s="3378">
        <v>66.11</v>
      </c>
      <c r="H224" s="3377" t="s">
        <v>3055</v>
      </c>
    </row>
    <row r="225" spans="1:8" ht="14.25" thickBot="1">
      <c r="A225" s="3376">
        <v>224</v>
      </c>
      <c r="B225" s="3377" t="s">
        <v>3525</v>
      </c>
      <c r="C225" s="3378" t="s">
        <v>3269</v>
      </c>
      <c r="D225" s="3379" t="s">
        <v>3262</v>
      </c>
      <c r="E225" s="3378" t="s">
        <v>70</v>
      </c>
      <c r="F225" s="3379" t="s">
        <v>3145</v>
      </c>
      <c r="G225" s="3378">
        <v>94.58</v>
      </c>
      <c r="H225" s="3377" t="s">
        <v>3055</v>
      </c>
    </row>
    <row r="226" spans="1:8" ht="14.25" thickBot="1">
      <c r="A226" s="3376">
        <v>225</v>
      </c>
      <c r="B226" s="3377" t="s">
        <v>3525</v>
      </c>
      <c r="C226" s="3378" t="s">
        <v>3269</v>
      </c>
      <c r="D226" s="3379" t="s">
        <v>3262</v>
      </c>
      <c r="E226" s="3378" t="s">
        <v>70</v>
      </c>
      <c r="F226" s="3379" t="s">
        <v>3146</v>
      </c>
      <c r="G226" s="3378">
        <v>69.56</v>
      </c>
      <c r="H226" s="3377" t="s">
        <v>3055</v>
      </c>
    </row>
    <row r="227" spans="1:8" ht="14.25" thickBot="1">
      <c r="A227" s="3376">
        <v>226</v>
      </c>
      <c r="B227" s="3377" t="s">
        <v>3525</v>
      </c>
      <c r="C227" s="3378" t="s">
        <v>3269</v>
      </c>
      <c r="D227" s="3379" t="s">
        <v>3262</v>
      </c>
      <c r="E227" s="3378" t="s">
        <v>70</v>
      </c>
      <c r="F227" s="3379" t="s">
        <v>3147</v>
      </c>
      <c r="G227" s="3378">
        <v>69.5</v>
      </c>
      <c r="H227" s="3377" t="s">
        <v>3055</v>
      </c>
    </row>
    <row r="228" spans="1:8" ht="14.25" thickBot="1">
      <c r="A228" s="3376">
        <v>227</v>
      </c>
      <c r="B228" s="3377" t="s">
        <v>3525</v>
      </c>
      <c r="C228" s="3378" t="s">
        <v>3269</v>
      </c>
      <c r="D228" s="3379" t="s">
        <v>3262</v>
      </c>
      <c r="E228" s="3378" t="s">
        <v>70</v>
      </c>
      <c r="F228" s="3379" t="s">
        <v>3148</v>
      </c>
      <c r="G228" s="3378">
        <v>69.5</v>
      </c>
      <c r="H228" s="3377" t="s">
        <v>3055</v>
      </c>
    </row>
    <row r="229" spans="1:8" ht="14.25" thickBot="1">
      <c r="A229" s="3376">
        <v>228</v>
      </c>
      <c r="B229" s="3377" t="s">
        <v>3525</v>
      </c>
      <c r="C229" s="3378" t="s">
        <v>3269</v>
      </c>
      <c r="D229" s="3379" t="s">
        <v>3262</v>
      </c>
      <c r="E229" s="3378" t="s">
        <v>70</v>
      </c>
      <c r="F229" s="3379" t="s">
        <v>3149</v>
      </c>
      <c r="G229" s="3378">
        <v>69.56</v>
      </c>
      <c r="H229" s="3377" t="s">
        <v>3055</v>
      </c>
    </row>
    <row r="230" spans="1:8" ht="14.25" thickBot="1">
      <c r="A230" s="3376">
        <v>229</v>
      </c>
      <c r="B230" s="3377" t="s">
        <v>3525</v>
      </c>
      <c r="C230" s="3378" t="s">
        <v>3269</v>
      </c>
      <c r="D230" s="3379" t="s">
        <v>3262</v>
      </c>
      <c r="E230" s="3378" t="s">
        <v>70</v>
      </c>
      <c r="F230" s="3379" t="s">
        <v>3150</v>
      </c>
      <c r="G230" s="3378">
        <v>66.11</v>
      </c>
      <c r="H230" s="3377" t="s">
        <v>3055</v>
      </c>
    </row>
    <row r="231" spans="1:8" ht="14.25" thickBot="1">
      <c r="A231" s="3376">
        <v>230</v>
      </c>
      <c r="B231" s="3377" t="s">
        <v>3525</v>
      </c>
      <c r="C231" s="3378" t="s">
        <v>3269</v>
      </c>
      <c r="D231" s="3379" t="s">
        <v>3263</v>
      </c>
      <c r="E231" s="3378" t="s">
        <v>70</v>
      </c>
      <c r="F231" s="3379">
        <v>501</v>
      </c>
      <c r="G231" s="3378">
        <v>94.58</v>
      </c>
      <c r="H231" s="3377" t="s">
        <v>3055</v>
      </c>
    </row>
    <row r="232" spans="1:8" ht="14.25" thickBot="1">
      <c r="A232" s="3376">
        <v>231</v>
      </c>
      <c r="B232" s="3377" t="s">
        <v>3525</v>
      </c>
      <c r="C232" s="3378" t="s">
        <v>3269</v>
      </c>
      <c r="D232" s="3379" t="s">
        <v>3263</v>
      </c>
      <c r="E232" s="3378" t="s">
        <v>70</v>
      </c>
      <c r="F232" s="3379">
        <v>502</v>
      </c>
      <c r="G232" s="3378">
        <v>69.56</v>
      </c>
      <c r="H232" s="3377" t="s">
        <v>3055</v>
      </c>
    </row>
    <row r="233" spans="1:8" ht="14.25" thickBot="1">
      <c r="A233" s="3376">
        <v>232</v>
      </c>
      <c r="B233" s="3377" t="s">
        <v>3525</v>
      </c>
      <c r="C233" s="3378" t="s">
        <v>3269</v>
      </c>
      <c r="D233" s="3379" t="s">
        <v>3263</v>
      </c>
      <c r="E233" s="3378" t="s">
        <v>70</v>
      </c>
      <c r="F233" s="3379">
        <v>503</v>
      </c>
      <c r="G233" s="3378">
        <v>69.5</v>
      </c>
      <c r="H233" s="3377" t="s">
        <v>3055</v>
      </c>
    </row>
    <row r="234" spans="1:8" ht="14.25" thickBot="1">
      <c r="A234" s="3376">
        <v>233</v>
      </c>
      <c r="B234" s="3377" t="s">
        <v>3525</v>
      </c>
      <c r="C234" s="3378" t="s">
        <v>3269</v>
      </c>
      <c r="D234" s="3379" t="s">
        <v>3263</v>
      </c>
      <c r="E234" s="3378" t="s">
        <v>70</v>
      </c>
      <c r="F234" s="3379">
        <v>505</v>
      </c>
      <c r="G234" s="3378">
        <v>69.5</v>
      </c>
      <c r="H234" s="3377" t="s">
        <v>3055</v>
      </c>
    </row>
    <row r="235" spans="1:8" ht="14.25" thickBot="1">
      <c r="A235" s="3376">
        <v>234</v>
      </c>
      <c r="B235" s="3377" t="s">
        <v>3525</v>
      </c>
      <c r="C235" s="3378" t="s">
        <v>3269</v>
      </c>
      <c r="D235" s="3379" t="s">
        <v>3263</v>
      </c>
      <c r="E235" s="3378" t="s">
        <v>70</v>
      </c>
      <c r="F235" s="3379">
        <v>506</v>
      </c>
      <c r="G235" s="3378">
        <v>69.56</v>
      </c>
      <c r="H235" s="3377" t="s">
        <v>3055</v>
      </c>
    </row>
    <row r="236" spans="1:8" ht="14.25" thickBot="1">
      <c r="A236" s="3376">
        <v>235</v>
      </c>
      <c r="B236" s="3377" t="s">
        <v>3525</v>
      </c>
      <c r="C236" s="3378" t="s">
        <v>3269</v>
      </c>
      <c r="D236" s="3379" t="s">
        <v>3263</v>
      </c>
      <c r="E236" s="3378" t="s">
        <v>70</v>
      </c>
      <c r="F236" s="3379">
        <v>507</v>
      </c>
      <c r="G236" s="3378">
        <v>66.11</v>
      </c>
      <c r="H236" s="3377" t="s">
        <v>3055</v>
      </c>
    </row>
    <row r="237" spans="1:8" ht="14.25" thickBot="1">
      <c r="A237" s="3376">
        <v>236</v>
      </c>
      <c r="B237" s="3377" t="s">
        <v>3525</v>
      </c>
      <c r="C237" s="3378" t="s">
        <v>3269</v>
      </c>
      <c r="D237" s="3379" t="s">
        <v>3264</v>
      </c>
      <c r="E237" s="3378" t="s">
        <v>70</v>
      </c>
      <c r="F237" s="3379">
        <v>601</v>
      </c>
      <c r="G237" s="3378">
        <v>94.58</v>
      </c>
      <c r="H237" s="3377" t="s">
        <v>3055</v>
      </c>
    </row>
    <row r="238" spans="1:8" ht="14.25" thickBot="1">
      <c r="A238" s="3376">
        <v>237</v>
      </c>
      <c r="B238" s="3377" t="s">
        <v>3525</v>
      </c>
      <c r="C238" s="3378" t="s">
        <v>3269</v>
      </c>
      <c r="D238" s="3379" t="s">
        <v>3264</v>
      </c>
      <c r="E238" s="3378" t="s">
        <v>70</v>
      </c>
      <c r="F238" s="3379">
        <v>602</v>
      </c>
      <c r="G238" s="3378">
        <v>69.56</v>
      </c>
      <c r="H238" s="3377" t="s">
        <v>3055</v>
      </c>
    </row>
    <row r="239" spans="1:8" ht="14.25" thickBot="1">
      <c r="A239" s="3376">
        <v>238</v>
      </c>
      <c r="B239" s="3377" t="s">
        <v>3525</v>
      </c>
      <c r="C239" s="3378" t="s">
        <v>3269</v>
      </c>
      <c r="D239" s="3379" t="s">
        <v>3264</v>
      </c>
      <c r="E239" s="3378" t="s">
        <v>70</v>
      </c>
      <c r="F239" s="3379">
        <v>603</v>
      </c>
      <c r="G239" s="3378">
        <v>69.5</v>
      </c>
      <c r="H239" s="3377" t="s">
        <v>3055</v>
      </c>
    </row>
    <row r="240" spans="1:8" ht="14.25" thickBot="1">
      <c r="A240" s="3376">
        <v>239</v>
      </c>
      <c r="B240" s="3377" t="s">
        <v>3525</v>
      </c>
      <c r="C240" s="3378" t="s">
        <v>3269</v>
      </c>
      <c r="D240" s="3379" t="s">
        <v>3264</v>
      </c>
      <c r="E240" s="3378" t="s">
        <v>70</v>
      </c>
      <c r="F240" s="3379">
        <v>605</v>
      </c>
      <c r="G240" s="3378">
        <v>69.5</v>
      </c>
      <c r="H240" s="3377" t="s">
        <v>3055</v>
      </c>
    </row>
    <row r="241" spans="1:8" ht="14.25" thickBot="1">
      <c r="A241" s="3376">
        <v>240</v>
      </c>
      <c r="B241" s="3377" t="s">
        <v>3525</v>
      </c>
      <c r="C241" s="3378" t="s">
        <v>3269</v>
      </c>
      <c r="D241" s="3379" t="s">
        <v>3264</v>
      </c>
      <c r="E241" s="3378" t="s">
        <v>70</v>
      </c>
      <c r="F241" s="3379">
        <v>606</v>
      </c>
      <c r="G241" s="3378">
        <v>69.56</v>
      </c>
      <c r="H241" s="3377" t="s">
        <v>3055</v>
      </c>
    </row>
    <row r="242" spans="1:8" ht="14.25" thickBot="1">
      <c r="A242" s="3376">
        <v>241</v>
      </c>
      <c r="B242" s="3377" t="s">
        <v>3525</v>
      </c>
      <c r="C242" s="3378" t="s">
        <v>3269</v>
      </c>
      <c r="D242" s="3379" t="s">
        <v>3264</v>
      </c>
      <c r="E242" s="3378" t="s">
        <v>70</v>
      </c>
      <c r="F242" s="3379">
        <v>607</v>
      </c>
      <c r="G242" s="3378">
        <v>66.11</v>
      </c>
      <c r="H242" s="3377" t="s">
        <v>3055</v>
      </c>
    </row>
    <row r="243" spans="1:8" ht="14.25" thickBot="1">
      <c r="A243" s="3376">
        <v>242</v>
      </c>
      <c r="B243" s="3377" t="s">
        <v>3525</v>
      </c>
      <c r="C243" s="3378" t="s">
        <v>3270</v>
      </c>
      <c r="D243" s="3379" t="s">
        <v>3257</v>
      </c>
      <c r="E243" s="3378" t="s">
        <v>70</v>
      </c>
      <c r="F243" s="3379">
        <v>101</v>
      </c>
      <c r="G243" s="3378">
        <v>93.98</v>
      </c>
      <c r="H243" s="3377" t="s">
        <v>3055</v>
      </c>
    </row>
    <row r="244" spans="1:8" ht="14.25" thickBot="1">
      <c r="A244" s="3376">
        <v>243</v>
      </c>
      <c r="B244" s="3377" t="s">
        <v>3525</v>
      </c>
      <c r="C244" s="3378" t="s">
        <v>3270</v>
      </c>
      <c r="D244" s="3379" t="s">
        <v>3257</v>
      </c>
      <c r="E244" s="3378" t="s">
        <v>70</v>
      </c>
      <c r="F244" s="3379">
        <v>102</v>
      </c>
      <c r="G244" s="3378">
        <v>69.12</v>
      </c>
      <c r="H244" s="3377" t="s">
        <v>3055</v>
      </c>
    </row>
    <row r="245" spans="1:8" ht="14.25" thickBot="1">
      <c r="A245" s="3376">
        <v>244</v>
      </c>
      <c r="B245" s="3377" t="s">
        <v>3525</v>
      </c>
      <c r="C245" s="3378" t="s">
        <v>3270</v>
      </c>
      <c r="D245" s="3379" t="s">
        <v>3257</v>
      </c>
      <c r="E245" s="3378" t="s">
        <v>70</v>
      </c>
      <c r="F245" s="3379">
        <v>103</v>
      </c>
      <c r="G245" s="3378">
        <v>69.06</v>
      </c>
      <c r="H245" s="3377" t="s">
        <v>3055</v>
      </c>
    </row>
    <row r="246" spans="1:8" ht="14.25" thickBot="1">
      <c r="A246" s="3376">
        <v>245</v>
      </c>
      <c r="B246" s="3377" t="s">
        <v>3525</v>
      </c>
      <c r="C246" s="3378" t="s">
        <v>3270</v>
      </c>
      <c r="D246" s="3379" t="s">
        <v>3257</v>
      </c>
      <c r="E246" s="3378" t="s">
        <v>70</v>
      </c>
      <c r="F246" s="3379">
        <v>105</v>
      </c>
      <c r="G246" s="3378">
        <v>69.06</v>
      </c>
      <c r="H246" s="3377" t="s">
        <v>3055</v>
      </c>
    </row>
    <row r="247" spans="1:8" ht="14.25" thickBot="1">
      <c r="A247" s="3376">
        <v>246</v>
      </c>
      <c r="B247" s="3377" t="s">
        <v>3525</v>
      </c>
      <c r="C247" s="3378" t="s">
        <v>3270</v>
      </c>
      <c r="D247" s="3379" t="s">
        <v>3257</v>
      </c>
      <c r="E247" s="3378" t="s">
        <v>70</v>
      </c>
      <c r="F247" s="3379">
        <v>106</v>
      </c>
      <c r="G247" s="3378">
        <v>69.12</v>
      </c>
      <c r="H247" s="3377" t="s">
        <v>3055</v>
      </c>
    </row>
    <row r="248" spans="1:8" ht="14.25" thickBot="1">
      <c r="A248" s="3376">
        <v>247</v>
      </c>
      <c r="B248" s="3377" t="s">
        <v>3525</v>
      </c>
      <c r="C248" s="3378" t="s">
        <v>3270</v>
      </c>
      <c r="D248" s="3379" t="s">
        <v>3257</v>
      </c>
      <c r="E248" s="3378" t="s">
        <v>70</v>
      </c>
      <c r="F248" s="3379">
        <v>107</v>
      </c>
      <c r="G248" s="3378">
        <v>65.69</v>
      </c>
      <c r="H248" s="3377" t="s">
        <v>3055</v>
      </c>
    </row>
    <row r="249" spans="1:8" ht="14.25" thickBot="1">
      <c r="A249" s="3376">
        <v>248</v>
      </c>
      <c r="B249" s="3377" t="s">
        <v>3525</v>
      </c>
      <c r="C249" s="3378" t="s">
        <v>3270</v>
      </c>
      <c r="D249" s="3379" t="s">
        <v>3260</v>
      </c>
      <c r="E249" s="3378" t="s">
        <v>70</v>
      </c>
      <c r="F249" s="3379">
        <v>201</v>
      </c>
      <c r="G249" s="3378">
        <v>93.98</v>
      </c>
      <c r="H249" s="3377" t="s">
        <v>3055</v>
      </c>
    </row>
    <row r="250" spans="1:8" ht="14.25" thickBot="1">
      <c r="A250" s="3376">
        <v>249</v>
      </c>
      <c r="B250" s="3377" t="s">
        <v>3525</v>
      </c>
      <c r="C250" s="3378" t="s">
        <v>3270</v>
      </c>
      <c r="D250" s="3379" t="s">
        <v>3260</v>
      </c>
      <c r="E250" s="3378" t="s">
        <v>70</v>
      </c>
      <c r="F250" s="3379">
        <v>202</v>
      </c>
      <c r="G250" s="3378">
        <v>69.12</v>
      </c>
      <c r="H250" s="3377" t="s">
        <v>3055</v>
      </c>
    </row>
    <row r="251" spans="1:8" ht="14.25" thickBot="1">
      <c r="A251" s="3376">
        <v>250</v>
      </c>
      <c r="B251" s="3377" t="s">
        <v>3525</v>
      </c>
      <c r="C251" s="3378" t="s">
        <v>3270</v>
      </c>
      <c r="D251" s="3379" t="s">
        <v>3260</v>
      </c>
      <c r="E251" s="3378" t="s">
        <v>70</v>
      </c>
      <c r="F251" s="3379">
        <v>203</v>
      </c>
      <c r="G251" s="3378">
        <v>69.06</v>
      </c>
      <c r="H251" s="3377" t="s">
        <v>3055</v>
      </c>
    </row>
    <row r="252" spans="1:8" ht="14.25" thickBot="1">
      <c r="A252" s="3376">
        <v>251</v>
      </c>
      <c r="B252" s="3377" t="s">
        <v>3525</v>
      </c>
      <c r="C252" s="3378" t="s">
        <v>3270</v>
      </c>
      <c r="D252" s="3379" t="s">
        <v>3260</v>
      </c>
      <c r="E252" s="3378" t="s">
        <v>70</v>
      </c>
      <c r="F252" s="3379">
        <v>205</v>
      </c>
      <c r="G252" s="3378">
        <v>69.06</v>
      </c>
      <c r="H252" s="3377" t="s">
        <v>3055</v>
      </c>
    </row>
    <row r="253" spans="1:8" ht="14.25" thickBot="1">
      <c r="A253" s="3376">
        <v>252</v>
      </c>
      <c r="B253" s="3377" t="s">
        <v>3525</v>
      </c>
      <c r="C253" s="3378" t="s">
        <v>3270</v>
      </c>
      <c r="D253" s="3379" t="s">
        <v>3260</v>
      </c>
      <c r="E253" s="3378" t="s">
        <v>70</v>
      </c>
      <c r="F253" s="3379">
        <v>206</v>
      </c>
      <c r="G253" s="3378">
        <v>69.12</v>
      </c>
      <c r="H253" s="3377" t="s">
        <v>3055</v>
      </c>
    </row>
    <row r="254" spans="1:8" ht="14.25" thickBot="1">
      <c r="A254" s="3376">
        <v>253</v>
      </c>
      <c r="B254" s="3377" t="s">
        <v>3525</v>
      </c>
      <c r="C254" s="3378" t="s">
        <v>3270</v>
      </c>
      <c r="D254" s="3379" t="s">
        <v>3260</v>
      </c>
      <c r="E254" s="3378" t="s">
        <v>70</v>
      </c>
      <c r="F254" s="3379">
        <v>207</v>
      </c>
      <c r="G254" s="3378">
        <v>65.69</v>
      </c>
      <c r="H254" s="3377" t="s">
        <v>3055</v>
      </c>
    </row>
    <row r="255" spans="1:8" ht="14.25" thickBot="1">
      <c r="A255" s="3376">
        <v>254</v>
      </c>
      <c r="B255" s="3377" t="s">
        <v>3525</v>
      </c>
      <c r="C255" s="3378" t="s">
        <v>3270</v>
      </c>
      <c r="D255" s="3379" t="s">
        <v>3261</v>
      </c>
      <c r="E255" s="3378" t="s">
        <v>70</v>
      </c>
      <c r="F255" s="3379">
        <v>301</v>
      </c>
      <c r="G255" s="3378">
        <v>93.98</v>
      </c>
      <c r="H255" s="3377" t="s">
        <v>3055</v>
      </c>
    </row>
    <row r="256" spans="1:8" ht="14.25" thickBot="1">
      <c r="A256" s="3376">
        <v>255</v>
      </c>
      <c r="B256" s="3377" t="s">
        <v>3525</v>
      </c>
      <c r="C256" s="3378" t="s">
        <v>3270</v>
      </c>
      <c r="D256" s="3379" t="s">
        <v>3261</v>
      </c>
      <c r="E256" s="3378" t="s">
        <v>70</v>
      </c>
      <c r="F256" s="3379">
        <v>302</v>
      </c>
      <c r="G256" s="3378">
        <v>69.12</v>
      </c>
      <c r="H256" s="3377" t="s">
        <v>3055</v>
      </c>
    </row>
    <row r="257" spans="1:8" ht="14.25" thickBot="1">
      <c r="A257" s="3376">
        <v>256</v>
      </c>
      <c r="B257" s="3377" t="s">
        <v>3525</v>
      </c>
      <c r="C257" s="3378" t="s">
        <v>3270</v>
      </c>
      <c r="D257" s="3379" t="s">
        <v>3261</v>
      </c>
      <c r="E257" s="3378" t="s">
        <v>70</v>
      </c>
      <c r="F257" s="3379">
        <v>303</v>
      </c>
      <c r="G257" s="3378">
        <v>69.06</v>
      </c>
      <c r="H257" s="3377" t="s">
        <v>3055</v>
      </c>
    </row>
    <row r="258" spans="1:8" ht="14.25" thickBot="1">
      <c r="A258" s="3376">
        <v>257</v>
      </c>
      <c r="B258" s="3377" t="s">
        <v>3525</v>
      </c>
      <c r="C258" s="3378" t="s">
        <v>3270</v>
      </c>
      <c r="D258" s="3379" t="s">
        <v>3261</v>
      </c>
      <c r="E258" s="3378" t="s">
        <v>70</v>
      </c>
      <c r="F258" s="3379">
        <v>305</v>
      </c>
      <c r="G258" s="3378">
        <v>69.06</v>
      </c>
      <c r="H258" s="3377" t="s">
        <v>3055</v>
      </c>
    </row>
    <row r="259" spans="1:8" ht="14.25" thickBot="1">
      <c r="A259" s="3376">
        <v>258</v>
      </c>
      <c r="B259" s="3377" t="s">
        <v>3525</v>
      </c>
      <c r="C259" s="3378" t="s">
        <v>3270</v>
      </c>
      <c r="D259" s="3379" t="s">
        <v>3261</v>
      </c>
      <c r="E259" s="3378" t="s">
        <v>70</v>
      </c>
      <c r="F259" s="3379">
        <v>306</v>
      </c>
      <c r="G259" s="3378">
        <v>69.12</v>
      </c>
      <c r="H259" s="3377" t="s">
        <v>3055</v>
      </c>
    </row>
    <row r="260" spans="1:8" ht="14.25" thickBot="1">
      <c r="A260" s="3376">
        <v>259</v>
      </c>
      <c r="B260" s="3377" t="s">
        <v>3525</v>
      </c>
      <c r="C260" s="3378" t="s">
        <v>3270</v>
      </c>
      <c r="D260" s="3379" t="s">
        <v>3261</v>
      </c>
      <c r="E260" s="3378" t="s">
        <v>70</v>
      </c>
      <c r="F260" s="3379">
        <v>307</v>
      </c>
      <c r="G260" s="3378">
        <v>65.69</v>
      </c>
      <c r="H260" s="3377" t="s">
        <v>3055</v>
      </c>
    </row>
    <row r="261" spans="1:8" ht="14.25" thickBot="1">
      <c r="A261" s="3376">
        <v>260</v>
      </c>
      <c r="B261" s="3377" t="s">
        <v>3525</v>
      </c>
      <c r="C261" s="3378" t="s">
        <v>3270</v>
      </c>
      <c r="D261" s="3379" t="s">
        <v>3262</v>
      </c>
      <c r="E261" s="3378" t="s">
        <v>70</v>
      </c>
      <c r="F261" s="3379" t="s">
        <v>3145</v>
      </c>
      <c r="G261" s="3378">
        <v>93.98</v>
      </c>
      <c r="H261" s="3377" t="s">
        <v>3055</v>
      </c>
    </row>
    <row r="262" spans="1:8" ht="14.25" thickBot="1">
      <c r="A262" s="3376">
        <v>261</v>
      </c>
      <c r="B262" s="3377" t="s">
        <v>3525</v>
      </c>
      <c r="C262" s="3378" t="s">
        <v>3270</v>
      </c>
      <c r="D262" s="3379" t="s">
        <v>3262</v>
      </c>
      <c r="E262" s="3378" t="s">
        <v>70</v>
      </c>
      <c r="F262" s="3379" t="s">
        <v>3146</v>
      </c>
      <c r="G262" s="3378">
        <v>69.12</v>
      </c>
      <c r="H262" s="3377" t="s">
        <v>3055</v>
      </c>
    </row>
    <row r="263" spans="1:8" ht="14.25" thickBot="1">
      <c r="A263" s="3376">
        <v>262</v>
      </c>
      <c r="B263" s="3377" t="s">
        <v>3525</v>
      </c>
      <c r="C263" s="3378" t="s">
        <v>3270</v>
      </c>
      <c r="D263" s="3379" t="s">
        <v>3262</v>
      </c>
      <c r="E263" s="3378" t="s">
        <v>70</v>
      </c>
      <c r="F263" s="3379" t="s">
        <v>3147</v>
      </c>
      <c r="G263" s="3378">
        <v>69.06</v>
      </c>
      <c r="H263" s="3377" t="s">
        <v>3055</v>
      </c>
    </row>
    <row r="264" spans="1:8" ht="14.25" thickBot="1">
      <c r="A264" s="3376">
        <v>263</v>
      </c>
      <c r="B264" s="3377" t="s">
        <v>3525</v>
      </c>
      <c r="C264" s="3378" t="s">
        <v>3270</v>
      </c>
      <c r="D264" s="3379" t="s">
        <v>3262</v>
      </c>
      <c r="E264" s="3378" t="s">
        <v>70</v>
      </c>
      <c r="F264" s="3379" t="s">
        <v>3148</v>
      </c>
      <c r="G264" s="3378">
        <v>69.06</v>
      </c>
      <c r="H264" s="3377" t="s">
        <v>3055</v>
      </c>
    </row>
    <row r="265" spans="1:8" ht="14.25" thickBot="1">
      <c r="A265" s="3376">
        <v>264</v>
      </c>
      <c r="B265" s="3377" t="s">
        <v>3525</v>
      </c>
      <c r="C265" s="3378" t="s">
        <v>3270</v>
      </c>
      <c r="D265" s="3379" t="s">
        <v>3262</v>
      </c>
      <c r="E265" s="3378" t="s">
        <v>70</v>
      </c>
      <c r="F265" s="3379" t="s">
        <v>3149</v>
      </c>
      <c r="G265" s="3378">
        <v>69.12</v>
      </c>
      <c r="H265" s="3377" t="s">
        <v>3055</v>
      </c>
    </row>
    <row r="266" spans="1:8" ht="14.25" thickBot="1">
      <c r="A266" s="3376">
        <v>265</v>
      </c>
      <c r="B266" s="3377" t="s">
        <v>3525</v>
      </c>
      <c r="C266" s="3378" t="s">
        <v>3270</v>
      </c>
      <c r="D266" s="3379" t="s">
        <v>3262</v>
      </c>
      <c r="E266" s="3378" t="s">
        <v>70</v>
      </c>
      <c r="F266" s="3379" t="s">
        <v>3150</v>
      </c>
      <c r="G266" s="3378">
        <v>65.69</v>
      </c>
      <c r="H266" s="3377" t="s">
        <v>3055</v>
      </c>
    </row>
    <row r="267" spans="1:8" ht="14.25" thickBot="1">
      <c r="A267" s="3376">
        <v>266</v>
      </c>
      <c r="B267" s="3377" t="s">
        <v>3525</v>
      </c>
      <c r="C267" s="3378" t="s">
        <v>3270</v>
      </c>
      <c r="D267" s="3379" t="s">
        <v>3263</v>
      </c>
      <c r="E267" s="3378" t="s">
        <v>70</v>
      </c>
      <c r="F267" s="3379">
        <v>501</v>
      </c>
      <c r="G267" s="3378">
        <v>93.98</v>
      </c>
      <c r="H267" s="3377" t="s">
        <v>3055</v>
      </c>
    </row>
    <row r="268" spans="1:8" ht="14.25" thickBot="1">
      <c r="A268" s="3376">
        <v>267</v>
      </c>
      <c r="B268" s="3377" t="s">
        <v>3525</v>
      </c>
      <c r="C268" s="3378" t="s">
        <v>3270</v>
      </c>
      <c r="D268" s="3379" t="s">
        <v>3263</v>
      </c>
      <c r="E268" s="3378" t="s">
        <v>70</v>
      </c>
      <c r="F268" s="3379">
        <v>502</v>
      </c>
      <c r="G268" s="3378">
        <v>69.12</v>
      </c>
      <c r="H268" s="3377" t="s">
        <v>3055</v>
      </c>
    </row>
    <row r="269" spans="1:8" ht="14.25" thickBot="1">
      <c r="A269" s="3376">
        <v>268</v>
      </c>
      <c r="B269" s="3377" t="s">
        <v>3525</v>
      </c>
      <c r="C269" s="3378" t="s">
        <v>3270</v>
      </c>
      <c r="D269" s="3379" t="s">
        <v>3263</v>
      </c>
      <c r="E269" s="3378" t="s">
        <v>70</v>
      </c>
      <c r="F269" s="3379">
        <v>503</v>
      </c>
      <c r="G269" s="3378">
        <v>69.06</v>
      </c>
      <c r="H269" s="3377" t="s">
        <v>3055</v>
      </c>
    </row>
    <row r="270" spans="1:8" ht="14.25" thickBot="1">
      <c r="A270" s="3376">
        <v>269</v>
      </c>
      <c r="B270" s="3377" t="s">
        <v>3525</v>
      </c>
      <c r="C270" s="3378" t="s">
        <v>3270</v>
      </c>
      <c r="D270" s="3379" t="s">
        <v>3263</v>
      </c>
      <c r="E270" s="3378" t="s">
        <v>70</v>
      </c>
      <c r="F270" s="3379">
        <v>505</v>
      </c>
      <c r="G270" s="3378">
        <v>69.06</v>
      </c>
      <c r="H270" s="3377" t="s">
        <v>3055</v>
      </c>
    </row>
    <row r="271" spans="1:8" ht="14.25" thickBot="1">
      <c r="A271" s="3376">
        <v>270</v>
      </c>
      <c r="B271" s="3377" t="s">
        <v>3525</v>
      </c>
      <c r="C271" s="3378" t="s">
        <v>3270</v>
      </c>
      <c r="D271" s="3379" t="s">
        <v>3263</v>
      </c>
      <c r="E271" s="3378" t="s">
        <v>70</v>
      </c>
      <c r="F271" s="3379">
        <v>506</v>
      </c>
      <c r="G271" s="3378">
        <v>69.12</v>
      </c>
      <c r="H271" s="3377" t="s">
        <v>3055</v>
      </c>
    </row>
    <row r="272" spans="1:8" ht="14.25" thickBot="1">
      <c r="A272" s="3376">
        <v>271</v>
      </c>
      <c r="B272" s="3377" t="s">
        <v>3525</v>
      </c>
      <c r="C272" s="3378" t="s">
        <v>3270</v>
      </c>
      <c r="D272" s="3379" t="s">
        <v>3263</v>
      </c>
      <c r="E272" s="3378" t="s">
        <v>70</v>
      </c>
      <c r="F272" s="3379">
        <v>507</v>
      </c>
      <c r="G272" s="3378">
        <v>65.69</v>
      </c>
      <c r="H272" s="3377" t="s">
        <v>3055</v>
      </c>
    </row>
    <row r="273" spans="1:8" ht="14.25" thickBot="1">
      <c r="A273" s="3376">
        <v>272</v>
      </c>
      <c r="B273" s="3377" t="s">
        <v>3525</v>
      </c>
      <c r="C273" s="3378" t="s">
        <v>3270</v>
      </c>
      <c r="D273" s="3379" t="s">
        <v>3264</v>
      </c>
      <c r="E273" s="3378" t="s">
        <v>70</v>
      </c>
      <c r="F273" s="3379">
        <v>601</v>
      </c>
      <c r="G273" s="3378">
        <v>93.98</v>
      </c>
      <c r="H273" s="3377" t="s">
        <v>3055</v>
      </c>
    </row>
    <row r="274" spans="1:8" ht="14.25" thickBot="1">
      <c r="A274" s="3376">
        <v>273</v>
      </c>
      <c r="B274" s="3377" t="s">
        <v>3525</v>
      </c>
      <c r="C274" s="3378" t="s">
        <v>3270</v>
      </c>
      <c r="D274" s="3379" t="s">
        <v>3264</v>
      </c>
      <c r="E274" s="3378" t="s">
        <v>70</v>
      </c>
      <c r="F274" s="3379">
        <v>602</v>
      </c>
      <c r="G274" s="3378">
        <v>69.12</v>
      </c>
      <c r="H274" s="3377" t="s">
        <v>3055</v>
      </c>
    </row>
    <row r="275" spans="1:8" ht="14.25" thickBot="1">
      <c r="A275" s="3376">
        <v>274</v>
      </c>
      <c r="B275" s="3377" t="s">
        <v>3525</v>
      </c>
      <c r="C275" s="3378" t="s">
        <v>3270</v>
      </c>
      <c r="D275" s="3379" t="s">
        <v>3264</v>
      </c>
      <c r="E275" s="3378" t="s">
        <v>70</v>
      </c>
      <c r="F275" s="3379">
        <v>603</v>
      </c>
      <c r="G275" s="3378">
        <v>69.06</v>
      </c>
      <c r="H275" s="3377" t="s">
        <v>3055</v>
      </c>
    </row>
    <row r="276" spans="1:8" ht="14.25" thickBot="1">
      <c r="A276" s="3376">
        <v>275</v>
      </c>
      <c r="B276" s="3377" t="s">
        <v>3525</v>
      </c>
      <c r="C276" s="3378" t="s">
        <v>3270</v>
      </c>
      <c r="D276" s="3379" t="s">
        <v>3264</v>
      </c>
      <c r="E276" s="3378" t="s">
        <v>70</v>
      </c>
      <c r="F276" s="3379">
        <v>605</v>
      </c>
      <c r="G276" s="3378">
        <v>69.06</v>
      </c>
      <c r="H276" s="3377" t="s">
        <v>3055</v>
      </c>
    </row>
    <row r="277" spans="1:8" ht="14.25" thickBot="1">
      <c r="A277" s="3376">
        <v>276</v>
      </c>
      <c r="B277" s="3377" t="s">
        <v>3525</v>
      </c>
      <c r="C277" s="3378" t="s">
        <v>3270</v>
      </c>
      <c r="D277" s="3379" t="s">
        <v>3264</v>
      </c>
      <c r="E277" s="3378" t="s">
        <v>70</v>
      </c>
      <c r="F277" s="3379">
        <v>606</v>
      </c>
      <c r="G277" s="3378">
        <v>69.12</v>
      </c>
      <c r="H277" s="3377" t="s">
        <v>3055</v>
      </c>
    </row>
    <row r="278" spans="1:8" ht="14.25" thickBot="1">
      <c r="A278" s="3376">
        <v>277</v>
      </c>
      <c r="B278" s="3377" t="s">
        <v>3525</v>
      </c>
      <c r="C278" s="3378" t="s">
        <v>3270</v>
      </c>
      <c r="D278" s="3379" t="s">
        <v>3264</v>
      </c>
      <c r="E278" s="3378" t="s">
        <v>70</v>
      </c>
      <c r="F278" s="3379">
        <v>607</v>
      </c>
      <c r="G278" s="3378">
        <v>65.69</v>
      </c>
      <c r="H278" s="3377" t="s">
        <v>3055</v>
      </c>
    </row>
    <row r="279" spans="1:8" ht="14.25" thickBot="1">
      <c r="A279" s="3376">
        <v>278</v>
      </c>
      <c r="B279" s="3377" t="s">
        <v>3524</v>
      </c>
      <c r="C279" s="3378" t="s">
        <v>3271</v>
      </c>
      <c r="D279" s="3379" t="s">
        <v>3257</v>
      </c>
      <c r="E279" s="3378" t="s">
        <v>3258</v>
      </c>
      <c r="F279" s="3379">
        <v>101</v>
      </c>
      <c r="G279" s="3378">
        <v>66.28</v>
      </c>
      <c r="H279" s="3377" t="s">
        <v>3055</v>
      </c>
    </row>
    <row r="280" spans="1:8" ht="14.25" thickBot="1">
      <c r="A280" s="3376">
        <v>279</v>
      </c>
      <c r="B280" s="3377" t="s">
        <v>3524</v>
      </c>
      <c r="C280" s="3378" t="s">
        <v>3271</v>
      </c>
      <c r="D280" s="3378" t="s">
        <v>3257</v>
      </c>
      <c r="E280" s="3378" t="s">
        <v>3258</v>
      </c>
      <c r="F280" s="3378">
        <v>102</v>
      </c>
      <c r="G280" s="3378">
        <v>69.77</v>
      </c>
      <c r="H280" s="3377" t="s">
        <v>3055</v>
      </c>
    </row>
    <row r="281" spans="1:8" ht="14.25" thickBot="1">
      <c r="A281" s="3376">
        <v>280</v>
      </c>
      <c r="B281" s="3377" t="s">
        <v>3524</v>
      </c>
      <c r="C281" s="3378" t="s">
        <v>3271</v>
      </c>
      <c r="D281" s="3378" t="s">
        <v>3257</v>
      </c>
      <c r="E281" s="3378" t="s">
        <v>3258</v>
      </c>
      <c r="F281" s="3378">
        <v>103</v>
      </c>
      <c r="G281" s="3378">
        <v>69.94</v>
      </c>
      <c r="H281" s="3377" t="s">
        <v>3055</v>
      </c>
    </row>
    <row r="282" spans="1:8" ht="14.25" thickBot="1">
      <c r="A282" s="3376">
        <v>281</v>
      </c>
      <c r="B282" s="3377" t="s">
        <v>3524</v>
      </c>
      <c r="C282" s="3378" t="s">
        <v>3271</v>
      </c>
      <c r="D282" s="3378" t="s">
        <v>3257</v>
      </c>
      <c r="E282" s="3378" t="s">
        <v>3258</v>
      </c>
      <c r="F282" s="3378">
        <v>105</v>
      </c>
      <c r="G282" s="3378">
        <v>69.94</v>
      </c>
      <c r="H282" s="3377" t="s">
        <v>3055</v>
      </c>
    </row>
    <row r="283" spans="1:8" ht="14.25" thickBot="1">
      <c r="A283" s="3376">
        <v>282</v>
      </c>
      <c r="B283" s="3377" t="s">
        <v>3524</v>
      </c>
      <c r="C283" s="3378" t="s">
        <v>3271</v>
      </c>
      <c r="D283" s="3378" t="s">
        <v>3257</v>
      </c>
      <c r="E283" s="3378" t="s">
        <v>3258</v>
      </c>
      <c r="F283" s="3378">
        <v>106</v>
      </c>
      <c r="G283" s="3378">
        <v>69.77</v>
      </c>
      <c r="H283" s="3377" t="s">
        <v>3055</v>
      </c>
    </row>
    <row r="284" spans="1:8" ht="14.25" thickBot="1">
      <c r="A284" s="3376">
        <v>283</v>
      </c>
      <c r="B284" s="3377" t="s">
        <v>3524</v>
      </c>
      <c r="C284" s="3378" t="s">
        <v>3271</v>
      </c>
      <c r="D284" s="3378" t="s">
        <v>3257</v>
      </c>
      <c r="E284" s="3378" t="s">
        <v>3258</v>
      </c>
      <c r="F284" s="3378">
        <v>107</v>
      </c>
      <c r="G284" s="3378">
        <v>66.28</v>
      </c>
      <c r="H284" s="3377" t="s">
        <v>3055</v>
      </c>
    </row>
    <row r="285" spans="1:8" ht="14.25" thickBot="1">
      <c r="A285" s="3376">
        <v>284</v>
      </c>
      <c r="B285" s="3377" t="s">
        <v>3524</v>
      </c>
      <c r="C285" s="3378" t="s">
        <v>3271</v>
      </c>
      <c r="D285" s="3378" t="s">
        <v>3260</v>
      </c>
      <c r="E285" s="3378" t="s">
        <v>3258</v>
      </c>
      <c r="F285" s="3378">
        <v>201</v>
      </c>
      <c r="G285" s="3378">
        <v>66.28</v>
      </c>
      <c r="H285" s="3377" t="s">
        <v>3055</v>
      </c>
    </row>
    <row r="286" spans="1:8" ht="14.25" thickBot="1">
      <c r="A286" s="3376">
        <v>285</v>
      </c>
      <c r="B286" s="3377" t="s">
        <v>3524</v>
      </c>
      <c r="C286" s="3378" t="s">
        <v>3271</v>
      </c>
      <c r="D286" s="3378" t="s">
        <v>3260</v>
      </c>
      <c r="E286" s="3378" t="s">
        <v>3258</v>
      </c>
      <c r="F286" s="3378">
        <v>202</v>
      </c>
      <c r="G286" s="3378">
        <v>69.77</v>
      </c>
      <c r="H286" s="3377" t="s">
        <v>3055</v>
      </c>
    </row>
    <row r="287" spans="1:8" ht="14.25" thickBot="1">
      <c r="A287" s="3376">
        <v>286</v>
      </c>
      <c r="B287" s="3377" t="s">
        <v>3524</v>
      </c>
      <c r="C287" s="3378" t="s">
        <v>3271</v>
      </c>
      <c r="D287" s="3378" t="s">
        <v>3260</v>
      </c>
      <c r="E287" s="3378" t="s">
        <v>3258</v>
      </c>
      <c r="F287" s="3378">
        <v>203</v>
      </c>
      <c r="G287" s="3378">
        <v>69.94</v>
      </c>
      <c r="H287" s="3377" t="s">
        <v>3055</v>
      </c>
    </row>
    <row r="288" spans="1:8" ht="14.25" thickBot="1">
      <c r="A288" s="3376">
        <v>287</v>
      </c>
      <c r="B288" s="3377" t="s">
        <v>3524</v>
      </c>
      <c r="C288" s="3378" t="s">
        <v>3271</v>
      </c>
      <c r="D288" s="3378" t="s">
        <v>3260</v>
      </c>
      <c r="E288" s="3378" t="s">
        <v>3258</v>
      </c>
      <c r="F288" s="3378">
        <v>205</v>
      </c>
      <c r="G288" s="3378">
        <v>69.94</v>
      </c>
      <c r="H288" s="3377" t="s">
        <v>3055</v>
      </c>
    </row>
    <row r="289" spans="1:8" ht="14.25" thickBot="1">
      <c r="A289" s="3376">
        <v>288</v>
      </c>
      <c r="B289" s="3377" t="s">
        <v>3524</v>
      </c>
      <c r="C289" s="3378" t="s">
        <v>3271</v>
      </c>
      <c r="D289" s="3378" t="s">
        <v>3260</v>
      </c>
      <c r="E289" s="3378" t="s">
        <v>3258</v>
      </c>
      <c r="F289" s="3378">
        <v>206</v>
      </c>
      <c r="G289" s="3378">
        <v>69.77</v>
      </c>
      <c r="H289" s="3377" t="s">
        <v>3055</v>
      </c>
    </row>
    <row r="290" spans="1:8" ht="14.25" thickBot="1">
      <c r="A290" s="3376">
        <v>289</v>
      </c>
      <c r="B290" s="3377" t="s">
        <v>3524</v>
      </c>
      <c r="C290" s="3378" t="s">
        <v>3271</v>
      </c>
      <c r="D290" s="3378" t="s">
        <v>3257</v>
      </c>
      <c r="E290" s="3378" t="s">
        <v>3259</v>
      </c>
      <c r="F290" s="3378">
        <v>101</v>
      </c>
      <c r="G290" s="3378">
        <v>66.28</v>
      </c>
      <c r="H290" s="3377" t="s">
        <v>3055</v>
      </c>
    </row>
    <row r="291" spans="1:8" ht="14.25" thickBot="1">
      <c r="A291" s="3376">
        <v>290</v>
      </c>
      <c r="B291" s="3377" t="s">
        <v>3524</v>
      </c>
      <c r="C291" s="3378" t="s">
        <v>3271</v>
      </c>
      <c r="D291" s="3378" t="s">
        <v>3257</v>
      </c>
      <c r="E291" s="3378" t="s">
        <v>3259</v>
      </c>
      <c r="F291" s="3378">
        <v>103</v>
      </c>
      <c r="G291" s="3378">
        <v>69.94</v>
      </c>
      <c r="H291" s="3377" t="s">
        <v>3055</v>
      </c>
    </row>
    <row r="292" spans="1:8" ht="14.25" thickBot="1">
      <c r="A292" s="3376">
        <v>291</v>
      </c>
      <c r="B292" s="3377" t="s">
        <v>3524</v>
      </c>
      <c r="C292" s="3378" t="s">
        <v>3271</v>
      </c>
      <c r="D292" s="3378" t="s">
        <v>3257</v>
      </c>
      <c r="E292" s="3378" t="s">
        <v>3259</v>
      </c>
      <c r="F292" s="3378">
        <v>105</v>
      </c>
      <c r="G292" s="3378">
        <v>69.94</v>
      </c>
      <c r="H292" s="3377" t="s">
        <v>3055</v>
      </c>
    </row>
    <row r="293" spans="1:8" ht="14.25" thickBot="1">
      <c r="A293" s="3376">
        <v>292</v>
      </c>
      <c r="B293" s="3377" t="s">
        <v>3524</v>
      </c>
      <c r="C293" s="3378" t="s">
        <v>3271</v>
      </c>
      <c r="D293" s="3378" t="s">
        <v>3257</v>
      </c>
      <c r="E293" s="3378" t="s">
        <v>3259</v>
      </c>
      <c r="F293" s="3378">
        <v>106</v>
      </c>
      <c r="G293" s="3378">
        <v>69.77</v>
      </c>
      <c r="H293" s="3377" t="s">
        <v>3055</v>
      </c>
    </row>
    <row r="294" spans="1:8" ht="14.25" thickBot="1">
      <c r="A294" s="3376">
        <v>293</v>
      </c>
      <c r="B294" s="3377" t="s">
        <v>3524</v>
      </c>
      <c r="C294" s="3378" t="s">
        <v>3271</v>
      </c>
      <c r="D294" s="3378" t="s">
        <v>3257</v>
      </c>
      <c r="E294" s="3378" t="s">
        <v>3259</v>
      </c>
      <c r="F294" s="3378">
        <v>107</v>
      </c>
      <c r="G294" s="3378">
        <v>66.28</v>
      </c>
      <c r="H294" s="3377" t="s">
        <v>3055</v>
      </c>
    </row>
    <row r="295" spans="1:8" ht="14.25" thickBot="1">
      <c r="A295" s="3376">
        <v>294</v>
      </c>
      <c r="B295" s="3377" t="s">
        <v>3524</v>
      </c>
      <c r="C295" s="3378" t="s">
        <v>3271</v>
      </c>
      <c r="D295" s="3378" t="s">
        <v>3260</v>
      </c>
      <c r="E295" s="3378" t="s">
        <v>3259</v>
      </c>
      <c r="F295" s="3378">
        <v>201</v>
      </c>
      <c r="G295" s="3378">
        <v>66.28</v>
      </c>
      <c r="H295" s="3377" t="s">
        <v>3055</v>
      </c>
    </row>
    <row r="296" spans="1:8" ht="14.25" thickBot="1">
      <c r="A296" s="3376">
        <v>295</v>
      </c>
      <c r="B296" s="3377" t="s">
        <v>3524</v>
      </c>
      <c r="C296" s="3378" t="s">
        <v>3271</v>
      </c>
      <c r="D296" s="3378" t="s">
        <v>3260</v>
      </c>
      <c r="E296" s="3378" t="s">
        <v>3259</v>
      </c>
      <c r="F296" s="3378">
        <v>202</v>
      </c>
      <c r="G296" s="3378">
        <v>69.77</v>
      </c>
      <c r="H296" s="3377" t="s">
        <v>3055</v>
      </c>
    </row>
    <row r="297" spans="1:8" ht="14.25" thickBot="1">
      <c r="A297" s="3376">
        <v>296</v>
      </c>
      <c r="B297" s="3377" t="s">
        <v>3524</v>
      </c>
      <c r="C297" s="3378" t="s">
        <v>3271</v>
      </c>
      <c r="D297" s="3378" t="s">
        <v>3260</v>
      </c>
      <c r="E297" s="3378" t="s">
        <v>3259</v>
      </c>
      <c r="F297" s="3378">
        <v>203</v>
      </c>
      <c r="G297" s="3378">
        <v>69.94</v>
      </c>
      <c r="H297" s="3377" t="s">
        <v>3055</v>
      </c>
    </row>
    <row r="298" spans="1:8" ht="14.25" thickBot="1">
      <c r="A298" s="3376">
        <v>297</v>
      </c>
      <c r="B298" s="3377" t="s">
        <v>3524</v>
      </c>
      <c r="C298" s="3378" t="s">
        <v>3271</v>
      </c>
      <c r="D298" s="3378" t="s">
        <v>3261</v>
      </c>
      <c r="E298" s="3378" t="s">
        <v>3258</v>
      </c>
      <c r="F298" s="3378">
        <v>301</v>
      </c>
      <c r="G298" s="3378">
        <v>66.28</v>
      </c>
      <c r="H298" s="3377" t="s">
        <v>3055</v>
      </c>
    </row>
    <row r="299" spans="1:8" ht="14.25" thickBot="1">
      <c r="A299" s="3376">
        <v>298</v>
      </c>
      <c r="B299" s="3377" t="s">
        <v>3524</v>
      </c>
      <c r="C299" s="3378" t="s">
        <v>3271</v>
      </c>
      <c r="D299" s="3378" t="s">
        <v>3261</v>
      </c>
      <c r="E299" s="3378" t="s">
        <v>3258</v>
      </c>
      <c r="F299" s="3378">
        <v>302</v>
      </c>
      <c r="G299" s="3378">
        <v>69.77</v>
      </c>
      <c r="H299" s="3377" t="s">
        <v>3055</v>
      </c>
    </row>
    <row r="300" spans="1:8" ht="14.25" thickBot="1">
      <c r="A300" s="3376">
        <v>299</v>
      </c>
      <c r="B300" s="3377" t="s">
        <v>3524</v>
      </c>
      <c r="C300" s="3378" t="s">
        <v>3271</v>
      </c>
      <c r="D300" s="3378" t="s">
        <v>3261</v>
      </c>
      <c r="E300" s="3378" t="s">
        <v>3258</v>
      </c>
      <c r="F300" s="3378">
        <v>303</v>
      </c>
      <c r="G300" s="3378">
        <v>69.94</v>
      </c>
      <c r="H300" s="3377" t="s">
        <v>3055</v>
      </c>
    </row>
    <row r="301" spans="1:8" ht="14.25" thickBot="1">
      <c r="A301" s="3376">
        <v>300</v>
      </c>
      <c r="B301" s="3377" t="s">
        <v>3524</v>
      </c>
      <c r="C301" s="3378" t="s">
        <v>3271</v>
      </c>
      <c r="D301" s="3378" t="s">
        <v>3261</v>
      </c>
      <c r="E301" s="3378" t="s">
        <v>3258</v>
      </c>
      <c r="F301" s="3378">
        <v>305</v>
      </c>
      <c r="G301" s="3378">
        <v>69.94</v>
      </c>
      <c r="H301" s="3377" t="s">
        <v>3055</v>
      </c>
    </row>
    <row r="302" spans="1:8" ht="14.25" thickBot="1">
      <c r="A302" s="3376">
        <v>301</v>
      </c>
      <c r="B302" s="3377" t="s">
        <v>3524</v>
      </c>
      <c r="C302" s="3378" t="s">
        <v>3271</v>
      </c>
      <c r="D302" s="3378" t="s">
        <v>3261</v>
      </c>
      <c r="E302" s="3378" t="s">
        <v>3258</v>
      </c>
      <c r="F302" s="3378">
        <v>306</v>
      </c>
      <c r="G302" s="3378">
        <v>69.77</v>
      </c>
      <c r="H302" s="3377" t="s">
        <v>3055</v>
      </c>
    </row>
    <row r="303" spans="1:8" ht="14.25" thickBot="1">
      <c r="A303" s="3376">
        <v>302</v>
      </c>
      <c r="B303" s="3377" t="s">
        <v>3524</v>
      </c>
      <c r="C303" s="3378" t="s">
        <v>3271</v>
      </c>
      <c r="D303" s="3378" t="s">
        <v>3261</v>
      </c>
      <c r="E303" s="3378" t="s">
        <v>3258</v>
      </c>
      <c r="F303" s="3378">
        <v>307</v>
      </c>
      <c r="G303" s="3378">
        <v>66.28</v>
      </c>
      <c r="H303" s="3377" t="s">
        <v>3055</v>
      </c>
    </row>
    <row r="304" spans="1:8" ht="14.25" thickBot="1">
      <c r="A304" s="3376">
        <v>303</v>
      </c>
      <c r="B304" s="3377" t="s">
        <v>3524</v>
      </c>
      <c r="C304" s="3378" t="s">
        <v>3271</v>
      </c>
      <c r="D304" s="3378" t="s">
        <v>3260</v>
      </c>
      <c r="E304" s="3378" t="s">
        <v>3259</v>
      </c>
      <c r="F304" s="3378">
        <v>206</v>
      </c>
      <c r="G304" s="3378">
        <v>69.77</v>
      </c>
      <c r="H304" s="3377" t="s">
        <v>3055</v>
      </c>
    </row>
    <row r="305" spans="1:8" ht="14.25" thickBot="1">
      <c r="A305" s="3376">
        <v>304</v>
      </c>
      <c r="B305" s="3377" t="s">
        <v>3524</v>
      </c>
      <c r="C305" s="3378" t="s">
        <v>3271</v>
      </c>
      <c r="D305" s="3378" t="s">
        <v>3260</v>
      </c>
      <c r="E305" s="3378" t="s">
        <v>3259</v>
      </c>
      <c r="F305" s="3378">
        <v>207</v>
      </c>
      <c r="G305" s="3378">
        <v>66.28</v>
      </c>
      <c r="H305" s="3377" t="s">
        <v>3055</v>
      </c>
    </row>
    <row r="306" spans="1:8" ht="14.25" thickBot="1">
      <c r="A306" s="3376">
        <v>305</v>
      </c>
      <c r="B306" s="3377" t="s">
        <v>3524</v>
      </c>
      <c r="C306" s="3378" t="s">
        <v>3271</v>
      </c>
      <c r="D306" s="3378" t="s">
        <v>3261</v>
      </c>
      <c r="E306" s="3378" t="s">
        <v>3259</v>
      </c>
      <c r="F306" s="3378">
        <v>301</v>
      </c>
      <c r="G306" s="3378">
        <v>66.28</v>
      </c>
      <c r="H306" s="3377" t="s">
        <v>3055</v>
      </c>
    </row>
    <row r="307" spans="1:8" ht="14.25" thickBot="1">
      <c r="A307" s="3376">
        <v>306</v>
      </c>
      <c r="B307" s="3377" t="s">
        <v>3524</v>
      </c>
      <c r="C307" s="3378" t="s">
        <v>3271</v>
      </c>
      <c r="D307" s="3378" t="s">
        <v>3261</v>
      </c>
      <c r="E307" s="3378" t="s">
        <v>3259</v>
      </c>
      <c r="F307" s="3378">
        <v>302</v>
      </c>
      <c r="G307" s="3378">
        <v>69.77</v>
      </c>
      <c r="H307" s="3377" t="s">
        <v>3055</v>
      </c>
    </row>
    <row r="308" spans="1:8" ht="14.25" thickBot="1">
      <c r="A308" s="3376">
        <v>307</v>
      </c>
      <c r="B308" s="3377" t="s">
        <v>3524</v>
      </c>
      <c r="C308" s="3378" t="s">
        <v>3271</v>
      </c>
      <c r="D308" s="3378" t="s">
        <v>3261</v>
      </c>
      <c r="E308" s="3378" t="s">
        <v>3259</v>
      </c>
      <c r="F308" s="3378">
        <v>303</v>
      </c>
      <c r="G308" s="3378">
        <v>69.94</v>
      </c>
      <c r="H308" s="3377" t="s">
        <v>3055</v>
      </c>
    </row>
    <row r="309" spans="1:8" ht="14.25" thickBot="1">
      <c r="A309" s="3376">
        <v>308</v>
      </c>
      <c r="B309" s="3377" t="s">
        <v>3524</v>
      </c>
      <c r="C309" s="3378" t="s">
        <v>3271</v>
      </c>
      <c r="D309" s="3378" t="s">
        <v>3261</v>
      </c>
      <c r="E309" s="3378" t="s">
        <v>3259</v>
      </c>
      <c r="F309" s="3378">
        <v>305</v>
      </c>
      <c r="G309" s="3378">
        <v>69.94</v>
      </c>
      <c r="H309" s="3377" t="s">
        <v>3055</v>
      </c>
    </row>
    <row r="310" spans="1:8" ht="14.25" thickBot="1">
      <c r="A310" s="3376">
        <v>309</v>
      </c>
      <c r="B310" s="3377" t="s">
        <v>3524</v>
      </c>
      <c r="C310" s="3378" t="s">
        <v>3271</v>
      </c>
      <c r="D310" s="3378" t="s">
        <v>3261</v>
      </c>
      <c r="E310" s="3378" t="s">
        <v>3259</v>
      </c>
      <c r="F310" s="3378">
        <v>306</v>
      </c>
      <c r="G310" s="3378">
        <v>69.77</v>
      </c>
      <c r="H310" s="3377" t="s">
        <v>3055</v>
      </c>
    </row>
    <row r="311" spans="1:8" ht="14.25" thickBot="1">
      <c r="A311" s="3376">
        <v>310</v>
      </c>
      <c r="B311" s="3377" t="s">
        <v>3524</v>
      </c>
      <c r="C311" s="3378" t="s">
        <v>3271</v>
      </c>
      <c r="D311" s="3378" t="s">
        <v>3262</v>
      </c>
      <c r="E311" s="3378" t="s">
        <v>3258</v>
      </c>
      <c r="F311" s="3378" t="s">
        <v>3145</v>
      </c>
      <c r="G311" s="3378">
        <v>66.28</v>
      </c>
      <c r="H311" s="3377" t="s">
        <v>3055</v>
      </c>
    </row>
    <row r="312" spans="1:8" ht="14.25" thickBot="1">
      <c r="A312" s="3376">
        <v>311</v>
      </c>
      <c r="B312" s="3377" t="s">
        <v>3524</v>
      </c>
      <c r="C312" s="3378" t="s">
        <v>3271</v>
      </c>
      <c r="D312" s="3378" t="s">
        <v>3262</v>
      </c>
      <c r="E312" s="3378" t="s">
        <v>3258</v>
      </c>
      <c r="F312" s="3378" t="s">
        <v>3146</v>
      </c>
      <c r="G312" s="3378">
        <v>69.77</v>
      </c>
      <c r="H312" s="3377" t="s">
        <v>3055</v>
      </c>
    </row>
    <row r="313" spans="1:8" ht="14.25" thickBot="1">
      <c r="A313" s="3376">
        <v>312</v>
      </c>
      <c r="B313" s="3377" t="s">
        <v>3524</v>
      </c>
      <c r="C313" s="3378" t="s">
        <v>3271</v>
      </c>
      <c r="D313" s="3378" t="s">
        <v>3262</v>
      </c>
      <c r="E313" s="3378" t="s">
        <v>3258</v>
      </c>
      <c r="F313" s="3378" t="s">
        <v>3147</v>
      </c>
      <c r="G313" s="3378">
        <v>69.94</v>
      </c>
      <c r="H313" s="3377" t="s">
        <v>3055</v>
      </c>
    </row>
    <row r="314" spans="1:8" ht="14.25" thickBot="1">
      <c r="A314" s="3376">
        <v>313</v>
      </c>
      <c r="B314" s="3377" t="s">
        <v>3524</v>
      </c>
      <c r="C314" s="3378" t="s">
        <v>3271</v>
      </c>
      <c r="D314" s="3378" t="s">
        <v>3262</v>
      </c>
      <c r="E314" s="3378" t="s">
        <v>3258</v>
      </c>
      <c r="F314" s="3378" t="s">
        <v>3148</v>
      </c>
      <c r="G314" s="3378">
        <v>69.94</v>
      </c>
      <c r="H314" s="3377" t="s">
        <v>3055</v>
      </c>
    </row>
    <row r="315" spans="1:8" ht="14.25" thickBot="1">
      <c r="A315" s="3376">
        <v>314</v>
      </c>
      <c r="B315" s="3377" t="s">
        <v>3524</v>
      </c>
      <c r="C315" s="3378" t="s">
        <v>3271</v>
      </c>
      <c r="D315" s="3378" t="s">
        <v>3262</v>
      </c>
      <c r="E315" s="3378" t="s">
        <v>3258</v>
      </c>
      <c r="F315" s="3378" t="s">
        <v>3150</v>
      </c>
      <c r="G315" s="3378">
        <v>66.28</v>
      </c>
      <c r="H315" s="3377" t="s">
        <v>3055</v>
      </c>
    </row>
    <row r="316" spans="1:8" ht="14.25" thickBot="1">
      <c r="A316" s="3376">
        <v>315</v>
      </c>
      <c r="B316" s="3377" t="s">
        <v>3524</v>
      </c>
      <c r="C316" s="3378" t="s">
        <v>3271</v>
      </c>
      <c r="D316" s="3378" t="s">
        <v>3262</v>
      </c>
      <c r="E316" s="3378" t="s">
        <v>3259</v>
      </c>
      <c r="F316" s="3378" t="s">
        <v>3145</v>
      </c>
      <c r="G316" s="3378">
        <v>66.28</v>
      </c>
      <c r="H316" s="3377" t="s">
        <v>3055</v>
      </c>
    </row>
    <row r="317" spans="1:8" ht="14.25" thickBot="1">
      <c r="A317" s="3376">
        <v>316</v>
      </c>
      <c r="B317" s="3377" t="s">
        <v>3524</v>
      </c>
      <c r="C317" s="3378" t="s">
        <v>3271</v>
      </c>
      <c r="D317" s="3378" t="s">
        <v>3262</v>
      </c>
      <c r="E317" s="3378" t="s">
        <v>3259</v>
      </c>
      <c r="F317" s="3378" t="s">
        <v>3146</v>
      </c>
      <c r="G317" s="3378">
        <v>69.77</v>
      </c>
      <c r="H317" s="3377" t="s">
        <v>3055</v>
      </c>
    </row>
    <row r="318" spans="1:8" ht="14.25" thickBot="1">
      <c r="A318" s="3376">
        <v>317</v>
      </c>
      <c r="B318" s="3377" t="s">
        <v>3524</v>
      </c>
      <c r="C318" s="3378" t="s">
        <v>3271</v>
      </c>
      <c r="D318" s="3378" t="s">
        <v>3262</v>
      </c>
      <c r="E318" s="3378" t="s">
        <v>3259</v>
      </c>
      <c r="F318" s="3378" t="s">
        <v>3147</v>
      </c>
      <c r="G318" s="3378">
        <v>69.94</v>
      </c>
      <c r="H318" s="3377" t="s">
        <v>3055</v>
      </c>
    </row>
    <row r="319" spans="1:8" ht="14.25" thickBot="1">
      <c r="A319" s="3376">
        <v>318</v>
      </c>
      <c r="B319" s="3377" t="s">
        <v>3524</v>
      </c>
      <c r="C319" s="3378" t="s">
        <v>3271</v>
      </c>
      <c r="D319" s="3378" t="s">
        <v>3262</v>
      </c>
      <c r="E319" s="3378" t="s">
        <v>3259</v>
      </c>
      <c r="F319" s="3378" t="s">
        <v>3148</v>
      </c>
      <c r="G319" s="3378">
        <v>69.94</v>
      </c>
      <c r="H319" s="3377" t="s">
        <v>3055</v>
      </c>
    </row>
    <row r="320" spans="1:8" ht="14.25" thickBot="1">
      <c r="A320" s="3376">
        <v>319</v>
      </c>
      <c r="B320" s="3377" t="s">
        <v>3524</v>
      </c>
      <c r="C320" s="3378" t="s">
        <v>3271</v>
      </c>
      <c r="D320" s="3378" t="s">
        <v>3262</v>
      </c>
      <c r="E320" s="3378" t="s">
        <v>3259</v>
      </c>
      <c r="F320" s="3378" t="s">
        <v>3149</v>
      </c>
      <c r="G320" s="3378">
        <v>69.77</v>
      </c>
      <c r="H320" s="3377" t="s">
        <v>3055</v>
      </c>
    </row>
    <row r="321" spans="1:8" ht="14.25" thickBot="1">
      <c r="A321" s="3376">
        <v>320</v>
      </c>
      <c r="B321" s="3377" t="s">
        <v>3524</v>
      </c>
      <c r="C321" s="3378" t="s">
        <v>3271</v>
      </c>
      <c r="D321" s="3378" t="s">
        <v>3262</v>
      </c>
      <c r="E321" s="3378" t="s">
        <v>3259</v>
      </c>
      <c r="F321" s="3378" t="s">
        <v>3150</v>
      </c>
      <c r="G321" s="3378">
        <v>66.28</v>
      </c>
      <c r="H321" s="3377" t="s">
        <v>3055</v>
      </c>
    </row>
    <row r="322" spans="1:8" ht="14.25" thickBot="1">
      <c r="A322" s="3376">
        <v>321</v>
      </c>
      <c r="B322" s="3377" t="s">
        <v>3524</v>
      </c>
      <c r="C322" s="3378" t="s">
        <v>3271</v>
      </c>
      <c r="D322" s="3378" t="s">
        <v>3263</v>
      </c>
      <c r="E322" s="3378" t="s">
        <v>3258</v>
      </c>
      <c r="F322" s="3378">
        <v>501</v>
      </c>
      <c r="G322" s="3378">
        <v>66.28</v>
      </c>
      <c r="H322" s="3377" t="s">
        <v>3055</v>
      </c>
    </row>
    <row r="323" spans="1:8" ht="14.25" thickBot="1">
      <c r="A323" s="3376">
        <v>322</v>
      </c>
      <c r="B323" s="3377" t="s">
        <v>3524</v>
      </c>
      <c r="C323" s="3378" t="s">
        <v>3271</v>
      </c>
      <c r="D323" s="3378" t="s">
        <v>3263</v>
      </c>
      <c r="E323" s="3378" t="s">
        <v>3258</v>
      </c>
      <c r="F323" s="3378">
        <v>502</v>
      </c>
      <c r="G323" s="3378">
        <v>69.77</v>
      </c>
      <c r="H323" s="3377" t="s">
        <v>3055</v>
      </c>
    </row>
    <row r="324" spans="1:8" ht="14.25" thickBot="1">
      <c r="A324" s="3376">
        <v>323</v>
      </c>
      <c r="B324" s="3377" t="s">
        <v>3524</v>
      </c>
      <c r="C324" s="3378" t="s">
        <v>3271</v>
      </c>
      <c r="D324" s="3378" t="s">
        <v>3263</v>
      </c>
      <c r="E324" s="3378" t="s">
        <v>3258</v>
      </c>
      <c r="F324" s="3378">
        <v>503</v>
      </c>
      <c r="G324" s="3378">
        <v>69.94</v>
      </c>
      <c r="H324" s="3377" t="s">
        <v>3055</v>
      </c>
    </row>
    <row r="325" spans="1:8" ht="14.25" thickBot="1">
      <c r="A325" s="3376">
        <v>324</v>
      </c>
      <c r="B325" s="3377" t="s">
        <v>3524</v>
      </c>
      <c r="C325" s="3378" t="s">
        <v>3271</v>
      </c>
      <c r="D325" s="3378" t="s">
        <v>3263</v>
      </c>
      <c r="E325" s="3378" t="s">
        <v>3258</v>
      </c>
      <c r="F325" s="3378">
        <v>505</v>
      </c>
      <c r="G325" s="3378">
        <v>69.94</v>
      </c>
      <c r="H325" s="3377" t="s">
        <v>3055</v>
      </c>
    </row>
    <row r="326" spans="1:8" ht="14.25" thickBot="1">
      <c r="A326" s="3376">
        <v>325</v>
      </c>
      <c r="B326" s="3377" t="s">
        <v>3524</v>
      </c>
      <c r="C326" s="3378" t="s">
        <v>3271</v>
      </c>
      <c r="D326" s="3378" t="s">
        <v>3263</v>
      </c>
      <c r="E326" s="3378" t="s">
        <v>3258</v>
      </c>
      <c r="F326" s="3378">
        <v>506</v>
      </c>
      <c r="G326" s="3378">
        <v>69.77</v>
      </c>
      <c r="H326" s="3377" t="s">
        <v>3055</v>
      </c>
    </row>
    <row r="327" spans="1:8" ht="14.25" thickBot="1">
      <c r="A327" s="3376">
        <v>326</v>
      </c>
      <c r="B327" s="3377" t="s">
        <v>3524</v>
      </c>
      <c r="C327" s="3378" t="s">
        <v>3271</v>
      </c>
      <c r="D327" s="3378" t="s">
        <v>3263</v>
      </c>
      <c r="E327" s="3378" t="s">
        <v>3258</v>
      </c>
      <c r="F327" s="3378">
        <v>507</v>
      </c>
      <c r="G327" s="3378">
        <v>66.28</v>
      </c>
      <c r="H327" s="3377" t="s">
        <v>3055</v>
      </c>
    </row>
    <row r="328" spans="1:8" ht="14.25" thickBot="1">
      <c r="A328" s="3376">
        <v>327</v>
      </c>
      <c r="B328" s="3377" t="s">
        <v>3524</v>
      </c>
      <c r="C328" s="3378" t="s">
        <v>3271</v>
      </c>
      <c r="D328" s="3378" t="s">
        <v>3263</v>
      </c>
      <c r="E328" s="3378" t="s">
        <v>3259</v>
      </c>
      <c r="F328" s="3378">
        <v>501</v>
      </c>
      <c r="G328" s="3378">
        <v>66.28</v>
      </c>
      <c r="H328" s="3377" t="s">
        <v>3055</v>
      </c>
    </row>
    <row r="329" spans="1:8" ht="14.25" thickBot="1">
      <c r="A329" s="3376">
        <v>328</v>
      </c>
      <c r="B329" s="3377" t="s">
        <v>3524</v>
      </c>
      <c r="C329" s="3378" t="s">
        <v>3271</v>
      </c>
      <c r="D329" s="3378" t="s">
        <v>3263</v>
      </c>
      <c r="E329" s="3378" t="s">
        <v>3259</v>
      </c>
      <c r="F329" s="3378">
        <v>502</v>
      </c>
      <c r="G329" s="3378">
        <v>69.77</v>
      </c>
      <c r="H329" s="3377" t="s">
        <v>3055</v>
      </c>
    </row>
    <row r="330" spans="1:8" ht="14.25" thickBot="1">
      <c r="A330" s="3376">
        <v>329</v>
      </c>
      <c r="B330" s="3377" t="s">
        <v>3524</v>
      </c>
      <c r="C330" s="3378" t="s">
        <v>3271</v>
      </c>
      <c r="D330" s="3378" t="s">
        <v>3263</v>
      </c>
      <c r="E330" s="3378" t="s">
        <v>3259</v>
      </c>
      <c r="F330" s="3378">
        <v>503</v>
      </c>
      <c r="G330" s="3378">
        <v>69.94</v>
      </c>
      <c r="H330" s="3377" t="s">
        <v>3055</v>
      </c>
    </row>
    <row r="331" spans="1:8" ht="14.25" thickBot="1">
      <c r="A331" s="3376">
        <v>330</v>
      </c>
      <c r="B331" s="3377" t="s">
        <v>3524</v>
      </c>
      <c r="C331" s="3378" t="s">
        <v>3271</v>
      </c>
      <c r="D331" s="3378" t="s">
        <v>3263</v>
      </c>
      <c r="E331" s="3378" t="s">
        <v>3259</v>
      </c>
      <c r="F331" s="3378">
        <v>505</v>
      </c>
      <c r="G331" s="3378">
        <v>69.94</v>
      </c>
      <c r="H331" s="3377" t="s">
        <v>3055</v>
      </c>
    </row>
    <row r="332" spans="1:8" ht="14.25" thickBot="1">
      <c r="A332" s="3376">
        <v>331</v>
      </c>
      <c r="B332" s="3377" t="s">
        <v>3524</v>
      </c>
      <c r="C332" s="3378" t="s">
        <v>3271</v>
      </c>
      <c r="D332" s="3378" t="s">
        <v>3263</v>
      </c>
      <c r="E332" s="3378" t="s">
        <v>3259</v>
      </c>
      <c r="F332" s="3378">
        <v>506</v>
      </c>
      <c r="G332" s="3378">
        <v>69.77</v>
      </c>
      <c r="H332" s="3377" t="s">
        <v>3055</v>
      </c>
    </row>
    <row r="333" spans="1:8" ht="14.25" thickBot="1">
      <c r="A333" s="3376">
        <v>332</v>
      </c>
      <c r="B333" s="3377" t="s">
        <v>3524</v>
      </c>
      <c r="C333" s="3378" t="s">
        <v>3271</v>
      </c>
      <c r="D333" s="3378" t="s">
        <v>3263</v>
      </c>
      <c r="E333" s="3378" t="s">
        <v>3259</v>
      </c>
      <c r="F333" s="3378">
        <v>507</v>
      </c>
      <c r="G333" s="3378">
        <v>66.28</v>
      </c>
      <c r="H333" s="3377" t="s">
        <v>3055</v>
      </c>
    </row>
    <row r="334" spans="1:8" ht="14.25" thickBot="1">
      <c r="A334" s="3376">
        <v>333</v>
      </c>
      <c r="B334" s="3377" t="s">
        <v>3524</v>
      </c>
      <c r="C334" s="3378" t="s">
        <v>3271</v>
      </c>
      <c r="D334" s="3378" t="s">
        <v>3264</v>
      </c>
      <c r="E334" s="3378" t="s">
        <v>3258</v>
      </c>
      <c r="F334" s="3378">
        <v>601</v>
      </c>
      <c r="G334" s="3378">
        <v>66.28</v>
      </c>
      <c r="H334" s="3377" t="s">
        <v>3055</v>
      </c>
    </row>
    <row r="335" spans="1:8" ht="14.25" thickBot="1">
      <c r="A335" s="3376">
        <v>334</v>
      </c>
      <c r="B335" s="3377" t="s">
        <v>3524</v>
      </c>
      <c r="C335" s="3378" t="s">
        <v>3271</v>
      </c>
      <c r="D335" s="3378" t="s">
        <v>3264</v>
      </c>
      <c r="E335" s="3378" t="s">
        <v>3258</v>
      </c>
      <c r="F335" s="3378">
        <v>602</v>
      </c>
      <c r="G335" s="3378">
        <v>69.77</v>
      </c>
      <c r="H335" s="3377" t="s">
        <v>3055</v>
      </c>
    </row>
    <row r="336" spans="1:8" ht="14.25" thickBot="1">
      <c r="A336" s="3376">
        <v>335</v>
      </c>
      <c r="B336" s="3377" t="s">
        <v>3524</v>
      </c>
      <c r="C336" s="3378" t="s">
        <v>3271</v>
      </c>
      <c r="D336" s="3378" t="s">
        <v>3264</v>
      </c>
      <c r="E336" s="3378" t="s">
        <v>3258</v>
      </c>
      <c r="F336" s="3378">
        <v>603</v>
      </c>
      <c r="G336" s="3378">
        <v>69.94</v>
      </c>
      <c r="H336" s="3377" t="s">
        <v>3055</v>
      </c>
    </row>
    <row r="337" spans="1:8" ht="14.25" thickBot="1">
      <c r="A337" s="3376">
        <v>336</v>
      </c>
      <c r="B337" s="3377" t="s">
        <v>3524</v>
      </c>
      <c r="C337" s="3378" t="s">
        <v>3271</v>
      </c>
      <c r="D337" s="3378" t="s">
        <v>3264</v>
      </c>
      <c r="E337" s="3378" t="s">
        <v>3258</v>
      </c>
      <c r="F337" s="3378">
        <v>605</v>
      </c>
      <c r="G337" s="3378">
        <v>69.94</v>
      </c>
      <c r="H337" s="3377" t="s">
        <v>3055</v>
      </c>
    </row>
    <row r="338" spans="1:8" ht="14.25" thickBot="1">
      <c r="A338" s="3376">
        <v>337</v>
      </c>
      <c r="B338" s="3377" t="s">
        <v>3524</v>
      </c>
      <c r="C338" s="3378" t="s">
        <v>3271</v>
      </c>
      <c r="D338" s="3378" t="s">
        <v>3264</v>
      </c>
      <c r="E338" s="3378" t="s">
        <v>3258</v>
      </c>
      <c r="F338" s="3378">
        <v>606</v>
      </c>
      <c r="G338" s="3378">
        <v>69.77</v>
      </c>
      <c r="H338" s="3377" t="s">
        <v>3055</v>
      </c>
    </row>
    <row r="339" spans="1:8" ht="14.25" thickBot="1">
      <c r="A339" s="3376">
        <v>338</v>
      </c>
      <c r="B339" s="3377" t="s">
        <v>3524</v>
      </c>
      <c r="C339" s="3378" t="s">
        <v>3271</v>
      </c>
      <c r="D339" s="3378" t="s">
        <v>3264</v>
      </c>
      <c r="E339" s="3378" t="s">
        <v>3258</v>
      </c>
      <c r="F339" s="3378">
        <v>607</v>
      </c>
      <c r="G339" s="3378">
        <v>66.28</v>
      </c>
      <c r="H339" s="3377" t="s">
        <v>3055</v>
      </c>
    </row>
    <row r="340" spans="1:8" ht="14.25" thickBot="1">
      <c r="A340" s="3376">
        <v>339</v>
      </c>
      <c r="B340" s="3377" t="s">
        <v>3524</v>
      </c>
      <c r="C340" s="3378" t="s">
        <v>3271</v>
      </c>
      <c r="D340" s="3378" t="s">
        <v>3264</v>
      </c>
      <c r="E340" s="3378" t="s">
        <v>3259</v>
      </c>
      <c r="F340" s="3378">
        <v>601</v>
      </c>
      <c r="G340" s="3378">
        <v>66.28</v>
      </c>
      <c r="H340" s="3377" t="s">
        <v>3055</v>
      </c>
    </row>
    <row r="341" spans="1:8" ht="14.25" thickBot="1">
      <c r="A341" s="3376">
        <v>340</v>
      </c>
      <c r="B341" s="3377" t="s">
        <v>3524</v>
      </c>
      <c r="C341" s="3378" t="s">
        <v>3271</v>
      </c>
      <c r="D341" s="3378" t="s">
        <v>3264</v>
      </c>
      <c r="E341" s="3378" t="s">
        <v>3259</v>
      </c>
      <c r="F341" s="3378">
        <v>602</v>
      </c>
      <c r="G341" s="3378">
        <v>69.77</v>
      </c>
      <c r="H341" s="3377" t="s">
        <v>3055</v>
      </c>
    </row>
    <row r="342" spans="1:8" ht="14.25" thickBot="1">
      <c r="A342" s="3376">
        <v>341</v>
      </c>
      <c r="B342" s="3377" t="s">
        <v>3524</v>
      </c>
      <c r="C342" s="3378" t="s">
        <v>3271</v>
      </c>
      <c r="D342" s="3378" t="s">
        <v>3264</v>
      </c>
      <c r="E342" s="3378" t="s">
        <v>3259</v>
      </c>
      <c r="F342" s="3378">
        <v>603</v>
      </c>
      <c r="G342" s="3378">
        <v>69.94</v>
      </c>
      <c r="H342" s="3377" t="s">
        <v>3055</v>
      </c>
    </row>
    <row r="343" spans="1:8" ht="14.25" thickBot="1">
      <c r="A343" s="3376">
        <v>342</v>
      </c>
      <c r="B343" s="3377" t="s">
        <v>3524</v>
      </c>
      <c r="C343" s="3378" t="s">
        <v>3271</v>
      </c>
      <c r="D343" s="3378" t="s">
        <v>3264</v>
      </c>
      <c r="E343" s="3378" t="s">
        <v>3259</v>
      </c>
      <c r="F343" s="3378">
        <v>605</v>
      </c>
      <c r="G343" s="3378">
        <v>69.94</v>
      </c>
      <c r="H343" s="3377" t="s">
        <v>3055</v>
      </c>
    </row>
    <row r="344" spans="1:8" ht="14.25" thickBot="1">
      <c r="A344" s="3376">
        <v>343</v>
      </c>
      <c r="B344" s="3377" t="s">
        <v>3524</v>
      </c>
      <c r="C344" s="3378" t="s">
        <v>3271</v>
      </c>
      <c r="D344" s="3378" t="s">
        <v>3264</v>
      </c>
      <c r="E344" s="3378" t="s">
        <v>3259</v>
      </c>
      <c r="F344" s="3378">
        <v>606</v>
      </c>
      <c r="G344" s="3378">
        <v>69.77</v>
      </c>
      <c r="H344" s="3377" t="s">
        <v>3055</v>
      </c>
    </row>
    <row r="345" spans="1:8" ht="14.25" thickBot="1">
      <c r="A345" s="3376">
        <v>344</v>
      </c>
      <c r="B345" s="3377" t="s">
        <v>3524</v>
      </c>
      <c r="C345" s="3378" t="s">
        <v>3271</v>
      </c>
      <c r="D345" s="3378" t="s">
        <v>3264</v>
      </c>
      <c r="E345" s="3378" t="s">
        <v>3259</v>
      </c>
      <c r="F345" s="3378">
        <v>607</v>
      </c>
      <c r="G345" s="3378">
        <v>66.28</v>
      </c>
      <c r="H345" s="3377" t="s">
        <v>3055</v>
      </c>
    </row>
    <row r="346" spans="1:8" ht="14.25" thickBot="1">
      <c r="A346" s="3376">
        <v>345</v>
      </c>
      <c r="B346" s="3377" t="s">
        <v>3524</v>
      </c>
      <c r="C346" s="3378" t="s">
        <v>3272</v>
      </c>
      <c r="D346" s="3378" t="s">
        <v>3257</v>
      </c>
      <c r="E346" s="3378" t="s">
        <v>3258</v>
      </c>
      <c r="F346" s="3378">
        <v>101</v>
      </c>
      <c r="G346" s="3378">
        <v>66.069999999999993</v>
      </c>
      <c r="H346" s="3377" t="s">
        <v>3055</v>
      </c>
    </row>
    <row r="347" spans="1:8" ht="14.25" thickBot="1">
      <c r="A347" s="3376">
        <v>346</v>
      </c>
      <c r="B347" s="3377" t="s">
        <v>3524</v>
      </c>
      <c r="C347" s="3378" t="s">
        <v>3272</v>
      </c>
      <c r="D347" s="3378" t="s">
        <v>3257</v>
      </c>
      <c r="E347" s="3378" t="s">
        <v>3258</v>
      </c>
      <c r="F347" s="3378">
        <v>102</v>
      </c>
      <c r="G347" s="3378">
        <v>69.56</v>
      </c>
      <c r="H347" s="3377" t="s">
        <v>3055</v>
      </c>
    </row>
    <row r="348" spans="1:8" ht="14.25" thickBot="1">
      <c r="A348" s="3376">
        <v>347</v>
      </c>
      <c r="B348" s="3377" t="s">
        <v>3524</v>
      </c>
      <c r="C348" s="3378" t="s">
        <v>3272</v>
      </c>
      <c r="D348" s="3378" t="s">
        <v>3257</v>
      </c>
      <c r="E348" s="3378" t="s">
        <v>3258</v>
      </c>
      <c r="F348" s="3378">
        <v>103</v>
      </c>
      <c r="G348" s="3378">
        <v>69.72</v>
      </c>
      <c r="H348" s="3377" t="s">
        <v>3055</v>
      </c>
    </row>
    <row r="349" spans="1:8" ht="14.25" thickBot="1">
      <c r="A349" s="3376">
        <v>348</v>
      </c>
      <c r="B349" s="3377" t="s">
        <v>3524</v>
      </c>
      <c r="C349" s="3378" t="s">
        <v>3272</v>
      </c>
      <c r="D349" s="3378" t="s">
        <v>3257</v>
      </c>
      <c r="E349" s="3378" t="s">
        <v>3258</v>
      </c>
      <c r="F349" s="3378">
        <v>105</v>
      </c>
      <c r="G349" s="3378">
        <v>69.56</v>
      </c>
      <c r="H349" s="3377" t="s">
        <v>3055</v>
      </c>
    </row>
    <row r="350" spans="1:8" ht="14.25" thickBot="1">
      <c r="A350" s="3376">
        <v>349</v>
      </c>
      <c r="B350" s="3377" t="s">
        <v>3524</v>
      </c>
      <c r="C350" s="3378" t="s">
        <v>3272</v>
      </c>
      <c r="D350" s="3378" t="s">
        <v>3257</v>
      </c>
      <c r="E350" s="3378" t="s">
        <v>3258</v>
      </c>
      <c r="F350" s="3378">
        <v>106</v>
      </c>
      <c r="G350" s="3378">
        <v>94.74</v>
      </c>
      <c r="H350" s="3377" t="s">
        <v>3055</v>
      </c>
    </row>
    <row r="351" spans="1:8" ht="14.25" thickBot="1">
      <c r="A351" s="3376">
        <v>350</v>
      </c>
      <c r="B351" s="3377" t="s">
        <v>3524</v>
      </c>
      <c r="C351" s="3378" t="s">
        <v>3272</v>
      </c>
      <c r="D351" s="3378" t="s">
        <v>3257</v>
      </c>
      <c r="E351" s="3378" t="s">
        <v>3259</v>
      </c>
      <c r="F351" s="3378">
        <v>101</v>
      </c>
      <c r="G351" s="3378">
        <v>94.74</v>
      </c>
      <c r="H351" s="3377" t="s">
        <v>3055</v>
      </c>
    </row>
    <row r="352" spans="1:8" ht="14.25" thickBot="1">
      <c r="A352" s="3376">
        <v>351</v>
      </c>
      <c r="B352" s="3377" t="s">
        <v>3524</v>
      </c>
      <c r="C352" s="3378" t="s">
        <v>3272</v>
      </c>
      <c r="D352" s="3378" t="s">
        <v>3257</v>
      </c>
      <c r="E352" s="3378" t="s">
        <v>3259</v>
      </c>
      <c r="F352" s="3378">
        <v>102</v>
      </c>
      <c r="G352" s="3378">
        <v>69.56</v>
      </c>
      <c r="H352" s="3377" t="s">
        <v>3055</v>
      </c>
    </row>
    <row r="353" spans="1:8" ht="14.25" thickBot="1">
      <c r="A353" s="3376">
        <v>352</v>
      </c>
      <c r="B353" s="3377" t="s">
        <v>3524</v>
      </c>
      <c r="C353" s="3378" t="s">
        <v>3272</v>
      </c>
      <c r="D353" s="3378" t="s">
        <v>3257</v>
      </c>
      <c r="E353" s="3378" t="s">
        <v>3259</v>
      </c>
      <c r="F353" s="3378">
        <v>103</v>
      </c>
      <c r="G353" s="3378">
        <v>69.72</v>
      </c>
      <c r="H353" s="3377" t="s">
        <v>3055</v>
      </c>
    </row>
    <row r="354" spans="1:8" ht="14.25" thickBot="1">
      <c r="A354" s="3376">
        <v>353</v>
      </c>
      <c r="B354" s="3377" t="s">
        <v>3524</v>
      </c>
      <c r="C354" s="3378" t="s">
        <v>3272</v>
      </c>
      <c r="D354" s="3378" t="s">
        <v>3257</v>
      </c>
      <c r="E354" s="3378" t="s">
        <v>3259</v>
      </c>
      <c r="F354" s="3378">
        <v>105</v>
      </c>
      <c r="G354" s="3378">
        <v>69.56</v>
      </c>
      <c r="H354" s="3377" t="s">
        <v>3055</v>
      </c>
    </row>
    <row r="355" spans="1:8" ht="14.25" thickBot="1">
      <c r="A355" s="3376">
        <v>354</v>
      </c>
      <c r="B355" s="3377" t="s">
        <v>3524</v>
      </c>
      <c r="C355" s="3378" t="s">
        <v>3272</v>
      </c>
      <c r="D355" s="3378" t="s">
        <v>3257</v>
      </c>
      <c r="E355" s="3378" t="s">
        <v>3259</v>
      </c>
      <c r="F355" s="3378">
        <v>106</v>
      </c>
      <c r="G355" s="3378">
        <v>66.069999999999993</v>
      </c>
      <c r="H355" s="3377" t="s">
        <v>3055</v>
      </c>
    </row>
    <row r="356" spans="1:8" ht="14.25" thickBot="1">
      <c r="A356" s="3376">
        <v>355</v>
      </c>
      <c r="B356" s="3377" t="s">
        <v>3524</v>
      </c>
      <c r="C356" s="3378" t="s">
        <v>3272</v>
      </c>
      <c r="D356" s="3378" t="s">
        <v>3260</v>
      </c>
      <c r="E356" s="3378" t="s">
        <v>3258</v>
      </c>
      <c r="F356" s="3378">
        <v>201</v>
      </c>
      <c r="G356" s="3378">
        <v>66.069999999999993</v>
      </c>
      <c r="H356" s="3377" t="s">
        <v>3055</v>
      </c>
    </row>
    <row r="357" spans="1:8" ht="14.25" thickBot="1">
      <c r="A357" s="3376">
        <v>356</v>
      </c>
      <c r="B357" s="3377" t="s">
        <v>3524</v>
      </c>
      <c r="C357" s="3378" t="s">
        <v>3272</v>
      </c>
      <c r="D357" s="3378" t="s">
        <v>3260</v>
      </c>
      <c r="E357" s="3378" t="s">
        <v>3258</v>
      </c>
      <c r="F357" s="3378">
        <v>203</v>
      </c>
      <c r="G357" s="3378">
        <v>69.75</v>
      </c>
      <c r="H357" s="3377" t="s">
        <v>3055</v>
      </c>
    </row>
    <row r="358" spans="1:8" ht="14.25" thickBot="1">
      <c r="A358" s="3376">
        <v>357</v>
      </c>
      <c r="B358" s="3377" t="s">
        <v>3524</v>
      </c>
      <c r="C358" s="3378" t="s">
        <v>3272</v>
      </c>
      <c r="D358" s="3378" t="s">
        <v>3260</v>
      </c>
      <c r="E358" s="3378" t="s">
        <v>3258</v>
      </c>
      <c r="F358" s="3378">
        <v>205</v>
      </c>
      <c r="G358" s="3378">
        <v>69.75</v>
      </c>
      <c r="H358" s="3377" t="s">
        <v>3055</v>
      </c>
    </row>
    <row r="359" spans="1:8" ht="14.25" thickBot="1">
      <c r="A359" s="3376">
        <v>358</v>
      </c>
      <c r="B359" s="3377" t="s">
        <v>3524</v>
      </c>
      <c r="C359" s="3378" t="s">
        <v>3272</v>
      </c>
      <c r="D359" s="3378" t="s">
        <v>3260</v>
      </c>
      <c r="E359" s="3378" t="s">
        <v>3258</v>
      </c>
      <c r="F359" s="3378">
        <v>207</v>
      </c>
      <c r="G359" s="3378">
        <v>94.74</v>
      </c>
      <c r="H359" s="3377" t="s">
        <v>3055</v>
      </c>
    </row>
    <row r="360" spans="1:8" ht="14.25" thickBot="1">
      <c r="A360" s="3376">
        <v>359</v>
      </c>
      <c r="B360" s="3377" t="s">
        <v>3524</v>
      </c>
      <c r="C360" s="3378" t="s">
        <v>3272</v>
      </c>
      <c r="D360" s="3378" t="s">
        <v>3260</v>
      </c>
      <c r="E360" s="3378" t="s">
        <v>3259</v>
      </c>
      <c r="F360" s="3378">
        <v>203</v>
      </c>
      <c r="G360" s="3378">
        <v>69.75</v>
      </c>
      <c r="H360" s="3377" t="s">
        <v>3055</v>
      </c>
    </row>
    <row r="361" spans="1:8" ht="14.25" thickBot="1">
      <c r="A361" s="3376">
        <v>360</v>
      </c>
      <c r="B361" s="3377" t="s">
        <v>3524</v>
      </c>
      <c r="C361" s="3378" t="s">
        <v>3272</v>
      </c>
      <c r="D361" s="3378" t="s">
        <v>3260</v>
      </c>
      <c r="E361" s="3378" t="s">
        <v>3259</v>
      </c>
      <c r="F361" s="3378">
        <v>207</v>
      </c>
      <c r="G361" s="3378">
        <v>66.069999999999993</v>
      </c>
      <c r="H361" s="3377" t="s">
        <v>3055</v>
      </c>
    </row>
    <row r="362" spans="1:8" ht="14.25" thickBot="1">
      <c r="A362" s="3376">
        <v>361</v>
      </c>
      <c r="B362" s="3377" t="s">
        <v>3524</v>
      </c>
      <c r="C362" s="3378" t="s">
        <v>3272</v>
      </c>
      <c r="D362" s="3378" t="s">
        <v>3261</v>
      </c>
      <c r="E362" s="3378" t="s">
        <v>3258</v>
      </c>
      <c r="F362" s="3378">
        <v>303</v>
      </c>
      <c r="G362" s="3378">
        <v>69.75</v>
      </c>
      <c r="H362" s="3377" t="s">
        <v>3055</v>
      </c>
    </row>
    <row r="363" spans="1:8" ht="14.25" thickBot="1">
      <c r="A363" s="3376">
        <v>362</v>
      </c>
      <c r="B363" s="3377" t="s">
        <v>3524</v>
      </c>
      <c r="C363" s="3378" t="s">
        <v>3272</v>
      </c>
      <c r="D363" s="3378" t="s">
        <v>3261</v>
      </c>
      <c r="E363" s="3378" t="s">
        <v>3258</v>
      </c>
      <c r="F363" s="3378">
        <v>305</v>
      </c>
      <c r="G363" s="3378">
        <v>69.75</v>
      </c>
      <c r="H363" s="3377" t="s">
        <v>3055</v>
      </c>
    </row>
    <row r="364" spans="1:8" ht="14.25" thickBot="1">
      <c r="A364" s="3376">
        <v>363</v>
      </c>
      <c r="B364" s="3377" t="s">
        <v>3524</v>
      </c>
      <c r="C364" s="3378" t="s">
        <v>3272</v>
      </c>
      <c r="D364" s="3378" t="s">
        <v>3261</v>
      </c>
      <c r="E364" s="3378" t="s">
        <v>3258</v>
      </c>
      <c r="F364" s="3378">
        <v>306</v>
      </c>
      <c r="G364" s="3378">
        <v>69.56</v>
      </c>
      <c r="H364" s="3377" t="s">
        <v>3055</v>
      </c>
    </row>
    <row r="365" spans="1:8" ht="14.25" thickBot="1">
      <c r="A365" s="3376">
        <v>364</v>
      </c>
      <c r="B365" s="3377" t="s">
        <v>3524</v>
      </c>
      <c r="C365" s="3378" t="s">
        <v>3272</v>
      </c>
      <c r="D365" s="3378" t="s">
        <v>3261</v>
      </c>
      <c r="E365" s="3378" t="s">
        <v>3259</v>
      </c>
      <c r="F365" s="3378">
        <v>307</v>
      </c>
      <c r="G365" s="3378">
        <v>66.069999999999993</v>
      </c>
      <c r="H365" s="3377" t="s">
        <v>3055</v>
      </c>
    </row>
    <row r="366" spans="1:8" ht="14.25" thickBot="1">
      <c r="A366" s="3376">
        <v>365</v>
      </c>
      <c r="B366" s="3377" t="s">
        <v>3524</v>
      </c>
      <c r="C366" s="3378" t="s">
        <v>3272</v>
      </c>
      <c r="D366" s="3378" t="s">
        <v>3262</v>
      </c>
      <c r="E366" s="3378" t="s">
        <v>3258</v>
      </c>
      <c r="F366" s="3378" t="s">
        <v>3148</v>
      </c>
      <c r="G366" s="3378">
        <v>69.75</v>
      </c>
      <c r="H366" s="3377" t="s">
        <v>3055</v>
      </c>
    </row>
    <row r="367" spans="1:8" ht="14.25" thickBot="1">
      <c r="A367" s="3376">
        <v>366</v>
      </c>
      <c r="B367" s="3377" t="s">
        <v>3524</v>
      </c>
      <c r="C367" s="3378" t="s">
        <v>3272</v>
      </c>
      <c r="D367" s="3378" t="s">
        <v>3262</v>
      </c>
      <c r="E367" s="3378" t="s">
        <v>3258</v>
      </c>
      <c r="F367" s="3378" t="s">
        <v>3150</v>
      </c>
      <c r="G367" s="3378">
        <v>94.74</v>
      </c>
      <c r="H367" s="3377" t="s">
        <v>3055</v>
      </c>
    </row>
    <row r="368" spans="1:8" ht="14.25" thickBot="1">
      <c r="A368" s="3376">
        <v>367</v>
      </c>
      <c r="B368" s="3377" t="s">
        <v>3524</v>
      </c>
      <c r="C368" s="3378" t="s">
        <v>3272</v>
      </c>
      <c r="D368" s="3378" t="s">
        <v>3262</v>
      </c>
      <c r="E368" s="3378" t="s">
        <v>3259</v>
      </c>
      <c r="F368" s="3378" t="s">
        <v>3146</v>
      </c>
      <c r="G368" s="3378">
        <v>69.56</v>
      </c>
      <c r="H368" s="3377" t="s">
        <v>3055</v>
      </c>
    </row>
    <row r="369" spans="1:8" ht="14.25" thickBot="1">
      <c r="A369" s="3376">
        <v>368</v>
      </c>
      <c r="B369" s="3377" t="s">
        <v>3524</v>
      </c>
      <c r="C369" s="3378" t="s">
        <v>3272</v>
      </c>
      <c r="D369" s="3378" t="s">
        <v>3262</v>
      </c>
      <c r="E369" s="3378" t="s">
        <v>3259</v>
      </c>
      <c r="F369" s="3378" t="s">
        <v>3147</v>
      </c>
      <c r="G369" s="3378">
        <v>69.75</v>
      </c>
      <c r="H369" s="3377" t="s">
        <v>3055</v>
      </c>
    </row>
    <row r="370" spans="1:8" ht="14.25" thickBot="1">
      <c r="A370" s="3376">
        <v>369</v>
      </c>
      <c r="B370" s="3377" t="s">
        <v>3524</v>
      </c>
      <c r="C370" s="3378" t="s">
        <v>3272</v>
      </c>
      <c r="D370" s="3378" t="s">
        <v>3262</v>
      </c>
      <c r="E370" s="3378" t="s">
        <v>3259</v>
      </c>
      <c r="F370" s="3378" t="s">
        <v>3149</v>
      </c>
      <c r="G370" s="3378">
        <v>69.56</v>
      </c>
      <c r="H370" s="3377" t="s">
        <v>3055</v>
      </c>
    </row>
    <row r="371" spans="1:8" ht="14.25" thickBot="1">
      <c r="A371" s="3376">
        <v>370</v>
      </c>
      <c r="B371" s="3377" t="s">
        <v>3524</v>
      </c>
      <c r="C371" s="3378" t="s">
        <v>3272</v>
      </c>
      <c r="D371" s="3378" t="s">
        <v>3263</v>
      </c>
      <c r="E371" s="3378" t="s">
        <v>3258</v>
      </c>
      <c r="F371" s="3378">
        <v>503</v>
      </c>
      <c r="G371" s="3378">
        <v>69.75</v>
      </c>
      <c r="H371" s="3377" t="s">
        <v>3055</v>
      </c>
    </row>
    <row r="372" spans="1:8" ht="14.25" thickBot="1">
      <c r="A372" s="3376">
        <v>371</v>
      </c>
      <c r="B372" s="3377" t="s">
        <v>3524</v>
      </c>
      <c r="C372" s="3378" t="s">
        <v>3272</v>
      </c>
      <c r="D372" s="3378" t="s">
        <v>3263</v>
      </c>
      <c r="E372" s="3378" t="s">
        <v>3258</v>
      </c>
      <c r="F372" s="3378">
        <v>505</v>
      </c>
      <c r="G372" s="3378">
        <v>69.75</v>
      </c>
      <c r="H372" s="3377" t="s">
        <v>3055</v>
      </c>
    </row>
    <row r="373" spans="1:8" ht="14.25" thickBot="1">
      <c r="A373" s="3376">
        <v>372</v>
      </c>
      <c r="B373" s="3377" t="s">
        <v>3524</v>
      </c>
      <c r="C373" s="3378" t="s">
        <v>3272</v>
      </c>
      <c r="D373" s="3378" t="s">
        <v>3263</v>
      </c>
      <c r="E373" s="3378" t="s">
        <v>3258</v>
      </c>
      <c r="F373" s="3378">
        <v>506</v>
      </c>
      <c r="G373" s="3378">
        <v>69.56</v>
      </c>
      <c r="H373" s="3377" t="s">
        <v>3055</v>
      </c>
    </row>
    <row r="374" spans="1:8" ht="14.25" thickBot="1">
      <c r="A374" s="3376">
        <v>373</v>
      </c>
      <c r="B374" s="3377" t="s">
        <v>3524</v>
      </c>
      <c r="C374" s="3378" t="s">
        <v>3272</v>
      </c>
      <c r="D374" s="3378" t="s">
        <v>3263</v>
      </c>
      <c r="E374" s="3378" t="s">
        <v>3258</v>
      </c>
      <c r="F374" s="3378">
        <v>507</v>
      </c>
      <c r="G374" s="3378">
        <v>94.74</v>
      </c>
      <c r="H374" s="3377" t="s">
        <v>3055</v>
      </c>
    </row>
    <row r="375" spans="1:8" ht="14.25" thickBot="1">
      <c r="A375" s="3376">
        <v>374</v>
      </c>
      <c r="B375" s="3377" t="s">
        <v>3524</v>
      </c>
      <c r="C375" s="3378" t="s">
        <v>3272</v>
      </c>
      <c r="D375" s="3378" t="s">
        <v>3263</v>
      </c>
      <c r="E375" s="3378" t="s">
        <v>3259</v>
      </c>
      <c r="F375" s="3378">
        <v>502</v>
      </c>
      <c r="G375" s="3378">
        <v>69.56</v>
      </c>
      <c r="H375" s="3377" t="s">
        <v>3055</v>
      </c>
    </row>
    <row r="376" spans="1:8" ht="14.25" thickBot="1">
      <c r="A376" s="3376">
        <v>375</v>
      </c>
      <c r="B376" s="3377" t="s">
        <v>3524</v>
      </c>
      <c r="C376" s="3378" t="s">
        <v>3272</v>
      </c>
      <c r="D376" s="3378" t="s">
        <v>3263</v>
      </c>
      <c r="E376" s="3378" t="s">
        <v>3259</v>
      </c>
      <c r="F376" s="3378">
        <v>503</v>
      </c>
      <c r="G376" s="3378">
        <v>69.75</v>
      </c>
      <c r="H376" s="3377" t="s">
        <v>3055</v>
      </c>
    </row>
    <row r="377" spans="1:8" ht="14.25" thickBot="1">
      <c r="A377" s="3376">
        <v>376</v>
      </c>
      <c r="B377" s="3377" t="s">
        <v>3524</v>
      </c>
      <c r="C377" s="3378" t="s">
        <v>3272</v>
      </c>
      <c r="D377" s="3378" t="s">
        <v>3263</v>
      </c>
      <c r="E377" s="3378" t="s">
        <v>3259</v>
      </c>
      <c r="F377" s="3378">
        <v>505</v>
      </c>
      <c r="G377" s="3378">
        <v>69.75</v>
      </c>
      <c r="H377" s="3377" t="s">
        <v>3055</v>
      </c>
    </row>
    <row r="378" spans="1:8" ht="14.25" thickBot="1">
      <c r="A378" s="3376">
        <v>377</v>
      </c>
      <c r="B378" s="3377" t="s">
        <v>3524</v>
      </c>
      <c r="C378" s="3378" t="s">
        <v>3272</v>
      </c>
      <c r="D378" s="3378" t="s">
        <v>3263</v>
      </c>
      <c r="E378" s="3378" t="s">
        <v>3259</v>
      </c>
      <c r="F378" s="3378">
        <v>506</v>
      </c>
      <c r="G378" s="3378">
        <v>69.56</v>
      </c>
      <c r="H378" s="3377" t="s">
        <v>3055</v>
      </c>
    </row>
    <row r="379" spans="1:8" ht="14.25" thickBot="1">
      <c r="A379" s="3376">
        <v>378</v>
      </c>
      <c r="B379" s="3377" t="s">
        <v>3524</v>
      </c>
      <c r="C379" s="3378" t="s">
        <v>3272</v>
      </c>
      <c r="D379" s="3378" t="s">
        <v>3263</v>
      </c>
      <c r="E379" s="3378" t="s">
        <v>3259</v>
      </c>
      <c r="F379" s="3378">
        <v>507</v>
      </c>
      <c r="G379" s="3378">
        <v>66.069999999999993</v>
      </c>
      <c r="H379" s="3377" t="s">
        <v>3055</v>
      </c>
    </row>
    <row r="380" spans="1:8" ht="14.25" thickBot="1">
      <c r="A380" s="3376">
        <v>379</v>
      </c>
      <c r="B380" s="3377" t="s">
        <v>3524</v>
      </c>
      <c r="C380" s="3378" t="s">
        <v>3272</v>
      </c>
      <c r="D380" s="3378" t="s">
        <v>3264</v>
      </c>
      <c r="E380" s="3378" t="s">
        <v>3258</v>
      </c>
      <c r="F380" s="3378">
        <v>606</v>
      </c>
      <c r="G380" s="3378">
        <v>69.56</v>
      </c>
      <c r="H380" s="3377" t="s">
        <v>3055</v>
      </c>
    </row>
    <row r="381" spans="1:8" ht="14.25" thickBot="1">
      <c r="A381" s="3376">
        <v>380</v>
      </c>
      <c r="B381" s="3377" t="s">
        <v>3524</v>
      </c>
      <c r="C381" s="3378" t="s">
        <v>3273</v>
      </c>
      <c r="D381" s="3378" t="s">
        <v>3257</v>
      </c>
      <c r="E381" s="3378" t="s">
        <v>3258</v>
      </c>
      <c r="F381" s="3378">
        <v>101</v>
      </c>
      <c r="G381" s="3378">
        <v>65.67</v>
      </c>
      <c r="H381" s="3377" t="s">
        <v>3055</v>
      </c>
    </row>
    <row r="382" spans="1:8" ht="14.25" thickBot="1">
      <c r="A382" s="3376">
        <v>381</v>
      </c>
      <c r="B382" s="3377" t="s">
        <v>3524</v>
      </c>
      <c r="C382" s="3378" t="s">
        <v>3273</v>
      </c>
      <c r="D382" s="3378" t="s">
        <v>3257</v>
      </c>
      <c r="E382" s="3378" t="s">
        <v>3258</v>
      </c>
      <c r="F382" s="3378">
        <v>102</v>
      </c>
      <c r="G382" s="3378">
        <v>68.94</v>
      </c>
      <c r="H382" s="3377" t="s">
        <v>3055</v>
      </c>
    </row>
    <row r="383" spans="1:8" ht="14.25" thickBot="1">
      <c r="A383" s="3376">
        <v>382</v>
      </c>
      <c r="B383" s="3377" t="s">
        <v>3524</v>
      </c>
      <c r="C383" s="3378" t="s">
        <v>3273</v>
      </c>
      <c r="D383" s="3378" t="s">
        <v>3257</v>
      </c>
      <c r="E383" s="3378" t="s">
        <v>3258</v>
      </c>
      <c r="F383" s="3378">
        <v>103</v>
      </c>
      <c r="G383" s="3378">
        <v>69.290000000000006</v>
      </c>
      <c r="H383" s="3377" t="s">
        <v>3055</v>
      </c>
    </row>
    <row r="384" spans="1:8" ht="14.25" thickBot="1">
      <c r="A384" s="3376">
        <v>383</v>
      </c>
      <c r="B384" s="3377" t="s">
        <v>3524</v>
      </c>
      <c r="C384" s="3378" t="s">
        <v>3273</v>
      </c>
      <c r="D384" s="3378" t="s">
        <v>3257</v>
      </c>
      <c r="E384" s="3378" t="s">
        <v>3258</v>
      </c>
      <c r="F384" s="3378">
        <v>105</v>
      </c>
      <c r="G384" s="3378">
        <v>69.290000000000006</v>
      </c>
      <c r="H384" s="3377" t="s">
        <v>3055</v>
      </c>
    </row>
    <row r="385" spans="1:8" ht="14.25" thickBot="1">
      <c r="A385" s="3376">
        <v>384</v>
      </c>
      <c r="B385" s="3377" t="s">
        <v>3524</v>
      </c>
      <c r="C385" s="3378" t="s">
        <v>3273</v>
      </c>
      <c r="D385" s="3378" t="s">
        <v>3257</v>
      </c>
      <c r="E385" s="3378" t="s">
        <v>3258</v>
      </c>
      <c r="F385" s="3378">
        <v>106</v>
      </c>
      <c r="G385" s="3378">
        <v>68.94</v>
      </c>
      <c r="H385" s="3377" t="s">
        <v>3055</v>
      </c>
    </row>
    <row r="386" spans="1:8" ht="14.25" thickBot="1">
      <c r="A386" s="3376">
        <v>385</v>
      </c>
      <c r="B386" s="3377" t="s">
        <v>3524</v>
      </c>
      <c r="C386" s="3378" t="s">
        <v>3273</v>
      </c>
      <c r="D386" s="3378" t="s">
        <v>3257</v>
      </c>
      <c r="E386" s="3378" t="s">
        <v>3258</v>
      </c>
      <c r="F386" s="3378">
        <v>107</v>
      </c>
      <c r="G386" s="3378">
        <v>94.13</v>
      </c>
      <c r="H386" s="3377" t="s">
        <v>3055</v>
      </c>
    </row>
    <row r="387" spans="1:8" ht="14.25" thickBot="1">
      <c r="A387" s="3376">
        <v>386</v>
      </c>
      <c r="B387" s="3377" t="s">
        <v>3524</v>
      </c>
      <c r="C387" s="3378" t="s">
        <v>3273</v>
      </c>
      <c r="D387" s="3378" t="s">
        <v>3257</v>
      </c>
      <c r="E387" s="3378" t="s">
        <v>3259</v>
      </c>
      <c r="F387" s="3378">
        <v>101</v>
      </c>
      <c r="G387" s="3378">
        <v>94.13</v>
      </c>
      <c r="H387" s="3377" t="s">
        <v>3055</v>
      </c>
    </row>
    <row r="388" spans="1:8" ht="14.25" thickBot="1">
      <c r="A388" s="3376">
        <v>387</v>
      </c>
      <c r="B388" s="3377" t="s">
        <v>3524</v>
      </c>
      <c r="C388" s="3378" t="s">
        <v>3273</v>
      </c>
      <c r="D388" s="3378" t="s">
        <v>3257</v>
      </c>
      <c r="E388" s="3378" t="s">
        <v>3259</v>
      </c>
      <c r="F388" s="3378">
        <v>103</v>
      </c>
      <c r="G388" s="3378">
        <v>69.290000000000006</v>
      </c>
      <c r="H388" s="3377" t="s">
        <v>3055</v>
      </c>
    </row>
    <row r="389" spans="1:8" ht="14.25" thickBot="1">
      <c r="A389" s="3376">
        <v>388</v>
      </c>
      <c r="B389" s="3377" t="s">
        <v>3524</v>
      </c>
      <c r="C389" s="3378" t="s">
        <v>3273</v>
      </c>
      <c r="D389" s="3378" t="s">
        <v>3257</v>
      </c>
      <c r="E389" s="3378" t="s">
        <v>3259</v>
      </c>
      <c r="F389" s="3378">
        <v>105</v>
      </c>
      <c r="G389" s="3378">
        <v>69.290000000000006</v>
      </c>
      <c r="H389" s="3377" t="s">
        <v>3055</v>
      </c>
    </row>
    <row r="390" spans="1:8" ht="14.25" thickBot="1">
      <c r="A390" s="3376">
        <v>389</v>
      </c>
      <c r="B390" s="3377" t="s">
        <v>3524</v>
      </c>
      <c r="C390" s="3378" t="s">
        <v>3273</v>
      </c>
      <c r="D390" s="3378" t="s">
        <v>3257</v>
      </c>
      <c r="E390" s="3378" t="s">
        <v>3259</v>
      </c>
      <c r="F390" s="3378">
        <v>106</v>
      </c>
      <c r="G390" s="3378">
        <v>68.94</v>
      </c>
      <c r="H390" s="3377" t="s">
        <v>3055</v>
      </c>
    </row>
    <row r="391" spans="1:8" ht="14.25" thickBot="1">
      <c r="A391" s="3376">
        <v>390</v>
      </c>
      <c r="B391" s="3377" t="s">
        <v>3524</v>
      </c>
      <c r="C391" s="3378" t="s">
        <v>3273</v>
      </c>
      <c r="D391" s="3378" t="s">
        <v>3257</v>
      </c>
      <c r="E391" s="3378" t="s">
        <v>3259</v>
      </c>
      <c r="F391" s="3378">
        <v>107</v>
      </c>
      <c r="G391" s="3378">
        <v>65.67</v>
      </c>
      <c r="H391" s="3377" t="s">
        <v>3055</v>
      </c>
    </row>
    <row r="392" spans="1:8" ht="14.25" thickBot="1">
      <c r="A392" s="3376">
        <v>391</v>
      </c>
      <c r="B392" s="3377" t="s">
        <v>3524</v>
      </c>
      <c r="C392" s="3378" t="s">
        <v>3273</v>
      </c>
      <c r="D392" s="3378" t="s">
        <v>3260</v>
      </c>
      <c r="E392" s="3378" t="s">
        <v>3258</v>
      </c>
      <c r="F392" s="3378">
        <v>201</v>
      </c>
      <c r="G392" s="3378">
        <v>65.510000000000005</v>
      </c>
      <c r="H392" s="3377" t="s">
        <v>3055</v>
      </c>
    </row>
    <row r="393" spans="1:8" ht="14.25" thickBot="1">
      <c r="A393" s="3376">
        <v>392</v>
      </c>
      <c r="B393" s="3377" t="s">
        <v>3524</v>
      </c>
      <c r="C393" s="3378" t="s">
        <v>3273</v>
      </c>
      <c r="D393" s="3378" t="s">
        <v>3260</v>
      </c>
      <c r="E393" s="3378" t="s">
        <v>3259</v>
      </c>
      <c r="F393" s="3378">
        <v>207</v>
      </c>
      <c r="G393" s="3378">
        <v>65.510000000000005</v>
      </c>
      <c r="H393" s="3377" t="s">
        <v>3055</v>
      </c>
    </row>
    <row r="394" spans="1:8" ht="14.25" thickBot="1">
      <c r="A394" s="3376">
        <v>393</v>
      </c>
      <c r="B394" s="3377" t="s">
        <v>3524</v>
      </c>
      <c r="C394" s="3378" t="s">
        <v>3273</v>
      </c>
      <c r="D394" s="3378" t="s">
        <v>3261</v>
      </c>
      <c r="E394" s="3378" t="s">
        <v>3258</v>
      </c>
      <c r="F394" s="3378">
        <v>301</v>
      </c>
      <c r="G394" s="3378">
        <v>65.510000000000005</v>
      </c>
      <c r="H394" s="3377" t="s">
        <v>3055</v>
      </c>
    </row>
    <row r="395" spans="1:8" ht="14.25" thickBot="1">
      <c r="A395" s="3376">
        <v>394</v>
      </c>
      <c r="B395" s="3377" t="s">
        <v>3524</v>
      </c>
      <c r="C395" s="3378" t="s">
        <v>3273</v>
      </c>
      <c r="D395" s="3378" t="s">
        <v>3261</v>
      </c>
      <c r="E395" s="3378" t="s">
        <v>3258</v>
      </c>
      <c r="F395" s="3378">
        <v>302</v>
      </c>
      <c r="G395" s="3378">
        <v>68.94</v>
      </c>
      <c r="H395" s="3377" t="s">
        <v>3055</v>
      </c>
    </row>
    <row r="396" spans="1:8" ht="14.25" thickBot="1">
      <c r="A396" s="3376">
        <v>395</v>
      </c>
      <c r="B396" s="3377" t="s">
        <v>3524</v>
      </c>
      <c r="C396" s="3378" t="s">
        <v>3273</v>
      </c>
      <c r="D396" s="3378" t="s">
        <v>3261</v>
      </c>
      <c r="E396" s="3378" t="s">
        <v>3259</v>
      </c>
      <c r="F396" s="3378">
        <v>306</v>
      </c>
      <c r="G396" s="3378">
        <v>68.94</v>
      </c>
      <c r="H396" s="3377" t="s">
        <v>3055</v>
      </c>
    </row>
    <row r="397" spans="1:8" ht="14.25" thickBot="1">
      <c r="A397" s="3376">
        <v>396</v>
      </c>
      <c r="B397" s="3377" t="s">
        <v>3524</v>
      </c>
      <c r="C397" s="3378" t="s">
        <v>3273</v>
      </c>
      <c r="D397" s="3378" t="s">
        <v>3262</v>
      </c>
      <c r="E397" s="3378" t="s">
        <v>3258</v>
      </c>
      <c r="F397" s="3378" t="s">
        <v>3150</v>
      </c>
      <c r="G397" s="3378">
        <v>93.91</v>
      </c>
      <c r="H397" s="3377" t="s">
        <v>3055</v>
      </c>
    </row>
    <row r="398" spans="1:8" ht="14.25" thickBot="1">
      <c r="A398" s="3376">
        <v>397</v>
      </c>
      <c r="B398" s="3377" t="s">
        <v>3524</v>
      </c>
      <c r="C398" s="3378" t="s">
        <v>3273</v>
      </c>
      <c r="D398" s="3378" t="s">
        <v>3262</v>
      </c>
      <c r="E398" s="3378" t="s">
        <v>3259</v>
      </c>
      <c r="F398" s="3378" t="s">
        <v>3150</v>
      </c>
      <c r="G398" s="3378">
        <v>65.510000000000005</v>
      </c>
      <c r="H398" s="3377" t="s">
        <v>3055</v>
      </c>
    </row>
    <row r="399" spans="1:8" ht="14.25" thickBot="1">
      <c r="A399" s="3376">
        <v>398</v>
      </c>
      <c r="B399" s="3377" t="s">
        <v>3524</v>
      </c>
      <c r="C399" s="3378" t="s">
        <v>3273</v>
      </c>
      <c r="D399" s="3378" t="s">
        <v>3263</v>
      </c>
      <c r="E399" s="3378" t="s">
        <v>3258</v>
      </c>
      <c r="F399" s="3378">
        <v>507</v>
      </c>
      <c r="G399" s="3378">
        <v>93.91</v>
      </c>
      <c r="H399" s="3377" t="s">
        <v>3055</v>
      </c>
    </row>
    <row r="400" spans="1:8" ht="14.25" thickBot="1">
      <c r="A400" s="3376">
        <v>399</v>
      </c>
      <c r="B400" s="3377" t="s">
        <v>3524</v>
      </c>
      <c r="C400" s="3378" t="s">
        <v>3273</v>
      </c>
      <c r="D400" s="3378" t="s">
        <v>3263</v>
      </c>
      <c r="E400" s="3378" t="s">
        <v>3259</v>
      </c>
      <c r="F400" s="3378">
        <v>501</v>
      </c>
      <c r="G400" s="3378">
        <v>93.91</v>
      </c>
      <c r="H400" s="3377" t="s">
        <v>3055</v>
      </c>
    </row>
    <row r="401" spans="1:8" ht="14.25" thickBot="1">
      <c r="A401" s="3376">
        <v>400</v>
      </c>
      <c r="B401" s="3377" t="s">
        <v>3524</v>
      </c>
      <c r="C401" s="3378" t="s">
        <v>3273</v>
      </c>
      <c r="D401" s="3378" t="s">
        <v>3263</v>
      </c>
      <c r="E401" s="3378" t="s">
        <v>3259</v>
      </c>
      <c r="F401" s="3378">
        <v>506</v>
      </c>
      <c r="G401" s="3378">
        <v>68.94</v>
      </c>
      <c r="H401" s="3377" t="s">
        <v>3055</v>
      </c>
    </row>
    <row r="402" spans="1:8" ht="14.25" thickBot="1">
      <c r="A402" s="3376">
        <v>401</v>
      </c>
      <c r="B402" s="3377" t="s">
        <v>3524</v>
      </c>
      <c r="C402" s="3378" t="s">
        <v>3273</v>
      </c>
      <c r="D402" s="3378" t="s">
        <v>3263</v>
      </c>
      <c r="E402" s="3378" t="s">
        <v>3259</v>
      </c>
      <c r="F402" s="3378">
        <v>507</v>
      </c>
      <c r="G402" s="3378">
        <v>65.510000000000005</v>
      </c>
      <c r="H402" s="3377" t="s">
        <v>3055</v>
      </c>
    </row>
    <row r="403" spans="1:8" ht="14.25" thickBot="1">
      <c r="A403" s="3376">
        <v>402</v>
      </c>
      <c r="B403" s="3377" t="s">
        <v>3524</v>
      </c>
      <c r="C403" s="3378" t="s">
        <v>3273</v>
      </c>
      <c r="D403" s="3378" t="s">
        <v>3264</v>
      </c>
      <c r="E403" s="3378" t="s">
        <v>3258</v>
      </c>
      <c r="F403" s="3378">
        <v>602</v>
      </c>
      <c r="G403" s="3378">
        <v>68.94</v>
      </c>
      <c r="H403" s="3377" t="s">
        <v>3055</v>
      </c>
    </row>
    <row r="404" spans="1:8" ht="14.25" thickBot="1">
      <c r="A404" s="3376">
        <v>403</v>
      </c>
      <c r="B404" s="3377" t="s">
        <v>3524</v>
      </c>
      <c r="C404" s="3378" t="s">
        <v>3273</v>
      </c>
      <c r="D404" s="3378" t="s">
        <v>3264</v>
      </c>
      <c r="E404" s="3378" t="s">
        <v>3258</v>
      </c>
      <c r="F404" s="3378">
        <v>603</v>
      </c>
      <c r="G404" s="3378">
        <v>69.290000000000006</v>
      </c>
      <c r="H404" s="3377" t="s">
        <v>3055</v>
      </c>
    </row>
    <row r="405" spans="1:8" ht="14.25" thickBot="1">
      <c r="A405" s="3376">
        <v>404</v>
      </c>
      <c r="B405" s="3377" t="s">
        <v>3524</v>
      </c>
      <c r="C405" s="3378" t="s">
        <v>3273</v>
      </c>
      <c r="D405" s="3378" t="s">
        <v>3264</v>
      </c>
      <c r="E405" s="3378" t="s">
        <v>3259</v>
      </c>
      <c r="F405" s="3378">
        <v>602</v>
      </c>
      <c r="G405" s="3378">
        <v>68.94</v>
      </c>
      <c r="H405" s="3377" t="s">
        <v>3055</v>
      </c>
    </row>
    <row r="406" spans="1:8" ht="14.25" thickBot="1">
      <c r="A406" s="3376">
        <v>405</v>
      </c>
      <c r="B406" s="3377" t="s">
        <v>3524</v>
      </c>
      <c r="C406" s="3378" t="s">
        <v>3273</v>
      </c>
      <c r="D406" s="3378" t="s">
        <v>3264</v>
      </c>
      <c r="E406" s="3378" t="s">
        <v>3259</v>
      </c>
      <c r="F406" s="3378">
        <v>605</v>
      </c>
      <c r="G406" s="3378">
        <v>69.290000000000006</v>
      </c>
      <c r="H406" s="3377" t="s">
        <v>3055</v>
      </c>
    </row>
    <row r="407" spans="1:8" ht="14.25" thickBot="1">
      <c r="A407" s="3376">
        <v>406</v>
      </c>
      <c r="B407" s="3377" t="s">
        <v>3524</v>
      </c>
      <c r="C407" s="3378" t="s">
        <v>3273</v>
      </c>
      <c r="D407" s="3378" t="s">
        <v>3264</v>
      </c>
      <c r="E407" s="3378" t="s">
        <v>3259</v>
      </c>
      <c r="F407" s="3378">
        <v>606</v>
      </c>
      <c r="G407" s="3378">
        <v>68.94</v>
      </c>
      <c r="H407" s="3377" t="s">
        <v>3055</v>
      </c>
    </row>
    <row r="408" spans="1:8" ht="14.25" thickBot="1">
      <c r="A408" s="3376">
        <v>407</v>
      </c>
      <c r="B408" s="3377" t="s">
        <v>3524</v>
      </c>
      <c r="C408" s="3378" t="s">
        <v>3274</v>
      </c>
      <c r="D408" s="3378" t="s">
        <v>3257</v>
      </c>
      <c r="E408" s="3378" t="s">
        <v>70</v>
      </c>
      <c r="F408" s="3378">
        <v>101</v>
      </c>
      <c r="G408" s="3378">
        <v>93.93</v>
      </c>
      <c r="H408" s="3377" t="s">
        <v>3055</v>
      </c>
    </row>
    <row r="409" spans="1:8" ht="14.25" thickBot="1">
      <c r="A409" s="3376">
        <v>408</v>
      </c>
      <c r="B409" s="3377" t="s">
        <v>3524</v>
      </c>
      <c r="C409" s="3378" t="s">
        <v>3274</v>
      </c>
      <c r="D409" s="3378" t="s">
        <v>3257</v>
      </c>
      <c r="E409" s="3378" t="s">
        <v>70</v>
      </c>
      <c r="F409" s="3378">
        <v>102</v>
      </c>
      <c r="G409" s="3378">
        <v>69.17</v>
      </c>
      <c r="H409" s="3377" t="s">
        <v>3055</v>
      </c>
    </row>
    <row r="410" spans="1:8" ht="14.25" thickBot="1">
      <c r="A410" s="3376">
        <v>409</v>
      </c>
      <c r="B410" s="3377" t="s">
        <v>3524</v>
      </c>
      <c r="C410" s="3378" t="s">
        <v>3274</v>
      </c>
      <c r="D410" s="3378" t="s">
        <v>3257</v>
      </c>
      <c r="E410" s="3378" t="s">
        <v>70</v>
      </c>
      <c r="F410" s="3378">
        <v>103</v>
      </c>
      <c r="G410" s="3378">
        <v>69.27</v>
      </c>
      <c r="H410" s="3377" t="s">
        <v>3055</v>
      </c>
    </row>
    <row r="411" spans="1:8" ht="14.25" thickBot="1">
      <c r="A411" s="3376">
        <v>410</v>
      </c>
      <c r="B411" s="3377" t="s">
        <v>3524</v>
      </c>
      <c r="C411" s="3378" t="s">
        <v>3274</v>
      </c>
      <c r="D411" s="3378" t="s">
        <v>3257</v>
      </c>
      <c r="E411" s="3378" t="s">
        <v>70</v>
      </c>
      <c r="F411" s="3378">
        <v>105</v>
      </c>
      <c r="G411" s="3378">
        <v>69.27</v>
      </c>
      <c r="H411" s="3377" t="s">
        <v>3055</v>
      </c>
    </row>
    <row r="412" spans="1:8" ht="14.25" thickBot="1">
      <c r="A412" s="3376">
        <v>411</v>
      </c>
      <c r="B412" s="3377" t="s">
        <v>3524</v>
      </c>
      <c r="C412" s="3378" t="s">
        <v>3274</v>
      </c>
      <c r="D412" s="3378" t="s">
        <v>3257</v>
      </c>
      <c r="E412" s="3378" t="s">
        <v>70</v>
      </c>
      <c r="F412" s="3378">
        <v>106</v>
      </c>
      <c r="G412" s="3378">
        <v>68.95</v>
      </c>
      <c r="H412" s="3377" t="s">
        <v>3055</v>
      </c>
    </row>
    <row r="413" spans="1:8" ht="14.25" thickBot="1">
      <c r="A413" s="3376">
        <v>412</v>
      </c>
      <c r="B413" s="3377" t="s">
        <v>3524</v>
      </c>
      <c r="C413" s="3378" t="s">
        <v>3274</v>
      </c>
      <c r="D413" s="3378" t="s">
        <v>3257</v>
      </c>
      <c r="E413" s="3378" t="s">
        <v>70</v>
      </c>
      <c r="F413" s="3378">
        <v>107</v>
      </c>
      <c r="G413" s="3378">
        <v>65.52</v>
      </c>
      <c r="H413" s="3377" t="s">
        <v>3055</v>
      </c>
    </row>
    <row r="414" spans="1:8" ht="14.25" thickBot="1">
      <c r="A414" s="3376">
        <v>413</v>
      </c>
      <c r="B414" s="3377" t="s">
        <v>3524</v>
      </c>
      <c r="C414" s="3378" t="s">
        <v>3274</v>
      </c>
      <c r="D414" s="3378" t="s">
        <v>3261</v>
      </c>
      <c r="E414" s="3378" t="s">
        <v>70</v>
      </c>
      <c r="F414" s="3378">
        <v>307</v>
      </c>
      <c r="G414" s="3378">
        <v>65.52</v>
      </c>
      <c r="H414" s="3377" t="s">
        <v>3055</v>
      </c>
    </row>
    <row r="415" spans="1:8" ht="14.25" thickBot="1">
      <c r="A415" s="3376">
        <v>414</v>
      </c>
      <c r="B415" s="3377" t="s">
        <v>3524</v>
      </c>
      <c r="C415" s="3378" t="s">
        <v>3274</v>
      </c>
      <c r="D415" s="3378" t="s">
        <v>3262</v>
      </c>
      <c r="E415" s="3378" t="s">
        <v>70</v>
      </c>
      <c r="F415" s="3378" t="s">
        <v>3150</v>
      </c>
      <c r="G415" s="3378">
        <v>65.52</v>
      </c>
      <c r="H415" s="3377" t="s">
        <v>3055</v>
      </c>
    </row>
    <row r="416" spans="1:8" ht="14.25" thickBot="1">
      <c r="A416" s="3376">
        <v>415</v>
      </c>
      <c r="B416" s="3377" t="s">
        <v>3524</v>
      </c>
      <c r="C416" s="3378" t="s">
        <v>3274</v>
      </c>
      <c r="D416" s="3378" t="s">
        <v>3264</v>
      </c>
      <c r="E416" s="3378" t="s">
        <v>70</v>
      </c>
      <c r="F416" s="3378">
        <v>602</v>
      </c>
      <c r="G416" s="3378">
        <v>68.95</v>
      </c>
      <c r="H416" s="3377" t="s">
        <v>3055</v>
      </c>
    </row>
    <row r="417" spans="1:8" ht="14.25" thickBot="1">
      <c r="A417" s="3376">
        <v>416</v>
      </c>
      <c r="B417" s="3377" t="s">
        <v>3524</v>
      </c>
      <c r="C417" s="3378" t="s">
        <v>3274</v>
      </c>
      <c r="D417" s="3378" t="s">
        <v>3264</v>
      </c>
      <c r="E417" s="3378" t="s">
        <v>70</v>
      </c>
      <c r="F417" s="3378">
        <v>603</v>
      </c>
      <c r="G417" s="3378">
        <v>69.05</v>
      </c>
      <c r="H417" s="3377" t="s">
        <v>3055</v>
      </c>
    </row>
    <row r="418" spans="1:8" ht="14.25" thickBot="1">
      <c r="A418" s="3376">
        <v>417</v>
      </c>
      <c r="B418" s="3377" t="s">
        <v>3524</v>
      </c>
      <c r="C418" s="3378" t="s">
        <v>3274</v>
      </c>
      <c r="D418" s="3378" t="s">
        <v>3264</v>
      </c>
      <c r="E418" s="3378" t="s">
        <v>70</v>
      </c>
      <c r="F418" s="3378">
        <v>605</v>
      </c>
      <c r="G418" s="3378">
        <v>69.05</v>
      </c>
      <c r="H418" s="3377" t="s">
        <v>3055</v>
      </c>
    </row>
    <row r="419" spans="1:8" ht="14.25" thickBot="1">
      <c r="A419" s="3376">
        <v>418</v>
      </c>
      <c r="B419" s="3377" t="s">
        <v>3524</v>
      </c>
      <c r="C419" s="3378" t="s">
        <v>3274</v>
      </c>
      <c r="D419" s="3378" t="s">
        <v>3264</v>
      </c>
      <c r="E419" s="3378" t="s">
        <v>70</v>
      </c>
      <c r="F419" s="3378">
        <v>606</v>
      </c>
      <c r="G419" s="3378">
        <v>68.95</v>
      </c>
      <c r="H419" s="3377" t="s">
        <v>3055</v>
      </c>
    </row>
    <row r="420" spans="1:8" ht="14.25" thickBot="1">
      <c r="A420" s="3376">
        <v>419</v>
      </c>
      <c r="B420" s="3377" t="s">
        <v>3524</v>
      </c>
      <c r="C420" s="3378" t="s">
        <v>3275</v>
      </c>
      <c r="D420" s="3378" t="s">
        <v>3257</v>
      </c>
      <c r="E420" s="3378" t="s">
        <v>70</v>
      </c>
      <c r="F420" s="3378">
        <v>101</v>
      </c>
      <c r="G420" s="3378">
        <v>94.63</v>
      </c>
      <c r="H420" s="3377" t="s">
        <v>3055</v>
      </c>
    </row>
    <row r="421" spans="1:8" ht="14.25" thickBot="1">
      <c r="A421" s="3376">
        <v>420</v>
      </c>
      <c r="B421" s="3377" t="s">
        <v>3524</v>
      </c>
      <c r="C421" s="3378" t="s">
        <v>3275</v>
      </c>
      <c r="D421" s="3378" t="s">
        <v>3257</v>
      </c>
      <c r="E421" s="3378" t="s">
        <v>70</v>
      </c>
      <c r="F421" s="3378">
        <v>102</v>
      </c>
      <c r="G421" s="3378">
        <v>69.47</v>
      </c>
      <c r="H421" s="3377" t="s">
        <v>3055</v>
      </c>
    </row>
    <row r="422" spans="1:8" ht="14.25" thickBot="1">
      <c r="A422" s="3376">
        <v>421</v>
      </c>
      <c r="B422" s="3377" t="s">
        <v>3524</v>
      </c>
      <c r="C422" s="3378" t="s">
        <v>3275</v>
      </c>
      <c r="D422" s="3378" t="s">
        <v>3257</v>
      </c>
      <c r="E422" s="3378" t="s">
        <v>70</v>
      </c>
      <c r="F422" s="3378">
        <v>103</v>
      </c>
      <c r="G422" s="3378">
        <v>69.569999999999993</v>
      </c>
      <c r="H422" s="3377" t="s">
        <v>3055</v>
      </c>
    </row>
    <row r="423" spans="1:8" ht="14.25" thickBot="1">
      <c r="A423" s="3376">
        <v>422</v>
      </c>
      <c r="B423" s="3377" t="s">
        <v>3524</v>
      </c>
      <c r="C423" s="3378" t="s">
        <v>3275</v>
      </c>
      <c r="D423" s="3378" t="s">
        <v>3257</v>
      </c>
      <c r="E423" s="3378" t="s">
        <v>70</v>
      </c>
      <c r="F423" s="3378">
        <v>105</v>
      </c>
      <c r="G423" s="3378">
        <v>69.47</v>
      </c>
      <c r="H423" s="3377" t="s">
        <v>3055</v>
      </c>
    </row>
    <row r="424" spans="1:8" ht="14.25" thickBot="1">
      <c r="A424" s="3376">
        <v>423</v>
      </c>
      <c r="B424" s="3377" t="s">
        <v>3524</v>
      </c>
      <c r="C424" s="3378" t="s">
        <v>3275</v>
      </c>
      <c r="D424" s="3378" t="s">
        <v>3257</v>
      </c>
      <c r="E424" s="3378" t="s">
        <v>70</v>
      </c>
      <c r="F424" s="3378">
        <v>106</v>
      </c>
      <c r="G424" s="3378">
        <v>66.010000000000005</v>
      </c>
      <c r="H424" s="3377" t="s">
        <v>3055</v>
      </c>
    </row>
    <row r="425" spans="1:8" ht="14.25" thickBot="1">
      <c r="A425" s="3376">
        <v>424</v>
      </c>
      <c r="B425" s="3377" t="s">
        <v>3524</v>
      </c>
      <c r="C425" s="3378" t="s">
        <v>3275</v>
      </c>
      <c r="D425" s="3378" t="s">
        <v>3260</v>
      </c>
      <c r="E425" s="3378" t="s">
        <v>70</v>
      </c>
      <c r="F425" s="3378">
        <v>201</v>
      </c>
      <c r="G425" s="3378">
        <v>94.63</v>
      </c>
      <c r="H425" s="3377" t="s">
        <v>3055</v>
      </c>
    </row>
    <row r="426" spans="1:8" ht="14.25" thickBot="1">
      <c r="A426" s="3376">
        <v>425</v>
      </c>
      <c r="B426" s="3377" t="s">
        <v>3524</v>
      </c>
      <c r="C426" s="3378" t="s">
        <v>3275</v>
      </c>
      <c r="D426" s="3378" t="s">
        <v>3260</v>
      </c>
      <c r="E426" s="3378" t="s">
        <v>70</v>
      </c>
      <c r="F426" s="3378">
        <v>202</v>
      </c>
      <c r="G426" s="3378">
        <v>69.47</v>
      </c>
      <c r="H426" s="3377" t="s">
        <v>3055</v>
      </c>
    </row>
    <row r="427" spans="1:8" ht="14.25" thickBot="1">
      <c r="A427" s="3376">
        <v>426</v>
      </c>
      <c r="B427" s="3377" t="s">
        <v>3524</v>
      </c>
      <c r="C427" s="3378" t="s">
        <v>3275</v>
      </c>
      <c r="D427" s="3378" t="s">
        <v>3260</v>
      </c>
      <c r="E427" s="3378" t="s">
        <v>70</v>
      </c>
      <c r="F427" s="3378">
        <v>203</v>
      </c>
      <c r="G427" s="3378">
        <v>69.569999999999993</v>
      </c>
      <c r="H427" s="3377" t="s">
        <v>3055</v>
      </c>
    </row>
    <row r="428" spans="1:8" ht="14.25" thickBot="1">
      <c r="A428" s="3376">
        <v>427</v>
      </c>
      <c r="B428" s="3377" t="s">
        <v>3524</v>
      </c>
      <c r="C428" s="3378" t="s">
        <v>3275</v>
      </c>
      <c r="D428" s="3378" t="s">
        <v>3260</v>
      </c>
      <c r="E428" s="3378" t="s">
        <v>70</v>
      </c>
      <c r="F428" s="3378">
        <v>205</v>
      </c>
      <c r="G428" s="3378">
        <v>69.569999999999993</v>
      </c>
      <c r="H428" s="3377" t="s">
        <v>3055</v>
      </c>
    </row>
    <row r="429" spans="1:8" ht="14.25" thickBot="1">
      <c r="A429" s="3376">
        <v>428</v>
      </c>
      <c r="B429" s="3377" t="s">
        <v>3524</v>
      </c>
      <c r="C429" s="3378" t="s">
        <v>3275</v>
      </c>
      <c r="D429" s="3378" t="s">
        <v>3260</v>
      </c>
      <c r="E429" s="3378" t="s">
        <v>70</v>
      </c>
      <c r="F429" s="3378">
        <v>206</v>
      </c>
      <c r="G429" s="3378">
        <v>69.47</v>
      </c>
      <c r="H429" s="3377" t="s">
        <v>3055</v>
      </c>
    </row>
    <row r="430" spans="1:8" ht="14.25" thickBot="1">
      <c r="A430" s="3376">
        <v>429</v>
      </c>
      <c r="B430" s="3377" t="s">
        <v>3524</v>
      </c>
      <c r="C430" s="3378" t="s">
        <v>3275</v>
      </c>
      <c r="D430" s="3378" t="s">
        <v>3260</v>
      </c>
      <c r="E430" s="3378" t="s">
        <v>70</v>
      </c>
      <c r="F430" s="3378">
        <v>207</v>
      </c>
      <c r="G430" s="3378">
        <v>66.010000000000005</v>
      </c>
      <c r="H430" s="3377" t="s">
        <v>3055</v>
      </c>
    </row>
    <row r="431" spans="1:8" ht="14.25" thickBot="1">
      <c r="A431" s="3376">
        <v>430</v>
      </c>
      <c r="B431" s="3377" t="s">
        <v>3524</v>
      </c>
      <c r="C431" s="3378" t="s">
        <v>3275</v>
      </c>
      <c r="D431" s="3378" t="s">
        <v>3261</v>
      </c>
      <c r="E431" s="3378" t="s">
        <v>70</v>
      </c>
      <c r="F431" s="3378">
        <v>301</v>
      </c>
      <c r="G431" s="3378">
        <v>94.63</v>
      </c>
      <c r="H431" s="3377" t="s">
        <v>3055</v>
      </c>
    </row>
    <row r="432" spans="1:8" ht="14.25" thickBot="1">
      <c r="A432" s="3376">
        <v>431</v>
      </c>
      <c r="B432" s="3377" t="s">
        <v>3524</v>
      </c>
      <c r="C432" s="3378" t="s">
        <v>3275</v>
      </c>
      <c r="D432" s="3378" t="s">
        <v>3261</v>
      </c>
      <c r="E432" s="3378" t="s">
        <v>70</v>
      </c>
      <c r="F432" s="3378">
        <v>303</v>
      </c>
      <c r="G432" s="3378">
        <v>69.569999999999993</v>
      </c>
      <c r="H432" s="3377" t="s">
        <v>3055</v>
      </c>
    </row>
    <row r="433" spans="1:8" ht="14.25" thickBot="1">
      <c r="A433" s="3376">
        <v>432</v>
      </c>
      <c r="B433" s="3377" t="s">
        <v>3524</v>
      </c>
      <c r="C433" s="3378" t="s">
        <v>3275</v>
      </c>
      <c r="D433" s="3378" t="s">
        <v>3261</v>
      </c>
      <c r="E433" s="3378" t="s">
        <v>70</v>
      </c>
      <c r="F433" s="3378">
        <v>305</v>
      </c>
      <c r="G433" s="3378">
        <v>69.569999999999993</v>
      </c>
      <c r="H433" s="3377" t="s">
        <v>3055</v>
      </c>
    </row>
    <row r="434" spans="1:8" ht="14.25" thickBot="1">
      <c r="A434" s="3376">
        <v>433</v>
      </c>
      <c r="B434" s="3377" t="s">
        <v>3524</v>
      </c>
      <c r="C434" s="3378" t="s">
        <v>3275</v>
      </c>
      <c r="D434" s="3378" t="s">
        <v>3261</v>
      </c>
      <c r="E434" s="3378" t="s">
        <v>70</v>
      </c>
      <c r="F434" s="3378">
        <v>307</v>
      </c>
      <c r="G434" s="3378">
        <v>66.010000000000005</v>
      </c>
      <c r="H434" s="3377" t="s">
        <v>3055</v>
      </c>
    </row>
    <row r="435" spans="1:8" ht="14.25" thickBot="1">
      <c r="A435" s="3376">
        <v>434</v>
      </c>
      <c r="B435" s="3377" t="s">
        <v>3524</v>
      </c>
      <c r="C435" s="3378" t="s">
        <v>3275</v>
      </c>
      <c r="D435" s="3378" t="s">
        <v>3262</v>
      </c>
      <c r="E435" s="3378" t="s">
        <v>70</v>
      </c>
      <c r="F435" s="3378" t="s">
        <v>3146</v>
      </c>
      <c r="G435" s="3378">
        <v>69.47</v>
      </c>
      <c r="H435" s="3377" t="s">
        <v>3055</v>
      </c>
    </row>
    <row r="436" spans="1:8" ht="14.25" thickBot="1">
      <c r="A436" s="3376">
        <v>435</v>
      </c>
      <c r="B436" s="3377" t="s">
        <v>3524</v>
      </c>
      <c r="C436" s="3378" t="s">
        <v>3275</v>
      </c>
      <c r="D436" s="3378" t="s">
        <v>3262</v>
      </c>
      <c r="E436" s="3378" t="s">
        <v>70</v>
      </c>
      <c r="F436" s="3378" t="s">
        <v>3147</v>
      </c>
      <c r="G436" s="3378">
        <v>69.569999999999993</v>
      </c>
      <c r="H436" s="3377" t="s">
        <v>3055</v>
      </c>
    </row>
    <row r="437" spans="1:8" ht="14.25" thickBot="1">
      <c r="A437" s="3376">
        <v>436</v>
      </c>
      <c r="B437" s="3377" t="s">
        <v>3524</v>
      </c>
      <c r="C437" s="3378" t="s">
        <v>3275</v>
      </c>
      <c r="D437" s="3378" t="s">
        <v>3262</v>
      </c>
      <c r="E437" s="3378" t="s">
        <v>70</v>
      </c>
      <c r="F437" s="3378" t="s">
        <v>3148</v>
      </c>
      <c r="G437" s="3378">
        <v>69.569999999999993</v>
      </c>
      <c r="H437" s="3377" t="s">
        <v>3055</v>
      </c>
    </row>
    <row r="438" spans="1:8" ht="14.25" thickBot="1">
      <c r="A438" s="3376">
        <v>437</v>
      </c>
      <c r="B438" s="3377" t="s">
        <v>3524</v>
      </c>
      <c r="C438" s="3378" t="s">
        <v>3275</v>
      </c>
      <c r="D438" s="3378" t="s">
        <v>3262</v>
      </c>
      <c r="E438" s="3378" t="s">
        <v>70</v>
      </c>
      <c r="F438" s="3378" t="s">
        <v>3150</v>
      </c>
      <c r="G438" s="3378">
        <v>66.010000000000005</v>
      </c>
      <c r="H438" s="3377" t="s">
        <v>3055</v>
      </c>
    </row>
    <row r="439" spans="1:8" ht="14.25" thickBot="1">
      <c r="A439" s="3376">
        <v>438</v>
      </c>
      <c r="B439" s="3377" t="s">
        <v>3524</v>
      </c>
      <c r="C439" s="3378" t="s">
        <v>3275</v>
      </c>
      <c r="D439" s="3378" t="s">
        <v>3263</v>
      </c>
      <c r="E439" s="3378" t="s">
        <v>70</v>
      </c>
      <c r="F439" s="3378">
        <v>502</v>
      </c>
      <c r="G439" s="3378">
        <v>69.47</v>
      </c>
      <c r="H439" s="3377" t="s">
        <v>3055</v>
      </c>
    </row>
    <row r="440" spans="1:8" ht="14.25" thickBot="1">
      <c r="A440" s="3376">
        <v>439</v>
      </c>
      <c r="B440" s="3377" t="s">
        <v>3524</v>
      </c>
      <c r="C440" s="3378" t="s">
        <v>3275</v>
      </c>
      <c r="D440" s="3378" t="s">
        <v>3263</v>
      </c>
      <c r="E440" s="3378" t="s">
        <v>70</v>
      </c>
      <c r="F440" s="3378">
        <v>503</v>
      </c>
      <c r="G440" s="3378">
        <v>69.569999999999993</v>
      </c>
      <c r="H440" s="3377" t="s">
        <v>3055</v>
      </c>
    </row>
    <row r="441" spans="1:8" ht="14.25" thickBot="1">
      <c r="A441" s="3376">
        <v>440</v>
      </c>
      <c r="B441" s="3377" t="s">
        <v>3524</v>
      </c>
      <c r="C441" s="3378" t="s">
        <v>3275</v>
      </c>
      <c r="D441" s="3378" t="s">
        <v>3263</v>
      </c>
      <c r="E441" s="3378" t="s">
        <v>70</v>
      </c>
      <c r="F441" s="3378">
        <v>505</v>
      </c>
      <c r="G441" s="3378">
        <v>69.569999999999993</v>
      </c>
      <c r="H441" s="3377" t="s">
        <v>3055</v>
      </c>
    </row>
    <row r="442" spans="1:8" ht="14.25" thickBot="1">
      <c r="A442" s="3376">
        <v>441</v>
      </c>
      <c r="B442" s="3377" t="s">
        <v>3524</v>
      </c>
      <c r="C442" s="3378" t="s">
        <v>3275</v>
      </c>
      <c r="D442" s="3378" t="s">
        <v>3263</v>
      </c>
      <c r="E442" s="3378" t="s">
        <v>70</v>
      </c>
      <c r="F442" s="3378">
        <v>506</v>
      </c>
      <c r="G442" s="3378">
        <v>69.47</v>
      </c>
      <c r="H442" s="3377" t="s">
        <v>3055</v>
      </c>
    </row>
    <row r="443" spans="1:8" ht="14.25" thickBot="1">
      <c r="A443" s="3376">
        <v>442</v>
      </c>
      <c r="B443" s="3377" t="s">
        <v>3524</v>
      </c>
      <c r="C443" s="3378" t="s">
        <v>3275</v>
      </c>
      <c r="D443" s="3378" t="s">
        <v>3263</v>
      </c>
      <c r="E443" s="3378" t="s">
        <v>70</v>
      </c>
      <c r="F443" s="3378">
        <v>507</v>
      </c>
      <c r="G443" s="3378">
        <v>66.010000000000005</v>
      </c>
      <c r="H443" s="3377" t="s">
        <v>3055</v>
      </c>
    </row>
    <row r="444" spans="1:8" ht="14.25" thickBot="1">
      <c r="A444" s="3376">
        <v>443</v>
      </c>
      <c r="B444" s="3377" t="s">
        <v>3524</v>
      </c>
      <c r="C444" s="3378" t="s">
        <v>3275</v>
      </c>
      <c r="D444" s="3378" t="s">
        <v>3264</v>
      </c>
      <c r="E444" s="3378" t="s">
        <v>70</v>
      </c>
      <c r="F444" s="3378">
        <v>601</v>
      </c>
      <c r="G444" s="3378">
        <v>94.63</v>
      </c>
      <c r="H444" s="3377" t="s">
        <v>3055</v>
      </c>
    </row>
    <row r="445" spans="1:8" ht="14.25" thickBot="1">
      <c r="A445" s="3376">
        <v>444</v>
      </c>
      <c r="B445" s="3377" t="s">
        <v>3524</v>
      </c>
      <c r="C445" s="3378" t="s">
        <v>3275</v>
      </c>
      <c r="D445" s="3378" t="s">
        <v>3264</v>
      </c>
      <c r="E445" s="3378" t="s">
        <v>70</v>
      </c>
      <c r="F445" s="3378">
        <v>602</v>
      </c>
      <c r="G445" s="3378">
        <v>69.47</v>
      </c>
      <c r="H445" s="3377" t="s">
        <v>3055</v>
      </c>
    </row>
    <row r="446" spans="1:8" ht="14.25" thickBot="1">
      <c r="A446" s="3376">
        <v>445</v>
      </c>
      <c r="B446" s="3377" t="s">
        <v>3524</v>
      </c>
      <c r="C446" s="3378" t="s">
        <v>3275</v>
      </c>
      <c r="D446" s="3378" t="s">
        <v>3264</v>
      </c>
      <c r="E446" s="3378" t="s">
        <v>70</v>
      </c>
      <c r="F446" s="3378">
        <v>605</v>
      </c>
      <c r="G446" s="3378">
        <v>69.569999999999993</v>
      </c>
      <c r="H446" s="3377" t="s">
        <v>3055</v>
      </c>
    </row>
    <row r="447" spans="1:8" ht="14.25" thickBot="1">
      <c r="A447" s="3376">
        <v>446</v>
      </c>
      <c r="B447" s="3377" t="s">
        <v>3524</v>
      </c>
      <c r="C447" s="3378" t="s">
        <v>3275</v>
      </c>
      <c r="D447" s="3378" t="s">
        <v>3264</v>
      </c>
      <c r="E447" s="3378" t="s">
        <v>70</v>
      </c>
      <c r="F447" s="3378">
        <v>607</v>
      </c>
      <c r="G447" s="3378">
        <v>66.010000000000005</v>
      </c>
      <c r="H447" s="3377" t="s">
        <v>3055</v>
      </c>
    </row>
    <row r="448" spans="1:8" ht="14.25" thickBot="1">
      <c r="A448" s="3376">
        <v>447</v>
      </c>
      <c r="B448" s="3377" t="s">
        <v>3524</v>
      </c>
      <c r="C448" s="3378" t="s">
        <v>3277</v>
      </c>
      <c r="D448" s="3378" t="s">
        <v>3257</v>
      </c>
      <c r="E448" s="3378" t="s">
        <v>3258</v>
      </c>
      <c r="F448" s="3378">
        <v>101</v>
      </c>
      <c r="G448" s="3378">
        <v>66.069999999999993</v>
      </c>
      <c r="H448" s="3377" t="s">
        <v>3055</v>
      </c>
    </row>
    <row r="449" spans="1:8" ht="14.25" thickBot="1">
      <c r="A449" s="3376">
        <v>448</v>
      </c>
      <c r="B449" s="3377" t="s">
        <v>3524</v>
      </c>
      <c r="C449" s="3378" t="s">
        <v>3277</v>
      </c>
      <c r="D449" s="3378" t="s">
        <v>3257</v>
      </c>
      <c r="E449" s="3378" t="s">
        <v>3258</v>
      </c>
      <c r="F449" s="3378">
        <v>102</v>
      </c>
      <c r="G449" s="3378">
        <v>69.56</v>
      </c>
      <c r="H449" s="3377" t="s">
        <v>3055</v>
      </c>
    </row>
    <row r="450" spans="1:8" ht="14.25" thickBot="1">
      <c r="A450" s="3376">
        <v>449</v>
      </c>
      <c r="B450" s="3377" t="s">
        <v>3524</v>
      </c>
      <c r="C450" s="3378" t="s">
        <v>3277</v>
      </c>
      <c r="D450" s="3378" t="s">
        <v>3257</v>
      </c>
      <c r="E450" s="3378" t="s">
        <v>3258</v>
      </c>
      <c r="F450" s="3378">
        <v>103</v>
      </c>
      <c r="G450" s="3378">
        <v>69.72</v>
      </c>
      <c r="H450" s="3377" t="s">
        <v>3055</v>
      </c>
    </row>
    <row r="451" spans="1:8" ht="14.25" thickBot="1">
      <c r="A451" s="3376">
        <v>450</v>
      </c>
      <c r="B451" s="3377" t="s">
        <v>3524</v>
      </c>
      <c r="C451" s="3378" t="s">
        <v>3277</v>
      </c>
      <c r="D451" s="3378" t="s">
        <v>3257</v>
      </c>
      <c r="E451" s="3378" t="s">
        <v>3258</v>
      </c>
      <c r="F451" s="3378">
        <v>105</v>
      </c>
      <c r="G451" s="3378">
        <v>69.56</v>
      </c>
      <c r="H451" s="3377" t="s">
        <v>3055</v>
      </c>
    </row>
    <row r="452" spans="1:8" ht="14.25" thickBot="1">
      <c r="A452" s="3376">
        <v>451</v>
      </c>
      <c r="B452" s="3377" t="s">
        <v>3524</v>
      </c>
      <c r="C452" s="3378" t="s">
        <v>3277</v>
      </c>
      <c r="D452" s="3378" t="s">
        <v>3257</v>
      </c>
      <c r="E452" s="3378" t="s">
        <v>3258</v>
      </c>
      <c r="F452" s="3378">
        <v>106</v>
      </c>
      <c r="G452" s="3378">
        <v>94.74</v>
      </c>
      <c r="H452" s="3377" t="s">
        <v>3055</v>
      </c>
    </row>
    <row r="453" spans="1:8" ht="14.25" thickBot="1">
      <c r="A453" s="3376">
        <v>452</v>
      </c>
      <c r="B453" s="3377" t="s">
        <v>3524</v>
      </c>
      <c r="C453" s="3378" t="s">
        <v>3277</v>
      </c>
      <c r="D453" s="3378" t="s">
        <v>3257</v>
      </c>
      <c r="E453" s="3378" t="s">
        <v>3259</v>
      </c>
      <c r="F453" s="3378">
        <v>101</v>
      </c>
      <c r="G453" s="3378">
        <v>94.74</v>
      </c>
      <c r="H453" s="3377" t="s">
        <v>3055</v>
      </c>
    </row>
    <row r="454" spans="1:8" ht="14.25" thickBot="1">
      <c r="A454" s="3376">
        <v>453</v>
      </c>
      <c r="B454" s="3377" t="s">
        <v>3524</v>
      </c>
      <c r="C454" s="3378" t="s">
        <v>3277</v>
      </c>
      <c r="D454" s="3378" t="s">
        <v>3257</v>
      </c>
      <c r="E454" s="3378" t="s">
        <v>3259</v>
      </c>
      <c r="F454" s="3378">
        <v>102</v>
      </c>
      <c r="G454" s="3378">
        <v>69.56</v>
      </c>
      <c r="H454" s="3377" t="s">
        <v>3055</v>
      </c>
    </row>
    <row r="455" spans="1:8" ht="14.25" thickBot="1">
      <c r="A455" s="3376">
        <v>454</v>
      </c>
      <c r="B455" s="3377" t="s">
        <v>3524</v>
      </c>
      <c r="C455" s="3378" t="s">
        <v>3277</v>
      </c>
      <c r="D455" s="3378" t="s">
        <v>3257</v>
      </c>
      <c r="E455" s="3378" t="s">
        <v>3259</v>
      </c>
      <c r="F455" s="3378">
        <v>103</v>
      </c>
      <c r="G455" s="3378">
        <v>69.72</v>
      </c>
      <c r="H455" s="3377" t="s">
        <v>3055</v>
      </c>
    </row>
    <row r="456" spans="1:8" ht="14.25" thickBot="1">
      <c r="A456" s="3376">
        <v>455</v>
      </c>
      <c r="B456" s="3377" t="s">
        <v>3524</v>
      </c>
      <c r="C456" s="3378" t="s">
        <v>3277</v>
      </c>
      <c r="D456" s="3378" t="s">
        <v>3257</v>
      </c>
      <c r="E456" s="3378" t="s">
        <v>3259</v>
      </c>
      <c r="F456" s="3378">
        <v>105</v>
      </c>
      <c r="G456" s="3378">
        <v>69.56</v>
      </c>
      <c r="H456" s="3377" t="s">
        <v>3055</v>
      </c>
    </row>
    <row r="457" spans="1:8" ht="14.25" thickBot="1">
      <c r="A457" s="3376">
        <v>456</v>
      </c>
      <c r="B457" s="3377" t="s">
        <v>3524</v>
      </c>
      <c r="C457" s="3378" t="s">
        <v>3277</v>
      </c>
      <c r="D457" s="3378" t="s">
        <v>3257</v>
      </c>
      <c r="E457" s="3378" t="s">
        <v>3259</v>
      </c>
      <c r="F457" s="3378">
        <v>106</v>
      </c>
      <c r="G457" s="3378">
        <v>66.069999999999993</v>
      </c>
      <c r="H457" s="3377" t="s">
        <v>3055</v>
      </c>
    </row>
    <row r="458" spans="1:8" ht="14.25" thickBot="1">
      <c r="A458" s="3376">
        <v>457</v>
      </c>
      <c r="B458" s="3377" t="s">
        <v>3524</v>
      </c>
      <c r="C458" s="3378" t="s">
        <v>3277</v>
      </c>
      <c r="D458" s="3378" t="s">
        <v>3260</v>
      </c>
      <c r="E458" s="3378" t="s">
        <v>3258</v>
      </c>
      <c r="F458" s="3378">
        <v>201</v>
      </c>
      <c r="G458" s="3378">
        <v>66.069999999999993</v>
      </c>
      <c r="H458" s="3377" t="s">
        <v>3055</v>
      </c>
    </row>
    <row r="459" spans="1:8" ht="14.25" thickBot="1">
      <c r="A459" s="3376">
        <v>458</v>
      </c>
      <c r="B459" s="3377" t="s">
        <v>3524</v>
      </c>
      <c r="C459" s="3378" t="s">
        <v>3277</v>
      </c>
      <c r="D459" s="3378" t="s">
        <v>3260</v>
      </c>
      <c r="E459" s="3378" t="s">
        <v>3258</v>
      </c>
      <c r="F459" s="3378">
        <v>207</v>
      </c>
      <c r="G459" s="3378">
        <v>94.74</v>
      </c>
      <c r="H459" s="3377" t="s">
        <v>3055</v>
      </c>
    </row>
    <row r="460" spans="1:8" ht="14.25" thickBot="1">
      <c r="A460" s="3376">
        <v>459</v>
      </c>
      <c r="B460" s="3377" t="s">
        <v>3524</v>
      </c>
      <c r="C460" s="3378" t="s">
        <v>3277</v>
      </c>
      <c r="D460" s="3378" t="s">
        <v>3260</v>
      </c>
      <c r="E460" s="3378" t="s">
        <v>3259</v>
      </c>
      <c r="F460" s="3378">
        <v>206</v>
      </c>
      <c r="G460" s="3378">
        <v>69.56</v>
      </c>
      <c r="H460" s="3377" t="s">
        <v>3055</v>
      </c>
    </row>
    <row r="461" spans="1:8" ht="14.25" thickBot="1">
      <c r="A461" s="3376">
        <v>460</v>
      </c>
      <c r="B461" s="3377" t="s">
        <v>3524</v>
      </c>
      <c r="C461" s="3378" t="s">
        <v>3277</v>
      </c>
      <c r="D461" s="3378" t="s">
        <v>3260</v>
      </c>
      <c r="E461" s="3378" t="s">
        <v>3259</v>
      </c>
      <c r="F461" s="3378">
        <v>207</v>
      </c>
      <c r="G461" s="3378">
        <v>66.069999999999993</v>
      </c>
      <c r="H461" s="3377" t="s">
        <v>3055</v>
      </c>
    </row>
    <row r="462" spans="1:8" ht="14.25" thickBot="1">
      <c r="A462" s="3376">
        <v>461</v>
      </c>
      <c r="B462" s="3377" t="s">
        <v>3524</v>
      </c>
      <c r="C462" s="3378" t="s">
        <v>3277</v>
      </c>
      <c r="D462" s="3378" t="s">
        <v>3261</v>
      </c>
      <c r="E462" s="3378" t="s">
        <v>3258</v>
      </c>
      <c r="F462" s="3378">
        <v>301</v>
      </c>
      <c r="G462" s="3378">
        <v>66.069999999999993</v>
      </c>
      <c r="H462" s="3377" t="s">
        <v>3055</v>
      </c>
    </row>
    <row r="463" spans="1:8" ht="14.25" thickBot="1">
      <c r="A463" s="3376">
        <v>462</v>
      </c>
      <c r="B463" s="3377" t="s">
        <v>3524</v>
      </c>
      <c r="C463" s="3378" t="s">
        <v>3277</v>
      </c>
      <c r="D463" s="3378" t="s">
        <v>3261</v>
      </c>
      <c r="E463" s="3378" t="s">
        <v>3258</v>
      </c>
      <c r="F463" s="3378">
        <v>306</v>
      </c>
      <c r="G463" s="3378">
        <v>69.56</v>
      </c>
      <c r="H463" s="3377" t="s">
        <v>3055</v>
      </c>
    </row>
    <row r="464" spans="1:8" ht="14.25" thickBot="1">
      <c r="A464" s="3376">
        <v>463</v>
      </c>
      <c r="B464" s="3377" t="s">
        <v>3524</v>
      </c>
      <c r="C464" s="3378" t="s">
        <v>3277</v>
      </c>
      <c r="D464" s="3378" t="s">
        <v>3261</v>
      </c>
      <c r="E464" s="3378" t="s">
        <v>3258</v>
      </c>
      <c r="F464" s="3378">
        <v>307</v>
      </c>
      <c r="G464" s="3378">
        <v>94.74</v>
      </c>
      <c r="H464" s="3377" t="s">
        <v>3055</v>
      </c>
    </row>
    <row r="465" spans="1:8" ht="14.25" thickBot="1">
      <c r="A465" s="3376">
        <v>464</v>
      </c>
      <c r="B465" s="3377" t="s">
        <v>3524</v>
      </c>
      <c r="C465" s="3378" t="s">
        <v>3277</v>
      </c>
      <c r="D465" s="3378" t="s">
        <v>3261</v>
      </c>
      <c r="E465" s="3378" t="s">
        <v>3259</v>
      </c>
      <c r="F465" s="3378">
        <v>301</v>
      </c>
      <c r="G465" s="3378">
        <v>94.74</v>
      </c>
      <c r="H465" s="3377" t="s">
        <v>3055</v>
      </c>
    </row>
    <row r="466" spans="1:8" ht="14.25" thickBot="1">
      <c r="A466" s="3376">
        <v>465</v>
      </c>
      <c r="B466" s="3377" t="s">
        <v>3524</v>
      </c>
      <c r="C466" s="3378" t="s">
        <v>3277</v>
      </c>
      <c r="D466" s="3378" t="s">
        <v>3261</v>
      </c>
      <c r="E466" s="3378" t="s">
        <v>3259</v>
      </c>
      <c r="F466" s="3378">
        <v>302</v>
      </c>
      <c r="G466" s="3378">
        <v>69.56</v>
      </c>
      <c r="H466" s="3377" t="s">
        <v>3055</v>
      </c>
    </row>
    <row r="467" spans="1:8" ht="14.25" thickBot="1">
      <c r="A467" s="3376">
        <v>466</v>
      </c>
      <c r="B467" s="3377" t="s">
        <v>3524</v>
      </c>
      <c r="C467" s="3378" t="s">
        <v>3277</v>
      </c>
      <c r="D467" s="3378" t="s">
        <v>3261</v>
      </c>
      <c r="E467" s="3378" t="s">
        <v>3259</v>
      </c>
      <c r="F467" s="3378">
        <v>306</v>
      </c>
      <c r="G467" s="3378">
        <v>69.56</v>
      </c>
      <c r="H467" s="3377" t="s">
        <v>3055</v>
      </c>
    </row>
    <row r="468" spans="1:8" ht="14.25" thickBot="1">
      <c r="A468" s="3376">
        <v>467</v>
      </c>
      <c r="B468" s="3377" t="s">
        <v>3524</v>
      </c>
      <c r="C468" s="3378" t="s">
        <v>3277</v>
      </c>
      <c r="D468" s="3378" t="s">
        <v>3262</v>
      </c>
      <c r="E468" s="3378" t="s">
        <v>3258</v>
      </c>
      <c r="F468" s="3378" t="s">
        <v>3145</v>
      </c>
      <c r="G468" s="3378">
        <v>66.069999999999993</v>
      </c>
      <c r="H468" s="3377" t="s">
        <v>3055</v>
      </c>
    </row>
    <row r="469" spans="1:8" ht="14.25" thickBot="1">
      <c r="A469" s="3376">
        <v>468</v>
      </c>
      <c r="B469" s="3377" t="s">
        <v>3524</v>
      </c>
      <c r="C469" s="3378" t="s">
        <v>3277</v>
      </c>
      <c r="D469" s="3378" t="s">
        <v>3262</v>
      </c>
      <c r="E469" s="3378" t="s">
        <v>3258</v>
      </c>
      <c r="F469" s="3378" t="s">
        <v>3150</v>
      </c>
      <c r="G469" s="3378">
        <v>94.74</v>
      </c>
      <c r="H469" s="3377" t="s">
        <v>3055</v>
      </c>
    </row>
    <row r="470" spans="1:8" ht="14.25" thickBot="1">
      <c r="A470" s="3376">
        <v>469</v>
      </c>
      <c r="B470" s="3377" t="s">
        <v>3524</v>
      </c>
      <c r="C470" s="3378" t="s">
        <v>3277</v>
      </c>
      <c r="D470" s="3378" t="s">
        <v>3262</v>
      </c>
      <c r="E470" s="3378" t="s">
        <v>3259</v>
      </c>
      <c r="F470" s="3378" t="s">
        <v>3145</v>
      </c>
      <c r="G470" s="3378">
        <v>94.74</v>
      </c>
      <c r="H470" s="3377" t="s">
        <v>3055</v>
      </c>
    </row>
    <row r="471" spans="1:8" ht="14.25" thickBot="1">
      <c r="A471" s="3376">
        <v>470</v>
      </c>
      <c r="B471" s="3377" t="s">
        <v>3524</v>
      </c>
      <c r="C471" s="3378" t="s">
        <v>3277</v>
      </c>
      <c r="D471" s="3378" t="s">
        <v>3262</v>
      </c>
      <c r="E471" s="3378" t="s">
        <v>3259</v>
      </c>
      <c r="F471" s="3378" t="s">
        <v>3146</v>
      </c>
      <c r="G471" s="3378">
        <v>69.56</v>
      </c>
      <c r="H471" s="3377" t="s">
        <v>3055</v>
      </c>
    </row>
    <row r="472" spans="1:8" ht="14.25" thickBot="1">
      <c r="A472" s="3376">
        <v>471</v>
      </c>
      <c r="B472" s="3377" t="s">
        <v>3524</v>
      </c>
      <c r="C472" s="3378" t="s">
        <v>3277</v>
      </c>
      <c r="D472" s="3378" t="s">
        <v>3262</v>
      </c>
      <c r="E472" s="3378" t="s">
        <v>3259</v>
      </c>
      <c r="F472" s="3378" t="s">
        <v>3149</v>
      </c>
      <c r="G472" s="3378">
        <v>69.56</v>
      </c>
      <c r="H472" s="3377" t="s">
        <v>3055</v>
      </c>
    </row>
    <row r="473" spans="1:8" ht="14.25" thickBot="1">
      <c r="A473" s="3376">
        <v>472</v>
      </c>
      <c r="B473" s="3377" t="s">
        <v>3524</v>
      </c>
      <c r="C473" s="3378" t="s">
        <v>3277</v>
      </c>
      <c r="D473" s="3378" t="s">
        <v>3263</v>
      </c>
      <c r="E473" s="3378" t="s">
        <v>3258</v>
      </c>
      <c r="F473" s="3378">
        <v>501</v>
      </c>
      <c r="G473" s="3378">
        <v>66.069999999999993</v>
      </c>
      <c r="H473" s="3377" t="s">
        <v>3055</v>
      </c>
    </row>
    <row r="474" spans="1:8" ht="14.25" thickBot="1">
      <c r="A474" s="3376">
        <v>473</v>
      </c>
      <c r="B474" s="3377" t="s">
        <v>3524</v>
      </c>
      <c r="C474" s="3378" t="s">
        <v>3277</v>
      </c>
      <c r="D474" s="3378" t="s">
        <v>3263</v>
      </c>
      <c r="E474" s="3378" t="s">
        <v>3258</v>
      </c>
      <c r="F474" s="3378">
        <v>507</v>
      </c>
      <c r="G474" s="3378">
        <v>94.74</v>
      </c>
      <c r="H474" s="3377" t="s">
        <v>3055</v>
      </c>
    </row>
    <row r="475" spans="1:8" ht="14.25" thickBot="1">
      <c r="A475" s="3376">
        <v>474</v>
      </c>
      <c r="B475" s="3377" t="s">
        <v>3524</v>
      </c>
      <c r="C475" s="3378" t="s">
        <v>3277</v>
      </c>
      <c r="D475" s="3378" t="s">
        <v>3263</v>
      </c>
      <c r="E475" s="3378" t="s">
        <v>3259</v>
      </c>
      <c r="F475" s="3378">
        <v>501</v>
      </c>
      <c r="G475" s="3378">
        <v>94.74</v>
      </c>
      <c r="H475" s="3377" t="s">
        <v>3055</v>
      </c>
    </row>
    <row r="476" spans="1:8" ht="14.25" thickBot="1">
      <c r="A476" s="3376">
        <v>475</v>
      </c>
      <c r="B476" s="3377" t="s">
        <v>3524</v>
      </c>
      <c r="C476" s="3378" t="s">
        <v>3277</v>
      </c>
      <c r="D476" s="3378" t="s">
        <v>3263</v>
      </c>
      <c r="E476" s="3378" t="s">
        <v>3259</v>
      </c>
      <c r="F476" s="3378">
        <v>502</v>
      </c>
      <c r="G476" s="3378">
        <v>69.56</v>
      </c>
      <c r="H476" s="3377" t="s">
        <v>3055</v>
      </c>
    </row>
    <row r="477" spans="1:8" ht="14.25" thickBot="1">
      <c r="A477" s="3376">
        <v>476</v>
      </c>
      <c r="B477" s="3377" t="s">
        <v>3524</v>
      </c>
      <c r="C477" s="3378" t="s">
        <v>3277</v>
      </c>
      <c r="D477" s="3378" t="s">
        <v>3263</v>
      </c>
      <c r="E477" s="3378" t="s">
        <v>3259</v>
      </c>
      <c r="F477" s="3378">
        <v>507</v>
      </c>
      <c r="G477" s="3378">
        <v>66.069999999999993</v>
      </c>
      <c r="H477" s="3377" t="s">
        <v>3055</v>
      </c>
    </row>
    <row r="478" spans="1:8" ht="14.25" thickBot="1">
      <c r="A478" s="3376">
        <v>477</v>
      </c>
      <c r="B478" s="3377" t="s">
        <v>3524</v>
      </c>
      <c r="C478" s="3378" t="s">
        <v>3277</v>
      </c>
      <c r="D478" s="3378" t="s">
        <v>3264</v>
      </c>
      <c r="E478" s="3378" t="s">
        <v>3258</v>
      </c>
      <c r="F478" s="3378">
        <v>601</v>
      </c>
      <c r="G478" s="3378">
        <v>66.069999999999993</v>
      </c>
      <c r="H478" s="3377" t="s">
        <v>3055</v>
      </c>
    </row>
    <row r="479" spans="1:8" ht="14.25" thickBot="1">
      <c r="A479" s="3376">
        <v>478</v>
      </c>
      <c r="B479" s="3377" t="s">
        <v>3524</v>
      </c>
      <c r="C479" s="3378" t="s">
        <v>3277</v>
      </c>
      <c r="D479" s="3378" t="s">
        <v>3264</v>
      </c>
      <c r="E479" s="3378" t="s">
        <v>3258</v>
      </c>
      <c r="F479" s="3378">
        <v>602</v>
      </c>
      <c r="G479" s="3378">
        <v>69.56</v>
      </c>
      <c r="H479" s="3377" t="s">
        <v>3055</v>
      </c>
    </row>
    <row r="480" spans="1:8" ht="14.25" thickBot="1">
      <c r="A480" s="3376">
        <v>479</v>
      </c>
      <c r="B480" s="3377" t="s">
        <v>3524</v>
      </c>
      <c r="C480" s="3378" t="s">
        <v>3277</v>
      </c>
      <c r="D480" s="3378" t="s">
        <v>3264</v>
      </c>
      <c r="E480" s="3378" t="s">
        <v>3258</v>
      </c>
      <c r="F480" s="3378">
        <v>603</v>
      </c>
      <c r="G480" s="3378">
        <v>69.75</v>
      </c>
      <c r="H480" s="3377" t="s">
        <v>3055</v>
      </c>
    </row>
    <row r="481" spans="1:8" ht="14.25" thickBot="1">
      <c r="A481" s="3376">
        <v>480</v>
      </c>
      <c r="B481" s="3377" t="s">
        <v>3524</v>
      </c>
      <c r="C481" s="3378" t="s">
        <v>3277</v>
      </c>
      <c r="D481" s="3378" t="s">
        <v>3264</v>
      </c>
      <c r="E481" s="3378" t="s">
        <v>3258</v>
      </c>
      <c r="F481" s="3378">
        <v>605</v>
      </c>
      <c r="G481" s="3378">
        <v>69.75</v>
      </c>
      <c r="H481" s="3377" t="s">
        <v>3055</v>
      </c>
    </row>
    <row r="482" spans="1:8" ht="14.25" thickBot="1">
      <c r="A482" s="3376">
        <v>481</v>
      </c>
      <c r="B482" s="3377" t="s">
        <v>3524</v>
      </c>
      <c r="C482" s="3378" t="s">
        <v>3277</v>
      </c>
      <c r="D482" s="3378" t="s">
        <v>3264</v>
      </c>
      <c r="E482" s="3378" t="s">
        <v>3258</v>
      </c>
      <c r="F482" s="3378">
        <v>606</v>
      </c>
      <c r="G482" s="3378">
        <v>69.56</v>
      </c>
      <c r="H482" s="3377" t="s">
        <v>3055</v>
      </c>
    </row>
    <row r="483" spans="1:8" ht="14.25" thickBot="1">
      <c r="A483" s="3376">
        <v>482</v>
      </c>
      <c r="B483" s="3377" t="s">
        <v>3524</v>
      </c>
      <c r="C483" s="3378" t="s">
        <v>3277</v>
      </c>
      <c r="D483" s="3378" t="s">
        <v>3264</v>
      </c>
      <c r="E483" s="3378" t="s">
        <v>3259</v>
      </c>
      <c r="F483" s="3378">
        <v>602</v>
      </c>
      <c r="G483" s="3378">
        <v>69.56</v>
      </c>
      <c r="H483" s="3377" t="s">
        <v>3055</v>
      </c>
    </row>
    <row r="484" spans="1:8" ht="14.25" thickBot="1">
      <c r="A484" s="3376">
        <v>483</v>
      </c>
      <c r="B484" s="3377" t="s">
        <v>3524</v>
      </c>
      <c r="C484" s="3378" t="s">
        <v>3277</v>
      </c>
      <c r="D484" s="3378" t="s">
        <v>3264</v>
      </c>
      <c r="E484" s="3378" t="s">
        <v>3259</v>
      </c>
      <c r="F484" s="3378">
        <v>603</v>
      </c>
      <c r="G484" s="3378">
        <v>69.75</v>
      </c>
      <c r="H484" s="3377" t="s">
        <v>3055</v>
      </c>
    </row>
    <row r="485" spans="1:8" ht="14.25" thickBot="1">
      <c r="A485" s="3376">
        <v>484</v>
      </c>
      <c r="B485" s="3377" t="s">
        <v>3524</v>
      </c>
      <c r="C485" s="3378" t="s">
        <v>3277</v>
      </c>
      <c r="D485" s="3378" t="s">
        <v>3264</v>
      </c>
      <c r="E485" s="3378" t="s">
        <v>3259</v>
      </c>
      <c r="F485" s="3378">
        <v>605</v>
      </c>
      <c r="G485" s="3378">
        <v>69.75</v>
      </c>
      <c r="H485" s="3377" t="s">
        <v>3055</v>
      </c>
    </row>
    <row r="486" spans="1:8" ht="14.25" thickBot="1">
      <c r="A486" s="3376">
        <v>485</v>
      </c>
      <c r="B486" s="3377" t="s">
        <v>3524</v>
      </c>
      <c r="C486" s="3378" t="s">
        <v>3277</v>
      </c>
      <c r="D486" s="3378" t="s">
        <v>3264</v>
      </c>
      <c r="E486" s="3378" t="s">
        <v>3259</v>
      </c>
      <c r="F486" s="3378">
        <v>606</v>
      </c>
      <c r="G486" s="3378">
        <v>69.56</v>
      </c>
      <c r="H486" s="3377" t="s">
        <v>3055</v>
      </c>
    </row>
    <row r="487" spans="1:8" ht="14.25" thickBot="1">
      <c r="A487" s="3376">
        <v>486</v>
      </c>
      <c r="B487" s="3377" t="s">
        <v>3525</v>
      </c>
      <c r="C487" s="3378" t="s">
        <v>3278</v>
      </c>
      <c r="D487" s="3379" t="s">
        <v>3257</v>
      </c>
      <c r="E487" s="3378" t="s">
        <v>70</v>
      </c>
      <c r="F487" s="3379">
        <v>102</v>
      </c>
      <c r="G487" s="3378">
        <v>94.78</v>
      </c>
      <c r="H487" s="3377" t="s">
        <v>3055</v>
      </c>
    </row>
    <row r="488" spans="1:8" ht="14.25" thickBot="1">
      <c r="A488" s="3376">
        <v>487</v>
      </c>
      <c r="B488" s="3377" t="s">
        <v>3525</v>
      </c>
      <c r="C488" s="3378" t="s">
        <v>3278</v>
      </c>
      <c r="D488" s="3379" t="s">
        <v>3257</v>
      </c>
      <c r="E488" s="3378" t="s">
        <v>70</v>
      </c>
      <c r="F488" s="3379">
        <v>103</v>
      </c>
      <c r="G488" s="3378">
        <v>89.72</v>
      </c>
      <c r="H488" s="3377" t="s">
        <v>3055</v>
      </c>
    </row>
    <row r="489" spans="1:8" ht="14.25" thickBot="1">
      <c r="A489" s="3376">
        <v>488</v>
      </c>
      <c r="B489" s="3377" t="s">
        <v>3525</v>
      </c>
      <c r="C489" s="3378" t="s">
        <v>3278</v>
      </c>
      <c r="D489" s="3379" t="s">
        <v>3257</v>
      </c>
      <c r="E489" s="3378" t="s">
        <v>70</v>
      </c>
      <c r="F489" s="3379">
        <v>106</v>
      </c>
      <c r="G489" s="3378">
        <v>95.5</v>
      </c>
      <c r="H489" s="3377" t="s">
        <v>3055</v>
      </c>
    </row>
    <row r="490" spans="1:8" ht="14.25" thickBot="1">
      <c r="A490" s="3376">
        <v>489</v>
      </c>
      <c r="B490" s="3377" t="s">
        <v>3525</v>
      </c>
      <c r="C490" s="3378" t="s">
        <v>3278</v>
      </c>
      <c r="D490" s="3379" t="s">
        <v>3260</v>
      </c>
      <c r="E490" s="3378" t="s">
        <v>70</v>
      </c>
      <c r="F490" s="3379">
        <v>201</v>
      </c>
      <c r="G490" s="3378">
        <v>69.2</v>
      </c>
      <c r="H490" s="3377" t="s">
        <v>3055</v>
      </c>
    </row>
    <row r="491" spans="1:8" ht="14.25" thickBot="1">
      <c r="A491" s="3376">
        <v>490</v>
      </c>
      <c r="B491" s="3377" t="s">
        <v>3525</v>
      </c>
      <c r="C491" s="3378" t="s">
        <v>3278</v>
      </c>
      <c r="D491" s="3379" t="s">
        <v>3260</v>
      </c>
      <c r="E491" s="3378" t="s">
        <v>70</v>
      </c>
      <c r="F491" s="3379">
        <v>202</v>
      </c>
      <c r="G491" s="3378">
        <v>94.76</v>
      </c>
      <c r="H491" s="3377" t="s">
        <v>3055</v>
      </c>
    </row>
    <row r="492" spans="1:8" ht="14.25" thickBot="1">
      <c r="A492" s="3376">
        <v>491</v>
      </c>
      <c r="B492" s="3377" t="s">
        <v>3525</v>
      </c>
      <c r="C492" s="3378" t="s">
        <v>3278</v>
      </c>
      <c r="D492" s="3379" t="s">
        <v>3260</v>
      </c>
      <c r="E492" s="3378" t="s">
        <v>70</v>
      </c>
      <c r="F492" s="3379">
        <v>203</v>
      </c>
      <c r="G492" s="3378">
        <v>93.64</v>
      </c>
      <c r="H492" s="3377" t="s">
        <v>3055</v>
      </c>
    </row>
    <row r="493" spans="1:8" ht="14.25" thickBot="1">
      <c r="A493" s="3376">
        <v>492</v>
      </c>
      <c r="B493" s="3377" t="s">
        <v>3525</v>
      </c>
      <c r="C493" s="3378" t="s">
        <v>3278</v>
      </c>
      <c r="D493" s="3379" t="s">
        <v>3260</v>
      </c>
      <c r="E493" s="3378" t="s">
        <v>70</v>
      </c>
      <c r="F493" s="3379">
        <v>205</v>
      </c>
      <c r="G493" s="3378">
        <v>93.64</v>
      </c>
      <c r="H493" s="3377" t="s">
        <v>3055</v>
      </c>
    </row>
    <row r="494" spans="1:8" ht="14.25" thickBot="1">
      <c r="A494" s="3376">
        <v>493</v>
      </c>
      <c r="B494" s="3377" t="s">
        <v>3525</v>
      </c>
      <c r="C494" s="3378" t="s">
        <v>3278</v>
      </c>
      <c r="D494" s="3379" t="s">
        <v>3260</v>
      </c>
      <c r="E494" s="3378" t="s">
        <v>70</v>
      </c>
      <c r="F494" s="3379">
        <v>206</v>
      </c>
      <c r="G494" s="3378">
        <v>95.5</v>
      </c>
      <c r="H494" s="3377" t="s">
        <v>3055</v>
      </c>
    </row>
    <row r="495" spans="1:8" ht="14.25" thickBot="1">
      <c r="A495" s="3376">
        <v>494</v>
      </c>
      <c r="B495" s="3377" t="s">
        <v>3525</v>
      </c>
      <c r="C495" s="3378" t="s">
        <v>3278</v>
      </c>
      <c r="D495" s="3379" t="s">
        <v>3260</v>
      </c>
      <c r="E495" s="3378" t="s">
        <v>70</v>
      </c>
      <c r="F495" s="3379">
        <v>207</v>
      </c>
      <c r="G495" s="3378">
        <v>69.2</v>
      </c>
      <c r="H495" s="3377" t="s">
        <v>3055</v>
      </c>
    </row>
    <row r="496" spans="1:8" ht="14.25" thickBot="1">
      <c r="A496" s="3376">
        <v>495</v>
      </c>
      <c r="B496" s="3377" t="s">
        <v>3525</v>
      </c>
      <c r="C496" s="3378" t="s">
        <v>3278</v>
      </c>
      <c r="D496" s="3379" t="s">
        <v>3261</v>
      </c>
      <c r="E496" s="3378" t="s">
        <v>70</v>
      </c>
      <c r="F496" s="3379">
        <v>301</v>
      </c>
      <c r="G496" s="3378">
        <v>69.2</v>
      </c>
      <c r="H496" s="3377" t="s">
        <v>3055</v>
      </c>
    </row>
    <row r="497" spans="1:8" ht="14.25" thickBot="1">
      <c r="A497" s="3376">
        <v>496</v>
      </c>
      <c r="B497" s="3377" t="s">
        <v>3525</v>
      </c>
      <c r="C497" s="3378" t="s">
        <v>3278</v>
      </c>
      <c r="D497" s="3379" t="s">
        <v>3261</v>
      </c>
      <c r="E497" s="3378" t="s">
        <v>70</v>
      </c>
      <c r="F497" s="3379">
        <v>302</v>
      </c>
      <c r="G497" s="3378">
        <v>94.76</v>
      </c>
      <c r="H497" s="3377" t="s">
        <v>3055</v>
      </c>
    </row>
    <row r="498" spans="1:8" ht="14.25" thickBot="1">
      <c r="A498" s="3376">
        <v>497</v>
      </c>
      <c r="B498" s="3377" t="s">
        <v>3525</v>
      </c>
      <c r="C498" s="3378" t="s">
        <v>3278</v>
      </c>
      <c r="D498" s="3379" t="s">
        <v>3261</v>
      </c>
      <c r="E498" s="3378" t="s">
        <v>70</v>
      </c>
      <c r="F498" s="3379">
        <v>303</v>
      </c>
      <c r="G498" s="3378">
        <v>93.64</v>
      </c>
      <c r="H498" s="3377" t="s">
        <v>3055</v>
      </c>
    </row>
    <row r="499" spans="1:8" ht="14.25" thickBot="1">
      <c r="A499" s="3376">
        <v>498</v>
      </c>
      <c r="B499" s="3377" t="s">
        <v>3525</v>
      </c>
      <c r="C499" s="3378" t="s">
        <v>3278</v>
      </c>
      <c r="D499" s="3379" t="s">
        <v>3261</v>
      </c>
      <c r="E499" s="3378" t="s">
        <v>70</v>
      </c>
      <c r="F499" s="3379">
        <v>305</v>
      </c>
      <c r="G499" s="3378">
        <v>93.64</v>
      </c>
      <c r="H499" s="3377" t="s">
        <v>3055</v>
      </c>
    </row>
    <row r="500" spans="1:8" ht="14.25" thickBot="1">
      <c r="A500" s="3376">
        <v>499</v>
      </c>
      <c r="B500" s="3377" t="s">
        <v>3525</v>
      </c>
      <c r="C500" s="3378" t="s">
        <v>3278</v>
      </c>
      <c r="D500" s="3379" t="s">
        <v>3261</v>
      </c>
      <c r="E500" s="3378" t="s">
        <v>70</v>
      </c>
      <c r="F500" s="3379">
        <v>306</v>
      </c>
      <c r="G500" s="3378">
        <v>95.5</v>
      </c>
      <c r="H500" s="3377" t="s">
        <v>3055</v>
      </c>
    </row>
    <row r="501" spans="1:8" ht="14.25" thickBot="1">
      <c r="A501" s="3376">
        <v>500</v>
      </c>
      <c r="B501" s="3377" t="s">
        <v>3525</v>
      </c>
      <c r="C501" s="3378" t="s">
        <v>3278</v>
      </c>
      <c r="D501" s="3379" t="s">
        <v>3261</v>
      </c>
      <c r="E501" s="3378" t="s">
        <v>70</v>
      </c>
      <c r="F501" s="3379">
        <v>307</v>
      </c>
      <c r="G501" s="3378">
        <v>69.2</v>
      </c>
      <c r="H501" s="3377" t="s">
        <v>3055</v>
      </c>
    </row>
    <row r="502" spans="1:8" ht="14.25" thickBot="1">
      <c r="A502" s="3376">
        <v>501</v>
      </c>
      <c r="B502" s="3377" t="s">
        <v>3525</v>
      </c>
      <c r="C502" s="3378" t="s">
        <v>3278</v>
      </c>
      <c r="D502" s="3379" t="s">
        <v>3262</v>
      </c>
      <c r="E502" s="3378" t="s">
        <v>70</v>
      </c>
      <c r="F502" s="3379" t="s">
        <v>3145</v>
      </c>
      <c r="G502" s="3378">
        <v>69.2</v>
      </c>
      <c r="H502" s="3377" t="s">
        <v>3055</v>
      </c>
    </row>
    <row r="503" spans="1:8" ht="14.25" thickBot="1">
      <c r="A503" s="3376">
        <v>502</v>
      </c>
      <c r="B503" s="3377" t="s">
        <v>3525</v>
      </c>
      <c r="C503" s="3378" t="s">
        <v>3278</v>
      </c>
      <c r="D503" s="3379" t="s">
        <v>3262</v>
      </c>
      <c r="E503" s="3378" t="s">
        <v>70</v>
      </c>
      <c r="F503" s="3379" t="s">
        <v>3146</v>
      </c>
      <c r="G503" s="3378">
        <v>94.76</v>
      </c>
      <c r="H503" s="3377" t="s">
        <v>3055</v>
      </c>
    </row>
    <row r="504" spans="1:8" ht="14.25" thickBot="1">
      <c r="A504" s="3376">
        <v>503</v>
      </c>
      <c r="B504" s="3377" t="s">
        <v>3525</v>
      </c>
      <c r="C504" s="3378" t="s">
        <v>3278</v>
      </c>
      <c r="D504" s="3379" t="s">
        <v>3262</v>
      </c>
      <c r="E504" s="3378" t="s">
        <v>70</v>
      </c>
      <c r="F504" s="3379" t="s">
        <v>3147</v>
      </c>
      <c r="G504" s="3378">
        <v>93.64</v>
      </c>
      <c r="H504" s="3377" t="s">
        <v>3055</v>
      </c>
    </row>
    <row r="505" spans="1:8" ht="14.25" thickBot="1">
      <c r="A505" s="3376">
        <v>504</v>
      </c>
      <c r="B505" s="3377" t="s">
        <v>3525</v>
      </c>
      <c r="C505" s="3378" t="s">
        <v>3278</v>
      </c>
      <c r="D505" s="3379" t="s">
        <v>3262</v>
      </c>
      <c r="E505" s="3378" t="s">
        <v>70</v>
      </c>
      <c r="F505" s="3379" t="s">
        <v>3148</v>
      </c>
      <c r="G505" s="3378">
        <v>93.64</v>
      </c>
      <c r="H505" s="3377" t="s">
        <v>3055</v>
      </c>
    </row>
    <row r="506" spans="1:8" ht="14.25" thickBot="1">
      <c r="A506" s="3376">
        <v>505</v>
      </c>
      <c r="B506" s="3377" t="s">
        <v>3525</v>
      </c>
      <c r="C506" s="3378" t="s">
        <v>3278</v>
      </c>
      <c r="D506" s="3379" t="s">
        <v>3262</v>
      </c>
      <c r="E506" s="3378" t="s">
        <v>70</v>
      </c>
      <c r="F506" s="3379" t="s">
        <v>3149</v>
      </c>
      <c r="G506" s="3378">
        <v>95.5</v>
      </c>
      <c r="H506" s="3377" t="s">
        <v>3055</v>
      </c>
    </row>
    <row r="507" spans="1:8" ht="14.25" thickBot="1">
      <c r="A507" s="3376">
        <v>506</v>
      </c>
      <c r="B507" s="3377" t="s">
        <v>3525</v>
      </c>
      <c r="C507" s="3378" t="s">
        <v>3278</v>
      </c>
      <c r="D507" s="3379" t="s">
        <v>3262</v>
      </c>
      <c r="E507" s="3378" t="s">
        <v>70</v>
      </c>
      <c r="F507" s="3379" t="s">
        <v>3150</v>
      </c>
      <c r="G507" s="3378">
        <v>69.2</v>
      </c>
      <c r="H507" s="3377" t="s">
        <v>3055</v>
      </c>
    </row>
    <row r="508" spans="1:8" ht="14.25" thickBot="1">
      <c r="A508" s="3376">
        <v>507</v>
      </c>
      <c r="B508" s="3377" t="s">
        <v>3525</v>
      </c>
      <c r="C508" s="3378" t="s">
        <v>3278</v>
      </c>
      <c r="D508" s="3379" t="s">
        <v>3263</v>
      </c>
      <c r="E508" s="3378" t="s">
        <v>70</v>
      </c>
      <c r="F508" s="3379">
        <v>501</v>
      </c>
      <c r="G508" s="3378">
        <v>69.2</v>
      </c>
      <c r="H508" s="3377" t="s">
        <v>3055</v>
      </c>
    </row>
    <row r="509" spans="1:8" ht="14.25" thickBot="1">
      <c r="A509" s="3376">
        <v>508</v>
      </c>
      <c r="B509" s="3377" t="s">
        <v>3525</v>
      </c>
      <c r="C509" s="3378" t="s">
        <v>3278</v>
      </c>
      <c r="D509" s="3379" t="s">
        <v>3263</v>
      </c>
      <c r="E509" s="3378" t="s">
        <v>70</v>
      </c>
      <c r="F509" s="3379">
        <v>502</v>
      </c>
      <c r="G509" s="3378">
        <v>94.76</v>
      </c>
      <c r="H509" s="3377" t="s">
        <v>3055</v>
      </c>
    </row>
    <row r="510" spans="1:8" ht="14.25" thickBot="1">
      <c r="A510" s="3376">
        <v>509</v>
      </c>
      <c r="B510" s="3377" t="s">
        <v>3525</v>
      </c>
      <c r="C510" s="3378" t="s">
        <v>3278</v>
      </c>
      <c r="D510" s="3379" t="s">
        <v>3263</v>
      </c>
      <c r="E510" s="3378" t="s">
        <v>70</v>
      </c>
      <c r="F510" s="3379">
        <v>503</v>
      </c>
      <c r="G510" s="3378">
        <v>93.64</v>
      </c>
      <c r="H510" s="3377" t="s">
        <v>3055</v>
      </c>
    </row>
    <row r="511" spans="1:8" ht="14.25" thickBot="1">
      <c r="A511" s="3376">
        <v>510</v>
      </c>
      <c r="B511" s="3377" t="s">
        <v>3525</v>
      </c>
      <c r="C511" s="3378" t="s">
        <v>3278</v>
      </c>
      <c r="D511" s="3379" t="s">
        <v>3263</v>
      </c>
      <c r="E511" s="3378" t="s">
        <v>70</v>
      </c>
      <c r="F511" s="3379">
        <v>505</v>
      </c>
      <c r="G511" s="3378">
        <v>93.64</v>
      </c>
      <c r="H511" s="3377" t="s">
        <v>3055</v>
      </c>
    </row>
    <row r="512" spans="1:8" ht="14.25" thickBot="1">
      <c r="A512" s="3376">
        <v>511</v>
      </c>
      <c r="B512" s="3377" t="s">
        <v>3525</v>
      </c>
      <c r="C512" s="3378" t="s">
        <v>3278</v>
      </c>
      <c r="D512" s="3379" t="s">
        <v>3263</v>
      </c>
      <c r="E512" s="3378" t="s">
        <v>70</v>
      </c>
      <c r="F512" s="3379">
        <v>506</v>
      </c>
      <c r="G512" s="3378">
        <v>95.5</v>
      </c>
      <c r="H512" s="3377" t="s">
        <v>3055</v>
      </c>
    </row>
    <row r="513" spans="1:8" ht="14.25" thickBot="1">
      <c r="A513" s="3376">
        <v>512</v>
      </c>
      <c r="B513" s="3377" t="s">
        <v>3525</v>
      </c>
      <c r="C513" s="3378" t="s">
        <v>3278</v>
      </c>
      <c r="D513" s="3379" t="s">
        <v>3263</v>
      </c>
      <c r="E513" s="3378" t="s">
        <v>70</v>
      </c>
      <c r="F513" s="3379">
        <v>507</v>
      </c>
      <c r="G513" s="3378">
        <v>69.2</v>
      </c>
      <c r="H513" s="3377" t="s">
        <v>3055</v>
      </c>
    </row>
    <row r="514" spans="1:8" ht="14.25" thickBot="1">
      <c r="A514" s="3376">
        <v>513</v>
      </c>
      <c r="B514" s="3377" t="s">
        <v>3525</v>
      </c>
      <c r="C514" s="3378" t="s">
        <v>3278</v>
      </c>
      <c r="D514" s="3379" t="s">
        <v>3264</v>
      </c>
      <c r="E514" s="3378" t="s">
        <v>70</v>
      </c>
      <c r="F514" s="3379">
        <v>601</v>
      </c>
      <c r="G514" s="3378">
        <v>69.2</v>
      </c>
      <c r="H514" s="3377" t="s">
        <v>3055</v>
      </c>
    </row>
    <row r="515" spans="1:8" ht="14.25" thickBot="1">
      <c r="A515" s="3376">
        <v>514</v>
      </c>
      <c r="B515" s="3377" t="s">
        <v>3525</v>
      </c>
      <c r="C515" s="3378" t="s">
        <v>3278</v>
      </c>
      <c r="D515" s="3379" t="s">
        <v>3264</v>
      </c>
      <c r="E515" s="3378" t="s">
        <v>70</v>
      </c>
      <c r="F515" s="3379">
        <v>602</v>
      </c>
      <c r="G515" s="3378">
        <v>94.76</v>
      </c>
      <c r="H515" s="3377" t="s">
        <v>3055</v>
      </c>
    </row>
    <row r="516" spans="1:8" ht="14.25" thickBot="1">
      <c r="A516" s="3376">
        <v>515</v>
      </c>
      <c r="B516" s="3377" t="s">
        <v>3525</v>
      </c>
      <c r="C516" s="3378" t="s">
        <v>3278</v>
      </c>
      <c r="D516" s="3379" t="s">
        <v>3264</v>
      </c>
      <c r="E516" s="3378" t="s">
        <v>70</v>
      </c>
      <c r="F516" s="3379">
        <v>603</v>
      </c>
      <c r="G516" s="3378">
        <v>93.64</v>
      </c>
      <c r="H516" s="3377" t="s">
        <v>3055</v>
      </c>
    </row>
    <row r="517" spans="1:8" ht="14.25" thickBot="1">
      <c r="A517" s="3376">
        <v>516</v>
      </c>
      <c r="B517" s="3377" t="s">
        <v>3525</v>
      </c>
      <c r="C517" s="3378" t="s">
        <v>3278</v>
      </c>
      <c r="D517" s="3379" t="s">
        <v>3264</v>
      </c>
      <c r="E517" s="3378" t="s">
        <v>70</v>
      </c>
      <c r="F517" s="3379">
        <v>605</v>
      </c>
      <c r="G517" s="3378">
        <v>93.64</v>
      </c>
      <c r="H517" s="3377" t="s">
        <v>3055</v>
      </c>
    </row>
    <row r="518" spans="1:8" ht="14.25" thickBot="1">
      <c r="A518" s="3376">
        <v>517</v>
      </c>
      <c r="B518" s="3377" t="s">
        <v>3525</v>
      </c>
      <c r="C518" s="3378" t="s">
        <v>3278</v>
      </c>
      <c r="D518" s="3379" t="s">
        <v>3264</v>
      </c>
      <c r="E518" s="3378" t="s">
        <v>70</v>
      </c>
      <c r="F518" s="3379">
        <v>606</v>
      </c>
      <c r="G518" s="3378">
        <v>95.5</v>
      </c>
      <c r="H518" s="3377" t="s">
        <v>3055</v>
      </c>
    </row>
    <row r="519" spans="1:8" ht="14.25" thickBot="1">
      <c r="A519" s="3376">
        <v>518</v>
      </c>
      <c r="B519" s="3377" t="s">
        <v>3525</v>
      </c>
      <c r="C519" s="3378" t="s">
        <v>3278</v>
      </c>
      <c r="D519" s="3379" t="s">
        <v>3264</v>
      </c>
      <c r="E519" s="3378" t="s">
        <v>70</v>
      </c>
      <c r="F519" s="3379">
        <v>607</v>
      </c>
      <c r="G519" s="3378">
        <v>69.2</v>
      </c>
      <c r="H519" s="3377" t="s">
        <v>3055</v>
      </c>
    </row>
    <row r="520" spans="1:8" ht="14.25" thickBot="1">
      <c r="A520" s="3376">
        <v>519</v>
      </c>
      <c r="B520" s="3377" t="s">
        <v>3525</v>
      </c>
      <c r="C520" s="3378" t="s">
        <v>3279</v>
      </c>
      <c r="D520" s="3379" t="s">
        <v>3257</v>
      </c>
      <c r="E520" s="3378" t="s">
        <v>70</v>
      </c>
      <c r="F520" s="3379">
        <v>102</v>
      </c>
      <c r="G520" s="3378">
        <v>94.95</v>
      </c>
      <c r="H520" s="3377" t="s">
        <v>3055</v>
      </c>
    </row>
    <row r="521" spans="1:8" ht="14.25" thickBot="1">
      <c r="A521" s="3376">
        <v>520</v>
      </c>
      <c r="B521" s="3377" t="s">
        <v>3525</v>
      </c>
      <c r="C521" s="3378" t="s">
        <v>3279</v>
      </c>
      <c r="D521" s="3379" t="s">
        <v>3257</v>
      </c>
      <c r="E521" s="3378" t="s">
        <v>70</v>
      </c>
      <c r="F521" s="3379">
        <v>103</v>
      </c>
      <c r="G521" s="3378">
        <v>89.89</v>
      </c>
      <c r="H521" s="3377" t="s">
        <v>3055</v>
      </c>
    </row>
    <row r="522" spans="1:8" ht="14.25" thickBot="1">
      <c r="A522" s="3376">
        <v>521</v>
      </c>
      <c r="B522" s="3377" t="s">
        <v>3525</v>
      </c>
      <c r="C522" s="3378" t="s">
        <v>3279</v>
      </c>
      <c r="D522" s="3379" t="s">
        <v>3257</v>
      </c>
      <c r="E522" s="3378" t="s">
        <v>70</v>
      </c>
      <c r="F522" s="3379">
        <v>106</v>
      </c>
      <c r="G522" s="3378">
        <v>95.68</v>
      </c>
      <c r="H522" s="3377" t="s">
        <v>3055</v>
      </c>
    </row>
    <row r="523" spans="1:8" ht="14.25" thickBot="1">
      <c r="A523" s="3376">
        <v>522</v>
      </c>
      <c r="B523" s="3377" t="s">
        <v>3525</v>
      </c>
      <c r="C523" s="3378" t="s">
        <v>3279</v>
      </c>
      <c r="D523" s="3379" t="s">
        <v>3260</v>
      </c>
      <c r="E523" s="3378" t="s">
        <v>70</v>
      </c>
      <c r="F523" s="3379">
        <v>201</v>
      </c>
      <c r="G523" s="3378">
        <v>69.33</v>
      </c>
      <c r="H523" s="3377" t="s">
        <v>3055</v>
      </c>
    </row>
    <row r="524" spans="1:8" ht="14.25" thickBot="1">
      <c r="A524" s="3376">
        <v>523</v>
      </c>
      <c r="B524" s="3377" t="s">
        <v>3525</v>
      </c>
      <c r="C524" s="3378" t="s">
        <v>3279</v>
      </c>
      <c r="D524" s="3379" t="s">
        <v>3260</v>
      </c>
      <c r="E524" s="3378" t="s">
        <v>70</v>
      </c>
      <c r="F524" s="3379">
        <v>202</v>
      </c>
      <c r="G524" s="3378">
        <v>94.94</v>
      </c>
      <c r="H524" s="3377" t="s">
        <v>3055</v>
      </c>
    </row>
    <row r="525" spans="1:8" ht="14.25" thickBot="1">
      <c r="A525" s="3376">
        <v>524</v>
      </c>
      <c r="B525" s="3377" t="s">
        <v>3525</v>
      </c>
      <c r="C525" s="3378" t="s">
        <v>3279</v>
      </c>
      <c r="D525" s="3379" t="s">
        <v>3260</v>
      </c>
      <c r="E525" s="3378" t="s">
        <v>70</v>
      </c>
      <c r="F525" s="3379">
        <v>203</v>
      </c>
      <c r="G525" s="3378">
        <v>93.81</v>
      </c>
      <c r="H525" s="3377" t="s">
        <v>3055</v>
      </c>
    </row>
    <row r="526" spans="1:8" ht="14.25" thickBot="1">
      <c r="A526" s="3376">
        <v>525</v>
      </c>
      <c r="B526" s="3377" t="s">
        <v>3525</v>
      </c>
      <c r="C526" s="3378" t="s">
        <v>3279</v>
      </c>
      <c r="D526" s="3379" t="s">
        <v>3260</v>
      </c>
      <c r="E526" s="3378" t="s">
        <v>70</v>
      </c>
      <c r="F526" s="3379">
        <v>205</v>
      </c>
      <c r="G526" s="3378">
        <v>93.81</v>
      </c>
      <c r="H526" s="3377" t="s">
        <v>3055</v>
      </c>
    </row>
    <row r="527" spans="1:8" ht="14.25" thickBot="1">
      <c r="A527" s="3376">
        <v>526</v>
      </c>
      <c r="B527" s="3377" t="s">
        <v>3525</v>
      </c>
      <c r="C527" s="3378" t="s">
        <v>3279</v>
      </c>
      <c r="D527" s="3379" t="s">
        <v>3260</v>
      </c>
      <c r="E527" s="3378" t="s">
        <v>70</v>
      </c>
      <c r="F527" s="3379">
        <v>206</v>
      </c>
      <c r="G527" s="3378">
        <v>95.68</v>
      </c>
      <c r="H527" s="3377" t="s">
        <v>3055</v>
      </c>
    </row>
    <row r="528" spans="1:8" ht="14.25" thickBot="1">
      <c r="A528" s="3376">
        <v>527</v>
      </c>
      <c r="B528" s="3377" t="s">
        <v>3525</v>
      </c>
      <c r="C528" s="3378" t="s">
        <v>3279</v>
      </c>
      <c r="D528" s="3379" t="s">
        <v>3260</v>
      </c>
      <c r="E528" s="3378" t="s">
        <v>70</v>
      </c>
      <c r="F528" s="3379">
        <v>207</v>
      </c>
      <c r="G528" s="3378">
        <v>69.33</v>
      </c>
      <c r="H528" s="3377" t="s">
        <v>3055</v>
      </c>
    </row>
    <row r="529" spans="1:8" ht="14.25" thickBot="1">
      <c r="A529" s="3376">
        <v>528</v>
      </c>
      <c r="B529" s="3377" t="s">
        <v>3525</v>
      </c>
      <c r="C529" s="3378" t="s">
        <v>3279</v>
      </c>
      <c r="D529" s="3379" t="s">
        <v>3261</v>
      </c>
      <c r="E529" s="3378" t="s">
        <v>70</v>
      </c>
      <c r="F529" s="3379">
        <v>301</v>
      </c>
      <c r="G529" s="3378">
        <v>69.33</v>
      </c>
      <c r="H529" s="3377" t="s">
        <v>3055</v>
      </c>
    </row>
    <row r="530" spans="1:8" ht="14.25" thickBot="1">
      <c r="A530" s="3376">
        <v>529</v>
      </c>
      <c r="B530" s="3377" t="s">
        <v>3525</v>
      </c>
      <c r="C530" s="3378" t="s">
        <v>3279</v>
      </c>
      <c r="D530" s="3379" t="s">
        <v>3261</v>
      </c>
      <c r="E530" s="3378" t="s">
        <v>70</v>
      </c>
      <c r="F530" s="3379">
        <v>302</v>
      </c>
      <c r="G530" s="3378">
        <v>94.94</v>
      </c>
      <c r="H530" s="3377" t="s">
        <v>3055</v>
      </c>
    </row>
    <row r="531" spans="1:8" ht="14.25" thickBot="1">
      <c r="A531" s="3376">
        <v>530</v>
      </c>
      <c r="B531" s="3377" t="s">
        <v>3525</v>
      </c>
      <c r="C531" s="3378" t="s">
        <v>3279</v>
      </c>
      <c r="D531" s="3379" t="s">
        <v>3261</v>
      </c>
      <c r="E531" s="3378" t="s">
        <v>70</v>
      </c>
      <c r="F531" s="3379">
        <v>303</v>
      </c>
      <c r="G531" s="3378">
        <v>93.81</v>
      </c>
      <c r="H531" s="3377" t="s">
        <v>3055</v>
      </c>
    </row>
    <row r="532" spans="1:8" ht="14.25" thickBot="1">
      <c r="A532" s="3376">
        <v>531</v>
      </c>
      <c r="B532" s="3377" t="s">
        <v>3525</v>
      </c>
      <c r="C532" s="3378" t="s">
        <v>3279</v>
      </c>
      <c r="D532" s="3379" t="s">
        <v>3261</v>
      </c>
      <c r="E532" s="3378" t="s">
        <v>70</v>
      </c>
      <c r="F532" s="3379">
        <v>305</v>
      </c>
      <c r="G532" s="3378">
        <v>93.81</v>
      </c>
      <c r="H532" s="3377" t="s">
        <v>3055</v>
      </c>
    </row>
    <row r="533" spans="1:8" ht="14.25" thickBot="1">
      <c r="A533" s="3376">
        <v>532</v>
      </c>
      <c r="B533" s="3377" t="s">
        <v>3525</v>
      </c>
      <c r="C533" s="3378" t="s">
        <v>3279</v>
      </c>
      <c r="D533" s="3379" t="s">
        <v>3261</v>
      </c>
      <c r="E533" s="3378" t="s">
        <v>70</v>
      </c>
      <c r="F533" s="3379">
        <v>306</v>
      </c>
      <c r="G533" s="3378">
        <v>95.68</v>
      </c>
      <c r="H533" s="3377" t="s">
        <v>3055</v>
      </c>
    </row>
    <row r="534" spans="1:8" ht="14.25" thickBot="1">
      <c r="A534" s="3376">
        <v>533</v>
      </c>
      <c r="B534" s="3377" t="s">
        <v>3525</v>
      </c>
      <c r="C534" s="3378" t="s">
        <v>3279</v>
      </c>
      <c r="D534" s="3379" t="s">
        <v>3261</v>
      </c>
      <c r="E534" s="3378" t="s">
        <v>70</v>
      </c>
      <c r="F534" s="3379">
        <v>307</v>
      </c>
      <c r="G534" s="3378">
        <v>69.33</v>
      </c>
      <c r="H534" s="3377" t="s">
        <v>3055</v>
      </c>
    </row>
    <row r="535" spans="1:8" ht="14.25" thickBot="1">
      <c r="A535" s="3376">
        <v>534</v>
      </c>
      <c r="B535" s="3377" t="s">
        <v>3525</v>
      </c>
      <c r="C535" s="3378" t="s">
        <v>3279</v>
      </c>
      <c r="D535" s="3379" t="s">
        <v>3262</v>
      </c>
      <c r="E535" s="3378" t="s">
        <v>70</v>
      </c>
      <c r="F535" s="3379" t="s">
        <v>3145</v>
      </c>
      <c r="G535" s="3378">
        <v>69.33</v>
      </c>
      <c r="H535" s="3377" t="s">
        <v>3055</v>
      </c>
    </row>
    <row r="536" spans="1:8" ht="14.25" thickBot="1">
      <c r="A536" s="3376">
        <v>535</v>
      </c>
      <c r="B536" s="3377" t="s">
        <v>3525</v>
      </c>
      <c r="C536" s="3378" t="s">
        <v>3279</v>
      </c>
      <c r="D536" s="3379" t="s">
        <v>3262</v>
      </c>
      <c r="E536" s="3378" t="s">
        <v>70</v>
      </c>
      <c r="F536" s="3379" t="s">
        <v>3146</v>
      </c>
      <c r="G536" s="3378">
        <v>94.94</v>
      </c>
      <c r="H536" s="3377" t="s">
        <v>3055</v>
      </c>
    </row>
    <row r="537" spans="1:8" ht="14.25" thickBot="1">
      <c r="A537" s="3376">
        <v>536</v>
      </c>
      <c r="B537" s="3377" t="s">
        <v>3525</v>
      </c>
      <c r="C537" s="3378" t="s">
        <v>3279</v>
      </c>
      <c r="D537" s="3379" t="s">
        <v>3262</v>
      </c>
      <c r="E537" s="3378" t="s">
        <v>70</v>
      </c>
      <c r="F537" s="3379" t="s">
        <v>3147</v>
      </c>
      <c r="G537" s="3378">
        <v>93.81</v>
      </c>
      <c r="H537" s="3377" t="s">
        <v>3055</v>
      </c>
    </row>
    <row r="538" spans="1:8" ht="14.25" thickBot="1">
      <c r="A538" s="3376">
        <v>537</v>
      </c>
      <c r="B538" s="3377" t="s">
        <v>3525</v>
      </c>
      <c r="C538" s="3378" t="s">
        <v>3279</v>
      </c>
      <c r="D538" s="3379" t="s">
        <v>3262</v>
      </c>
      <c r="E538" s="3378" t="s">
        <v>70</v>
      </c>
      <c r="F538" s="3379" t="s">
        <v>3148</v>
      </c>
      <c r="G538" s="3378">
        <v>93.81</v>
      </c>
      <c r="H538" s="3377" t="s">
        <v>3055</v>
      </c>
    </row>
    <row r="539" spans="1:8" ht="14.25" thickBot="1">
      <c r="A539" s="3376">
        <v>538</v>
      </c>
      <c r="B539" s="3377" t="s">
        <v>3525</v>
      </c>
      <c r="C539" s="3378" t="s">
        <v>3279</v>
      </c>
      <c r="D539" s="3379" t="s">
        <v>3262</v>
      </c>
      <c r="E539" s="3378" t="s">
        <v>70</v>
      </c>
      <c r="F539" s="3379" t="s">
        <v>3149</v>
      </c>
      <c r="G539" s="3378">
        <v>95.68</v>
      </c>
      <c r="H539" s="3377" t="s">
        <v>3055</v>
      </c>
    </row>
    <row r="540" spans="1:8" ht="14.25" thickBot="1">
      <c r="A540" s="3376">
        <v>539</v>
      </c>
      <c r="B540" s="3377" t="s">
        <v>3525</v>
      </c>
      <c r="C540" s="3378" t="s">
        <v>3279</v>
      </c>
      <c r="D540" s="3379" t="s">
        <v>3262</v>
      </c>
      <c r="E540" s="3378" t="s">
        <v>70</v>
      </c>
      <c r="F540" s="3379" t="s">
        <v>3150</v>
      </c>
      <c r="G540" s="3378">
        <v>69.33</v>
      </c>
      <c r="H540" s="3377" t="s">
        <v>3055</v>
      </c>
    </row>
    <row r="541" spans="1:8" ht="14.25" thickBot="1">
      <c r="A541" s="3376">
        <v>540</v>
      </c>
      <c r="B541" s="3377" t="s">
        <v>3525</v>
      </c>
      <c r="C541" s="3378" t="s">
        <v>3279</v>
      </c>
      <c r="D541" s="3379" t="s">
        <v>3263</v>
      </c>
      <c r="E541" s="3378" t="s">
        <v>70</v>
      </c>
      <c r="F541" s="3379">
        <v>501</v>
      </c>
      <c r="G541" s="3378">
        <v>69.33</v>
      </c>
      <c r="H541" s="3377" t="s">
        <v>3055</v>
      </c>
    </row>
    <row r="542" spans="1:8" ht="14.25" thickBot="1">
      <c r="A542" s="3376">
        <v>541</v>
      </c>
      <c r="B542" s="3377" t="s">
        <v>3525</v>
      </c>
      <c r="C542" s="3378" t="s">
        <v>3279</v>
      </c>
      <c r="D542" s="3379" t="s">
        <v>3263</v>
      </c>
      <c r="E542" s="3378" t="s">
        <v>70</v>
      </c>
      <c r="F542" s="3379">
        <v>502</v>
      </c>
      <c r="G542" s="3378">
        <v>94.94</v>
      </c>
      <c r="H542" s="3377" t="s">
        <v>3055</v>
      </c>
    </row>
    <row r="543" spans="1:8" ht="14.25" thickBot="1">
      <c r="A543" s="3376">
        <v>542</v>
      </c>
      <c r="B543" s="3377" t="s">
        <v>3525</v>
      </c>
      <c r="C543" s="3378" t="s">
        <v>3279</v>
      </c>
      <c r="D543" s="3379" t="s">
        <v>3263</v>
      </c>
      <c r="E543" s="3378" t="s">
        <v>70</v>
      </c>
      <c r="F543" s="3379">
        <v>503</v>
      </c>
      <c r="G543" s="3378">
        <v>93.81</v>
      </c>
      <c r="H543" s="3377" t="s">
        <v>3055</v>
      </c>
    </row>
    <row r="544" spans="1:8" ht="14.25" thickBot="1">
      <c r="A544" s="3376">
        <v>543</v>
      </c>
      <c r="B544" s="3377" t="s">
        <v>3525</v>
      </c>
      <c r="C544" s="3378" t="s">
        <v>3279</v>
      </c>
      <c r="D544" s="3379" t="s">
        <v>3263</v>
      </c>
      <c r="E544" s="3378" t="s">
        <v>70</v>
      </c>
      <c r="F544" s="3379">
        <v>505</v>
      </c>
      <c r="G544" s="3378">
        <v>93.81</v>
      </c>
      <c r="H544" s="3377" t="s">
        <v>3055</v>
      </c>
    </row>
    <row r="545" spans="1:8" ht="14.25" thickBot="1">
      <c r="A545" s="3376">
        <v>544</v>
      </c>
      <c r="B545" s="3377" t="s">
        <v>3525</v>
      </c>
      <c r="C545" s="3378" t="s">
        <v>3279</v>
      </c>
      <c r="D545" s="3379" t="s">
        <v>3263</v>
      </c>
      <c r="E545" s="3378" t="s">
        <v>70</v>
      </c>
      <c r="F545" s="3379">
        <v>506</v>
      </c>
      <c r="G545" s="3378">
        <v>95.68</v>
      </c>
      <c r="H545" s="3377" t="s">
        <v>3055</v>
      </c>
    </row>
    <row r="546" spans="1:8" ht="14.25" thickBot="1">
      <c r="A546" s="3376">
        <v>545</v>
      </c>
      <c r="B546" s="3377" t="s">
        <v>3525</v>
      </c>
      <c r="C546" s="3378" t="s">
        <v>3279</v>
      </c>
      <c r="D546" s="3379" t="s">
        <v>3263</v>
      </c>
      <c r="E546" s="3378" t="s">
        <v>70</v>
      </c>
      <c r="F546" s="3379">
        <v>507</v>
      </c>
      <c r="G546" s="3378">
        <v>69.33</v>
      </c>
      <c r="H546" s="3377" t="s">
        <v>3055</v>
      </c>
    </row>
    <row r="547" spans="1:8" ht="14.25" thickBot="1">
      <c r="A547" s="3376">
        <v>546</v>
      </c>
      <c r="B547" s="3377" t="s">
        <v>3525</v>
      </c>
      <c r="C547" s="3378" t="s">
        <v>3279</v>
      </c>
      <c r="D547" s="3379" t="s">
        <v>3264</v>
      </c>
      <c r="E547" s="3378" t="s">
        <v>70</v>
      </c>
      <c r="F547" s="3379">
        <v>601</v>
      </c>
      <c r="G547" s="3378">
        <v>69.33</v>
      </c>
      <c r="H547" s="3377" t="s">
        <v>3055</v>
      </c>
    </row>
    <row r="548" spans="1:8" ht="14.25" thickBot="1">
      <c r="A548" s="3376">
        <v>547</v>
      </c>
      <c r="B548" s="3377" t="s">
        <v>3525</v>
      </c>
      <c r="C548" s="3378" t="s">
        <v>3279</v>
      </c>
      <c r="D548" s="3379" t="s">
        <v>3264</v>
      </c>
      <c r="E548" s="3378" t="s">
        <v>70</v>
      </c>
      <c r="F548" s="3379">
        <v>602</v>
      </c>
      <c r="G548" s="3378">
        <v>94.94</v>
      </c>
      <c r="H548" s="3377" t="s">
        <v>3055</v>
      </c>
    </row>
    <row r="549" spans="1:8" ht="14.25" thickBot="1">
      <c r="A549" s="3376">
        <v>548</v>
      </c>
      <c r="B549" s="3377" t="s">
        <v>3525</v>
      </c>
      <c r="C549" s="3378" t="s">
        <v>3279</v>
      </c>
      <c r="D549" s="3379" t="s">
        <v>3264</v>
      </c>
      <c r="E549" s="3378" t="s">
        <v>70</v>
      </c>
      <c r="F549" s="3379">
        <v>603</v>
      </c>
      <c r="G549" s="3378">
        <v>93.81</v>
      </c>
      <c r="H549" s="3377" t="s">
        <v>3055</v>
      </c>
    </row>
    <row r="550" spans="1:8" ht="14.25" thickBot="1">
      <c r="A550" s="3376">
        <v>549</v>
      </c>
      <c r="B550" s="3377" t="s">
        <v>3525</v>
      </c>
      <c r="C550" s="3378" t="s">
        <v>3279</v>
      </c>
      <c r="D550" s="3379" t="s">
        <v>3264</v>
      </c>
      <c r="E550" s="3378" t="s">
        <v>70</v>
      </c>
      <c r="F550" s="3379">
        <v>605</v>
      </c>
      <c r="G550" s="3378">
        <v>93.81</v>
      </c>
      <c r="H550" s="3377" t="s">
        <v>3055</v>
      </c>
    </row>
    <row r="551" spans="1:8" ht="14.25" thickBot="1">
      <c r="A551" s="3376">
        <v>550</v>
      </c>
      <c r="B551" s="3377" t="s">
        <v>3525</v>
      </c>
      <c r="C551" s="3378" t="s">
        <v>3279</v>
      </c>
      <c r="D551" s="3379" t="s">
        <v>3264</v>
      </c>
      <c r="E551" s="3378" t="s">
        <v>70</v>
      </c>
      <c r="F551" s="3379">
        <v>606</v>
      </c>
      <c r="G551" s="3378">
        <v>95.68</v>
      </c>
      <c r="H551" s="3377" t="s">
        <v>3055</v>
      </c>
    </row>
    <row r="552" spans="1:8" ht="14.25" thickBot="1">
      <c r="A552" s="3376">
        <v>551</v>
      </c>
      <c r="B552" s="3377" t="s">
        <v>3525</v>
      </c>
      <c r="C552" s="3378" t="s">
        <v>3279</v>
      </c>
      <c r="D552" s="3379" t="s">
        <v>3264</v>
      </c>
      <c r="E552" s="3378" t="s">
        <v>70</v>
      </c>
      <c r="F552" s="3379">
        <v>607</v>
      </c>
      <c r="G552" s="3378">
        <v>69.33</v>
      </c>
      <c r="H552" s="3377" t="s">
        <v>3055</v>
      </c>
    </row>
    <row r="553" spans="1:8" ht="14.25" thickBot="1">
      <c r="A553" s="3376">
        <v>552</v>
      </c>
      <c r="B553" s="3377" t="s">
        <v>3524</v>
      </c>
      <c r="C553" s="3378" t="s">
        <v>3280</v>
      </c>
      <c r="D553" s="3378" t="s">
        <v>3257</v>
      </c>
      <c r="E553" s="3378" t="s">
        <v>70</v>
      </c>
      <c r="F553" s="3378">
        <v>102</v>
      </c>
      <c r="G553" s="3378">
        <v>69.5</v>
      </c>
      <c r="H553" s="3377" t="s">
        <v>3055</v>
      </c>
    </row>
    <row r="554" spans="1:8" ht="14.25" thickBot="1">
      <c r="A554" s="3376">
        <v>553</v>
      </c>
      <c r="B554" s="3377" t="s">
        <v>3524</v>
      </c>
      <c r="C554" s="3378" t="s">
        <v>3280</v>
      </c>
      <c r="D554" s="3378" t="s">
        <v>3257</v>
      </c>
      <c r="E554" s="3378" t="s">
        <v>70</v>
      </c>
      <c r="F554" s="3378">
        <v>105</v>
      </c>
      <c r="G554" s="3378">
        <v>69.55</v>
      </c>
      <c r="H554" s="3377" t="s">
        <v>3055</v>
      </c>
    </row>
    <row r="555" spans="1:8" ht="14.25" thickBot="1">
      <c r="A555" s="3376">
        <v>554</v>
      </c>
      <c r="B555" s="3377" t="s">
        <v>3524</v>
      </c>
      <c r="C555" s="3378" t="s">
        <v>3280</v>
      </c>
      <c r="D555" s="3378" t="s">
        <v>3260</v>
      </c>
      <c r="E555" s="3378" t="s">
        <v>70</v>
      </c>
      <c r="F555" s="3378">
        <v>201</v>
      </c>
      <c r="G555" s="3378">
        <v>68.23</v>
      </c>
      <c r="H555" s="3377" t="s">
        <v>3055</v>
      </c>
    </row>
    <row r="556" spans="1:8" ht="14.25" thickBot="1">
      <c r="A556" s="3376">
        <v>555</v>
      </c>
      <c r="B556" s="3377" t="s">
        <v>3524</v>
      </c>
      <c r="C556" s="3378" t="s">
        <v>3280</v>
      </c>
      <c r="D556" s="3378" t="s">
        <v>3260</v>
      </c>
      <c r="E556" s="3378" t="s">
        <v>70</v>
      </c>
      <c r="F556" s="3378">
        <v>202</v>
      </c>
      <c r="G556" s="3378">
        <v>69.5</v>
      </c>
      <c r="H556" s="3377" t="s">
        <v>3055</v>
      </c>
    </row>
    <row r="557" spans="1:8" ht="14.25" thickBot="1">
      <c r="A557" s="3376">
        <v>556</v>
      </c>
      <c r="B557" s="3377" t="s">
        <v>3524</v>
      </c>
      <c r="C557" s="3378" t="s">
        <v>3280</v>
      </c>
      <c r="D557" s="3378" t="s">
        <v>3260</v>
      </c>
      <c r="E557" s="3378" t="s">
        <v>70</v>
      </c>
      <c r="F557" s="3378">
        <v>205</v>
      </c>
      <c r="G557" s="3378">
        <v>69.55</v>
      </c>
      <c r="H557" s="3377" t="s">
        <v>3055</v>
      </c>
    </row>
    <row r="558" spans="1:8" ht="14.25" thickBot="1">
      <c r="A558" s="3376">
        <v>557</v>
      </c>
      <c r="B558" s="3377" t="s">
        <v>3524</v>
      </c>
      <c r="C558" s="3378" t="s">
        <v>3280</v>
      </c>
      <c r="D558" s="3378" t="s">
        <v>3260</v>
      </c>
      <c r="E558" s="3378" t="s">
        <v>70</v>
      </c>
      <c r="F558" s="3378">
        <v>206</v>
      </c>
      <c r="G558" s="3378">
        <v>69.739999999999995</v>
      </c>
      <c r="H558" s="3377" t="s">
        <v>3055</v>
      </c>
    </row>
    <row r="559" spans="1:8" ht="14.25" thickBot="1">
      <c r="A559" s="3376">
        <v>558</v>
      </c>
      <c r="B559" s="3377" t="s">
        <v>3524</v>
      </c>
      <c r="C559" s="3378" t="s">
        <v>3280</v>
      </c>
      <c r="D559" s="3378" t="s">
        <v>3261</v>
      </c>
      <c r="E559" s="3378" t="s">
        <v>70</v>
      </c>
      <c r="F559" s="3378">
        <v>302</v>
      </c>
      <c r="G559" s="3378">
        <v>69.5</v>
      </c>
      <c r="H559" s="3377" t="s">
        <v>3055</v>
      </c>
    </row>
    <row r="560" spans="1:8" ht="14.25" thickBot="1">
      <c r="A560" s="3376">
        <v>559</v>
      </c>
      <c r="B560" s="3377" t="s">
        <v>3524</v>
      </c>
      <c r="C560" s="3378" t="s">
        <v>3280</v>
      </c>
      <c r="D560" s="3378" t="s">
        <v>3261</v>
      </c>
      <c r="E560" s="3378" t="s">
        <v>70</v>
      </c>
      <c r="F560" s="3378">
        <v>303</v>
      </c>
      <c r="G560" s="3378">
        <v>69.55</v>
      </c>
      <c r="H560" s="3377" t="s">
        <v>3055</v>
      </c>
    </row>
    <row r="561" spans="1:8" ht="14.25" thickBot="1">
      <c r="A561" s="3376">
        <v>560</v>
      </c>
      <c r="B561" s="3377" t="s">
        <v>3524</v>
      </c>
      <c r="C561" s="3378" t="s">
        <v>3280</v>
      </c>
      <c r="D561" s="3378" t="s">
        <v>3261</v>
      </c>
      <c r="E561" s="3378" t="s">
        <v>70</v>
      </c>
      <c r="F561" s="3378">
        <v>306</v>
      </c>
      <c r="G561" s="3378">
        <v>69.739999999999995</v>
      </c>
      <c r="H561" s="3377" t="s">
        <v>3055</v>
      </c>
    </row>
    <row r="562" spans="1:8" ht="14.25" thickBot="1">
      <c r="A562" s="3376">
        <v>561</v>
      </c>
      <c r="B562" s="3377" t="s">
        <v>3524</v>
      </c>
      <c r="C562" s="3378" t="s">
        <v>3280</v>
      </c>
      <c r="D562" s="3378" t="s">
        <v>3261</v>
      </c>
      <c r="E562" s="3378" t="s">
        <v>70</v>
      </c>
      <c r="F562" s="3378">
        <v>307</v>
      </c>
      <c r="G562" s="3378">
        <v>68.37</v>
      </c>
      <c r="H562" s="3377" t="s">
        <v>3055</v>
      </c>
    </row>
    <row r="563" spans="1:8" ht="14.25" thickBot="1">
      <c r="A563" s="3376">
        <v>562</v>
      </c>
      <c r="B563" s="3377" t="s">
        <v>3524</v>
      </c>
      <c r="C563" s="3378" t="s">
        <v>3280</v>
      </c>
      <c r="D563" s="3378" t="s">
        <v>3262</v>
      </c>
      <c r="E563" s="3378" t="s">
        <v>70</v>
      </c>
      <c r="F563" s="3378" t="s">
        <v>3145</v>
      </c>
      <c r="G563" s="3378">
        <v>68.23</v>
      </c>
      <c r="H563" s="3377" t="s">
        <v>3055</v>
      </c>
    </row>
    <row r="564" spans="1:8" ht="14.25" thickBot="1">
      <c r="A564" s="3376">
        <v>563</v>
      </c>
      <c r="B564" s="3377" t="s">
        <v>3524</v>
      </c>
      <c r="C564" s="3378" t="s">
        <v>3280</v>
      </c>
      <c r="D564" s="3378" t="s">
        <v>3262</v>
      </c>
      <c r="E564" s="3378" t="s">
        <v>70</v>
      </c>
      <c r="F564" s="3378" t="s">
        <v>3146</v>
      </c>
      <c r="G564" s="3378">
        <v>69.5</v>
      </c>
      <c r="H564" s="3377" t="s">
        <v>3055</v>
      </c>
    </row>
    <row r="565" spans="1:8" ht="14.25" thickBot="1">
      <c r="A565" s="3376">
        <v>564</v>
      </c>
      <c r="B565" s="3377" t="s">
        <v>3524</v>
      </c>
      <c r="C565" s="3378" t="s">
        <v>3280</v>
      </c>
      <c r="D565" s="3378" t="s">
        <v>3262</v>
      </c>
      <c r="E565" s="3378" t="s">
        <v>70</v>
      </c>
      <c r="F565" s="3378" t="s">
        <v>3147</v>
      </c>
      <c r="G565" s="3378">
        <v>69.55</v>
      </c>
      <c r="H565" s="3377" t="s">
        <v>3055</v>
      </c>
    </row>
    <row r="566" spans="1:8" ht="14.25" thickBot="1">
      <c r="A566" s="3376">
        <v>565</v>
      </c>
      <c r="B566" s="3377" t="s">
        <v>3524</v>
      </c>
      <c r="C566" s="3378" t="s">
        <v>3280</v>
      </c>
      <c r="D566" s="3378" t="s">
        <v>3262</v>
      </c>
      <c r="E566" s="3378" t="s">
        <v>70</v>
      </c>
      <c r="F566" s="3378" t="s">
        <v>3148</v>
      </c>
      <c r="G566" s="3378">
        <v>69.55</v>
      </c>
      <c r="H566" s="3377" t="s">
        <v>3055</v>
      </c>
    </row>
    <row r="567" spans="1:8" ht="14.25" thickBot="1">
      <c r="A567" s="3376">
        <v>566</v>
      </c>
      <c r="B567" s="3377" t="s">
        <v>3524</v>
      </c>
      <c r="C567" s="3378" t="s">
        <v>3280</v>
      </c>
      <c r="D567" s="3378" t="s">
        <v>3262</v>
      </c>
      <c r="E567" s="3378" t="s">
        <v>70</v>
      </c>
      <c r="F567" s="3378" t="s">
        <v>3149</v>
      </c>
      <c r="G567" s="3378">
        <v>69.739999999999995</v>
      </c>
      <c r="H567" s="3377" t="s">
        <v>3055</v>
      </c>
    </row>
    <row r="568" spans="1:8" ht="14.25" thickBot="1">
      <c r="A568" s="3376">
        <v>567</v>
      </c>
      <c r="B568" s="3377" t="s">
        <v>3524</v>
      </c>
      <c r="C568" s="3378" t="s">
        <v>3280</v>
      </c>
      <c r="D568" s="3378" t="s">
        <v>3263</v>
      </c>
      <c r="E568" s="3378" t="s">
        <v>70</v>
      </c>
      <c r="F568" s="3378">
        <v>501</v>
      </c>
      <c r="G568" s="3378">
        <v>68.23</v>
      </c>
      <c r="H568" s="3377" t="s">
        <v>3055</v>
      </c>
    </row>
    <row r="569" spans="1:8" ht="14.25" thickBot="1">
      <c r="A569" s="3376">
        <v>568</v>
      </c>
      <c r="B569" s="3377" t="s">
        <v>3524</v>
      </c>
      <c r="C569" s="3378" t="s">
        <v>3280</v>
      </c>
      <c r="D569" s="3378" t="s">
        <v>3263</v>
      </c>
      <c r="E569" s="3378" t="s">
        <v>70</v>
      </c>
      <c r="F569" s="3378">
        <v>503</v>
      </c>
      <c r="G569" s="3378">
        <v>69.55</v>
      </c>
      <c r="H569" s="3377" t="s">
        <v>3055</v>
      </c>
    </row>
    <row r="570" spans="1:8" ht="14.25" thickBot="1">
      <c r="A570" s="3376">
        <v>569</v>
      </c>
      <c r="B570" s="3377" t="s">
        <v>3524</v>
      </c>
      <c r="C570" s="3378" t="s">
        <v>3280</v>
      </c>
      <c r="D570" s="3378" t="s">
        <v>3263</v>
      </c>
      <c r="E570" s="3378" t="s">
        <v>70</v>
      </c>
      <c r="F570" s="3378">
        <v>505</v>
      </c>
      <c r="G570" s="3378">
        <v>69.55</v>
      </c>
      <c r="H570" s="3377" t="s">
        <v>3055</v>
      </c>
    </row>
    <row r="571" spans="1:8" ht="14.25" thickBot="1">
      <c r="A571" s="3376">
        <v>570</v>
      </c>
      <c r="B571" s="3377" t="s">
        <v>3524</v>
      </c>
      <c r="C571" s="3378" t="s">
        <v>3280</v>
      </c>
      <c r="D571" s="3378" t="s">
        <v>3263</v>
      </c>
      <c r="E571" s="3378" t="s">
        <v>70</v>
      </c>
      <c r="F571" s="3378">
        <v>506</v>
      </c>
      <c r="G571" s="3378">
        <v>69.739999999999995</v>
      </c>
      <c r="H571" s="3377" t="s">
        <v>3055</v>
      </c>
    </row>
    <row r="572" spans="1:8" ht="14.25" thickBot="1">
      <c r="A572" s="3376">
        <v>571</v>
      </c>
      <c r="B572" s="3377" t="s">
        <v>3524</v>
      </c>
      <c r="C572" s="3378" t="s">
        <v>3280</v>
      </c>
      <c r="D572" s="3378" t="s">
        <v>3263</v>
      </c>
      <c r="E572" s="3378" t="s">
        <v>70</v>
      </c>
      <c r="F572" s="3378">
        <v>507</v>
      </c>
      <c r="G572" s="3378">
        <v>68.37</v>
      </c>
      <c r="H572" s="3377" t="s">
        <v>3055</v>
      </c>
    </row>
    <row r="573" spans="1:8" ht="14.25" thickBot="1">
      <c r="A573" s="3376">
        <v>572</v>
      </c>
      <c r="B573" s="3377" t="s">
        <v>3524</v>
      </c>
      <c r="C573" s="3378" t="s">
        <v>3280</v>
      </c>
      <c r="D573" s="3378" t="s">
        <v>3264</v>
      </c>
      <c r="E573" s="3378" t="s">
        <v>70</v>
      </c>
      <c r="F573" s="3378">
        <v>602</v>
      </c>
      <c r="G573" s="3378">
        <v>69.5</v>
      </c>
      <c r="H573" s="3377" t="s">
        <v>3055</v>
      </c>
    </row>
    <row r="574" spans="1:8" ht="14.25" thickBot="1">
      <c r="A574" s="3376">
        <v>573</v>
      </c>
      <c r="B574" s="3377" t="s">
        <v>3524</v>
      </c>
      <c r="C574" s="3378" t="s">
        <v>3280</v>
      </c>
      <c r="D574" s="3378" t="s">
        <v>3264</v>
      </c>
      <c r="E574" s="3378" t="s">
        <v>70</v>
      </c>
      <c r="F574" s="3378">
        <v>603</v>
      </c>
      <c r="G574" s="3378">
        <v>69.55</v>
      </c>
      <c r="H574" s="3377" t="s">
        <v>3055</v>
      </c>
    </row>
    <row r="575" spans="1:8" ht="14.25" thickBot="1">
      <c r="A575" s="3376">
        <v>574</v>
      </c>
      <c r="B575" s="3377" t="s">
        <v>3525</v>
      </c>
      <c r="C575" s="3378" t="s">
        <v>3281</v>
      </c>
      <c r="D575" s="3379" t="s">
        <v>3261</v>
      </c>
      <c r="E575" s="3378" t="s">
        <v>70</v>
      </c>
      <c r="F575" s="3378">
        <v>301</v>
      </c>
      <c r="G575" s="3378">
        <v>68.92</v>
      </c>
      <c r="H575" s="3377" t="s">
        <v>3055</v>
      </c>
    </row>
    <row r="576" spans="1:8" ht="14.25" thickBot="1">
      <c r="A576" s="3376">
        <v>575</v>
      </c>
      <c r="B576" s="3377" t="s">
        <v>3525</v>
      </c>
      <c r="C576" s="3378" t="s">
        <v>3281</v>
      </c>
      <c r="D576" s="3379" t="s">
        <v>3261</v>
      </c>
      <c r="E576" s="3378" t="s">
        <v>70</v>
      </c>
      <c r="F576" s="3378">
        <v>302</v>
      </c>
      <c r="G576" s="3378">
        <v>72.41</v>
      </c>
      <c r="H576" s="3377" t="s">
        <v>3055</v>
      </c>
    </row>
    <row r="577" spans="1:8" ht="14.25" thickBot="1">
      <c r="A577" s="3376">
        <v>576</v>
      </c>
      <c r="B577" s="3377" t="s">
        <v>3525</v>
      </c>
      <c r="C577" s="3378" t="s">
        <v>3281</v>
      </c>
      <c r="D577" s="3379" t="s">
        <v>3261</v>
      </c>
      <c r="E577" s="3378" t="s">
        <v>70</v>
      </c>
      <c r="F577" s="3378">
        <v>303</v>
      </c>
      <c r="G577" s="3378">
        <v>72.45</v>
      </c>
      <c r="H577" s="3377" t="s">
        <v>3055</v>
      </c>
    </row>
    <row r="578" spans="1:8" ht="14.25" thickBot="1">
      <c r="A578" s="3376">
        <v>577</v>
      </c>
      <c r="B578" s="3377" t="s">
        <v>3525</v>
      </c>
      <c r="C578" s="3378" t="s">
        <v>3281</v>
      </c>
      <c r="D578" s="3379" t="s">
        <v>3261</v>
      </c>
      <c r="E578" s="3378" t="s">
        <v>70</v>
      </c>
      <c r="F578" s="3378">
        <v>305</v>
      </c>
      <c r="G578" s="3378">
        <v>72.45</v>
      </c>
      <c r="H578" s="3377" t="s">
        <v>3055</v>
      </c>
    </row>
    <row r="579" spans="1:8" ht="14.25" thickBot="1">
      <c r="A579" s="3376">
        <v>578</v>
      </c>
      <c r="B579" s="3377" t="s">
        <v>3525</v>
      </c>
      <c r="C579" s="3378" t="s">
        <v>3281</v>
      </c>
      <c r="D579" s="3379" t="s">
        <v>3261</v>
      </c>
      <c r="E579" s="3378" t="s">
        <v>70</v>
      </c>
      <c r="F579" s="3378">
        <v>306</v>
      </c>
      <c r="G579" s="3378">
        <v>72.41</v>
      </c>
      <c r="H579" s="3377" t="s">
        <v>3055</v>
      </c>
    </row>
    <row r="580" spans="1:8" ht="14.25" thickBot="1">
      <c r="A580" s="3376">
        <v>579</v>
      </c>
      <c r="B580" s="3377" t="s">
        <v>3525</v>
      </c>
      <c r="C580" s="3378" t="s">
        <v>3281</v>
      </c>
      <c r="D580" s="3379" t="s">
        <v>3261</v>
      </c>
      <c r="E580" s="3378" t="s">
        <v>70</v>
      </c>
      <c r="F580" s="3378">
        <v>307</v>
      </c>
      <c r="G580" s="3378">
        <v>68.92</v>
      </c>
      <c r="H580" s="3377" t="s">
        <v>3055</v>
      </c>
    </row>
    <row r="581" spans="1:8" ht="14.25" thickBot="1">
      <c r="A581" s="3376">
        <v>580</v>
      </c>
      <c r="B581" s="3377" t="s">
        <v>3525</v>
      </c>
      <c r="C581" s="3378" t="s">
        <v>3281</v>
      </c>
      <c r="D581" s="3379" t="s">
        <v>3262</v>
      </c>
      <c r="E581" s="3378" t="s">
        <v>70</v>
      </c>
      <c r="F581" s="3378" t="s">
        <v>3145</v>
      </c>
      <c r="G581" s="3378">
        <v>68.92</v>
      </c>
      <c r="H581" s="3377" t="s">
        <v>3055</v>
      </c>
    </row>
    <row r="582" spans="1:8" ht="14.25" thickBot="1">
      <c r="A582" s="3376">
        <v>581</v>
      </c>
      <c r="B582" s="3377" t="s">
        <v>3525</v>
      </c>
      <c r="C582" s="3378" t="s">
        <v>3281</v>
      </c>
      <c r="D582" s="3379" t="s">
        <v>3262</v>
      </c>
      <c r="E582" s="3378" t="s">
        <v>70</v>
      </c>
      <c r="F582" s="3378" t="s">
        <v>3146</v>
      </c>
      <c r="G582" s="3378">
        <v>72.41</v>
      </c>
      <c r="H582" s="3377" t="s">
        <v>3055</v>
      </c>
    </row>
    <row r="583" spans="1:8" ht="14.25" thickBot="1">
      <c r="A583" s="3376">
        <v>582</v>
      </c>
      <c r="B583" s="3377" t="s">
        <v>3525</v>
      </c>
      <c r="C583" s="3378" t="s">
        <v>3281</v>
      </c>
      <c r="D583" s="3379" t="s">
        <v>3262</v>
      </c>
      <c r="E583" s="3378" t="s">
        <v>70</v>
      </c>
      <c r="F583" s="3378" t="s">
        <v>3147</v>
      </c>
      <c r="G583" s="3378">
        <v>72.45</v>
      </c>
      <c r="H583" s="3377" t="s">
        <v>3055</v>
      </c>
    </row>
    <row r="584" spans="1:8" ht="14.25" thickBot="1">
      <c r="A584" s="3376">
        <v>583</v>
      </c>
      <c r="B584" s="3377" t="s">
        <v>3525</v>
      </c>
      <c r="C584" s="3378" t="s">
        <v>3281</v>
      </c>
      <c r="D584" s="3379" t="s">
        <v>3262</v>
      </c>
      <c r="E584" s="3378" t="s">
        <v>70</v>
      </c>
      <c r="F584" s="3378" t="s">
        <v>3148</v>
      </c>
      <c r="G584" s="3378">
        <v>72.45</v>
      </c>
      <c r="H584" s="3377" t="s">
        <v>3055</v>
      </c>
    </row>
    <row r="585" spans="1:8" ht="14.25" thickBot="1">
      <c r="A585" s="3376">
        <v>584</v>
      </c>
      <c r="B585" s="3377" t="s">
        <v>3525</v>
      </c>
      <c r="C585" s="3378" t="s">
        <v>3281</v>
      </c>
      <c r="D585" s="3379" t="s">
        <v>3262</v>
      </c>
      <c r="E585" s="3378" t="s">
        <v>70</v>
      </c>
      <c r="F585" s="3378" t="s">
        <v>3149</v>
      </c>
      <c r="G585" s="3378">
        <v>72.41</v>
      </c>
      <c r="H585" s="3377" t="s">
        <v>3055</v>
      </c>
    </row>
    <row r="586" spans="1:8" ht="14.25" thickBot="1">
      <c r="A586" s="3376">
        <v>585</v>
      </c>
      <c r="B586" s="3377" t="s">
        <v>3525</v>
      </c>
      <c r="C586" s="3378" t="s">
        <v>3281</v>
      </c>
      <c r="D586" s="3379" t="s">
        <v>3262</v>
      </c>
      <c r="E586" s="3378" t="s">
        <v>70</v>
      </c>
      <c r="F586" s="3378" t="s">
        <v>3150</v>
      </c>
      <c r="G586" s="3378">
        <v>68.92</v>
      </c>
      <c r="H586" s="3377" t="s">
        <v>3055</v>
      </c>
    </row>
    <row r="587" spans="1:8" ht="14.25" thickBot="1">
      <c r="A587" s="3376">
        <v>586</v>
      </c>
      <c r="B587" s="3377" t="s">
        <v>3525</v>
      </c>
      <c r="C587" s="3378" t="s">
        <v>3281</v>
      </c>
      <c r="D587" s="3379" t="s">
        <v>3263</v>
      </c>
      <c r="E587" s="3378" t="s">
        <v>70</v>
      </c>
      <c r="F587" s="3378">
        <v>501</v>
      </c>
      <c r="G587" s="3378">
        <v>68.92</v>
      </c>
      <c r="H587" s="3377" t="s">
        <v>3055</v>
      </c>
    </row>
    <row r="588" spans="1:8" ht="14.25" thickBot="1">
      <c r="A588" s="3376">
        <v>587</v>
      </c>
      <c r="B588" s="3377" t="s">
        <v>3525</v>
      </c>
      <c r="C588" s="3378" t="s">
        <v>3281</v>
      </c>
      <c r="D588" s="3379" t="s">
        <v>3263</v>
      </c>
      <c r="E588" s="3378" t="s">
        <v>70</v>
      </c>
      <c r="F588" s="3378">
        <v>502</v>
      </c>
      <c r="G588" s="3378">
        <v>72.41</v>
      </c>
      <c r="H588" s="3377" t="s">
        <v>3055</v>
      </c>
    </row>
    <row r="589" spans="1:8" ht="14.25" thickBot="1">
      <c r="A589" s="3376">
        <v>588</v>
      </c>
      <c r="B589" s="3377" t="s">
        <v>3525</v>
      </c>
      <c r="C589" s="3378" t="s">
        <v>3281</v>
      </c>
      <c r="D589" s="3379" t="s">
        <v>3263</v>
      </c>
      <c r="E589" s="3378" t="s">
        <v>70</v>
      </c>
      <c r="F589" s="3378">
        <v>503</v>
      </c>
      <c r="G589" s="3378">
        <v>72.45</v>
      </c>
      <c r="H589" s="3377" t="s">
        <v>3055</v>
      </c>
    </row>
    <row r="590" spans="1:8" ht="14.25" thickBot="1">
      <c r="A590" s="3376">
        <v>589</v>
      </c>
      <c r="B590" s="3377" t="s">
        <v>3525</v>
      </c>
      <c r="C590" s="3378" t="s">
        <v>3281</v>
      </c>
      <c r="D590" s="3379" t="s">
        <v>3263</v>
      </c>
      <c r="E590" s="3378" t="s">
        <v>70</v>
      </c>
      <c r="F590" s="3378">
        <v>505</v>
      </c>
      <c r="G590" s="3378">
        <v>72.45</v>
      </c>
      <c r="H590" s="3377" t="s">
        <v>3055</v>
      </c>
    </row>
    <row r="591" spans="1:8" ht="14.25" thickBot="1">
      <c r="A591" s="3376">
        <v>590</v>
      </c>
      <c r="B591" s="3377" t="s">
        <v>3525</v>
      </c>
      <c r="C591" s="3378" t="s">
        <v>3281</v>
      </c>
      <c r="D591" s="3379" t="s">
        <v>3263</v>
      </c>
      <c r="E591" s="3378" t="s">
        <v>70</v>
      </c>
      <c r="F591" s="3378">
        <v>506</v>
      </c>
      <c r="G591" s="3378">
        <v>72.41</v>
      </c>
      <c r="H591" s="3377" t="s">
        <v>3055</v>
      </c>
    </row>
    <row r="592" spans="1:8" ht="14.25" thickBot="1">
      <c r="A592" s="3376">
        <v>591</v>
      </c>
      <c r="B592" s="3377" t="s">
        <v>3525</v>
      </c>
      <c r="C592" s="3378" t="s">
        <v>3281</v>
      </c>
      <c r="D592" s="3379" t="s">
        <v>3263</v>
      </c>
      <c r="E592" s="3378" t="s">
        <v>70</v>
      </c>
      <c r="F592" s="3378">
        <v>507</v>
      </c>
      <c r="G592" s="3378">
        <v>68.92</v>
      </c>
      <c r="H592" s="3377" t="s">
        <v>3055</v>
      </c>
    </row>
    <row r="593" spans="1:8" ht="14.25" thickBot="1">
      <c r="A593" s="3376">
        <v>592</v>
      </c>
      <c r="B593" s="3377" t="s">
        <v>3525</v>
      </c>
      <c r="C593" s="3378" t="s">
        <v>3281</v>
      </c>
      <c r="D593" s="3379" t="s">
        <v>3264</v>
      </c>
      <c r="E593" s="3378" t="s">
        <v>70</v>
      </c>
      <c r="F593" s="3378">
        <v>601</v>
      </c>
      <c r="G593" s="3378">
        <v>68.92</v>
      </c>
      <c r="H593" s="3377" t="s">
        <v>3055</v>
      </c>
    </row>
    <row r="594" spans="1:8" ht="14.25" thickBot="1">
      <c r="A594" s="3376">
        <v>593</v>
      </c>
      <c r="B594" s="3377" t="s">
        <v>3525</v>
      </c>
      <c r="C594" s="3378" t="s">
        <v>3281</v>
      </c>
      <c r="D594" s="3379" t="s">
        <v>3264</v>
      </c>
      <c r="E594" s="3378" t="s">
        <v>70</v>
      </c>
      <c r="F594" s="3378">
        <v>602</v>
      </c>
      <c r="G594" s="3378">
        <v>72.41</v>
      </c>
      <c r="H594" s="3377" t="s">
        <v>3055</v>
      </c>
    </row>
    <row r="595" spans="1:8" ht="14.25" thickBot="1">
      <c r="A595" s="3376">
        <v>594</v>
      </c>
      <c r="B595" s="3377" t="s">
        <v>3525</v>
      </c>
      <c r="C595" s="3378" t="s">
        <v>3281</v>
      </c>
      <c r="D595" s="3379" t="s">
        <v>3264</v>
      </c>
      <c r="E595" s="3378" t="s">
        <v>70</v>
      </c>
      <c r="F595" s="3378">
        <v>603</v>
      </c>
      <c r="G595" s="3378">
        <v>72.45</v>
      </c>
      <c r="H595" s="3377" t="s">
        <v>3055</v>
      </c>
    </row>
    <row r="596" spans="1:8" ht="14.25" thickBot="1">
      <c r="A596" s="3376">
        <v>595</v>
      </c>
      <c r="B596" s="3377" t="s">
        <v>3525</v>
      </c>
      <c r="C596" s="3378" t="s">
        <v>3281</v>
      </c>
      <c r="D596" s="3379" t="s">
        <v>3264</v>
      </c>
      <c r="E596" s="3378" t="s">
        <v>70</v>
      </c>
      <c r="F596" s="3378">
        <v>605</v>
      </c>
      <c r="G596" s="3378">
        <v>72.45</v>
      </c>
      <c r="H596" s="3377" t="s">
        <v>3055</v>
      </c>
    </row>
    <row r="597" spans="1:8" ht="14.25" thickBot="1">
      <c r="A597" s="3376">
        <v>596</v>
      </c>
      <c r="B597" s="3377" t="s">
        <v>3525</v>
      </c>
      <c r="C597" s="3378" t="s">
        <v>3281</v>
      </c>
      <c r="D597" s="3379" t="s">
        <v>3264</v>
      </c>
      <c r="E597" s="3378" t="s">
        <v>70</v>
      </c>
      <c r="F597" s="3378">
        <v>606</v>
      </c>
      <c r="G597" s="3378">
        <v>72.41</v>
      </c>
      <c r="H597" s="3377" t="s">
        <v>3055</v>
      </c>
    </row>
    <row r="598" spans="1:8" ht="14.25" thickBot="1">
      <c r="A598" s="3376">
        <v>597</v>
      </c>
      <c r="B598" s="3377" t="s">
        <v>3525</v>
      </c>
      <c r="C598" s="3378" t="s">
        <v>3281</v>
      </c>
      <c r="D598" s="3379" t="s">
        <v>3264</v>
      </c>
      <c r="E598" s="3378" t="s">
        <v>70</v>
      </c>
      <c r="F598" s="3378">
        <v>607</v>
      </c>
      <c r="G598" s="3378">
        <v>68.92</v>
      </c>
      <c r="H598" s="3377" t="s">
        <v>3055</v>
      </c>
    </row>
    <row r="599" spans="1:8" ht="14.25" thickBot="1">
      <c r="A599" s="3376">
        <v>598</v>
      </c>
      <c r="B599" s="3377" t="s">
        <v>3525</v>
      </c>
      <c r="C599" s="3378" t="s">
        <v>3282</v>
      </c>
      <c r="D599" s="3379" t="s">
        <v>3261</v>
      </c>
      <c r="E599" s="3378" t="s">
        <v>70</v>
      </c>
      <c r="F599" s="3379">
        <v>301</v>
      </c>
      <c r="G599" s="3378">
        <v>69.77</v>
      </c>
      <c r="H599" s="3377" t="s">
        <v>3055</v>
      </c>
    </row>
    <row r="600" spans="1:8" ht="14.25" thickBot="1">
      <c r="A600" s="3376">
        <v>599</v>
      </c>
      <c r="B600" s="3377" t="s">
        <v>3525</v>
      </c>
      <c r="C600" s="3378" t="s">
        <v>3282</v>
      </c>
      <c r="D600" s="3379" t="s">
        <v>3262</v>
      </c>
      <c r="E600" s="3378" t="s">
        <v>70</v>
      </c>
      <c r="F600" s="3379" t="s">
        <v>3145</v>
      </c>
      <c r="G600" s="3378">
        <v>69.77</v>
      </c>
      <c r="H600" s="3377" t="s">
        <v>3055</v>
      </c>
    </row>
    <row r="601" spans="1:8" ht="14.25" thickBot="1">
      <c r="A601" s="3376">
        <v>600</v>
      </c>
      <c r="B601" s="3377" t="s">
        <v>3525</v>
      </c>
      <c r="C601" s="3378" t="s">
        <v>3282</v>
      </c>
      <c r="D601" s="3379" t="s">
        <v>3263</v>
      </c>
      <c r="E601" s="3378" t="s">
        <v>70</v>
      </c>
      <c r="F601" s="3379">
        <v>501</v>
      </c>
      <c r="G601" s="3378">
        <v>69.77</v>
      </c>
      <c r="H601" s="3377" t="s">
        <v>3055</v>
      </c>
    </row>
    <row r="602" spans="1:8" ht="14.25" thickBot="1">
      <c r="A602" s="3376">
        <v>601</v>
      </c>
      <c r="B602" s="3377" t="s">
        <v>3525</v>
      </c>
      <c r="C602" s="3378" t="s">
        <v>3282</v>
      </c>
      <c r="D602" s="3379" t="s">
        <v>3264</v>
      </c>
      <c r="E602" s="3378" t="s">
        <v>70</v>
      </c>
      <c r="F602" s="3379">
        <v>601</v>
      </c>
      <c r="G602" s="3378">
        <v>69.77</v>
      </c>
      <c r="H602" s="3377" t="s">
        <v>3055</v>
      </c>
    </row>
    <row r="603" spans="1:8" ht="14.25" thickBot="1">
      <c r="A603" s="3376">
        <v>602</v>
      </c>
      <c r="B603" s="3377" t="s">
        <v>3525</v>
      </c>
      <c r="C603" s="3378" t="s">
        <v>3282</v>
      </c>
      <c r="D603" s="3379" t="s">
        <v>3264</v>
      </c>
      <c r="E603" s="3378" t="s">
        <v>70</v>
      </c>
      <c r="F603" s="3379">
        <v>602</v>
      </c>
      <c r="G603" s="3378">
        <v>71.33</v>
      </c>
      <c r="H603" s="3377" t="s">
        <v>3055</v>
      </c>
    </row>
    <row r="604" spans="1:8" ht="14.25" thickBot="1">
      <c r="A604" s="3376">
        <v>603</v>
      </c>
      <c r="B604" s="3377" t="s">
        <v>3525</v>
      </c>
      <c r="C604" s="3378" t="s">
        <v>3282</v>
      </c>
      <c r="D604" s="3379" t="s">
        <v>3264</v>
      </c>
      <c r="E604" s="3378" t="s">
        <v>70</v>
      </c>
      <c r="F604" s="3379">
        <v>605</v>
      </c>
      <c r="G604" s="3378">
        <v>71.37</v>
      </c>
      <c r="H604" s="3377" t="s">
        <v>3055</v>
      </c>
    </row>
    <row r="605" spans="1:8" ht="14.25" thickBot="1">
      <c r="A605" s="3376">
        <v>604</v>
      </c>
      <c r="B605" s="3377" t="s">
        <v>3525</v>
      </c>
      <c r="C605" s="3378" t="s">
        <v>3282</v>
      </c>
      <c r="D605" s="3379" t="s">
        <v>3264</v>
      </c>
      <c r="E605" s="3378" t="s">
        <v>70</v>
      </c>
      <c r="F605" s="3379">
        <v>606</v>
      </c>
      <c r="G605" s="3378">
        <v>71.37</v>
      </c>
      <c r="H605" s="3377" t="s">
        <v>3055</v>
      </c>
    </row>
    <row r="606" spans="1:8" ht="14.25" thickBot="1">
      <c r="A606" s="3376">
        <v>605</v>
      </c>
      <c r="B606" s="3377" t="s">
        <v>3525</v>
      </c>
      <c r="C606" s="3378" t="s">
        <v>3282</v>
      </c>
      <c r="D606" s="3379" t="s">
        <v>3264</v>
      </c>
      <c r="E606" s="3378" t="s">
        <v>70</v>
      </c>
      <c r="F606" s="3379">
        <v>608</v>
      </c>
      <c r="G606" s="3378">
        <v>66.209999999999994</v>
      </c>
      <c r="H606" s="3377" t="s">
        <v>3055</v>
      </c>
    </row>
    <row r="607" spans="1:8" ht="14.25" thickBot="1">
      <c r="A607" s="3376">
        <v>606</v>
      </c>
      <c r="B607" s="3377" t="s">
        <v>3525</v>
      </c>
      <c r="C607" s="3378" t="s">
        <v>3283</v>
      </c>
      <c r="D607" s="3379" t="s">
        <v>3257</v>
      </c>
      <c r="E607" s="3378" t="s">
        <v>70</v>
      </c>
      <c r="F607" s="3379">
        <v>101</v>
      </c>
      <c r="G607" s="3378">
        <v>67.09</v>
      </c>
      <c r="H607" s="3377" t="s">
        <v>3055</v>
      </c>
    </row>
    <row r="608" spans="1:8" ht="14.25" thickBot="1">
      <c r="A608" s="3376">
        <v>607</v>
      </c>
      <c r="B608" s="3377" t="s">
        <v>3525</v>
      </c>
      <c r="C608" s="3378" t="s">
        <v>3283</v>
      </c>
      <c r="D608" s="3379" t="s">
        <v>3257</v>
      </c>
      <c r="E608" s="3378" t="s">
        <v>70</v>
      </c>
      <c r="F608" s="3379">
        <v>102</v>
      </c>
      <c r="G608" s="3378">
        <v>70.489999999999995</v>
      </c>
      <c r="H608" s="3377" t="s">
        <v>3055</v>
      </c>
    </row>
    <row r="609" spans="1:8" ht="14.25" thickBot="1">
      <c r="A609" s="3376">
        <v>608</v>
      </c>
      <c r="B609" s="3377" t="s">
        <v>3525</v>
      </c>
      <c r="C609" s="3378" t="s">
        <v>3283</v>
      </c>
      <c r="D609" s="3379" t="s">
        <v>3257</v>
      </c>
      <c r="E609" s="3378" t="s">
        <v>70</v>
      </c>
      <c r="F609" s="3379">
        <v>103</v>
      </c>
      <c r="G609" s="3378">
        <v>70.53</v>
      </c>
      <c r="H609" s="3377" t="s">
        <v>3055</v>
      </c>
    </row>
    <row r="610" spans="1:8" ht="14.25" thickBot="1">
      <c r="A610" s="3376">
        <v>609</v>
      </c>
      <c r="B610" s="3377" t="s">
        <v>3525</v>
      </c>
      <c r="C610" s="3378" t="s">
        <v>3283</v>
      </c>
      <c r="D610" s="3379" t="s">
        <v>3257</v>
      </c>
      <c r="E610" s="3378" t="s">
        <v>70</v>
      </c>
      <c r="F610" s="3379">
        <v>105</v>
      </c>
      <c r="G610" s="3378">
        <v>70.489999999999995</v>
      </c>
      <c r="H610" s="3377" t="s">
        <v>3055</v>
      </c>
    </row>
    <row r="611" spans="1:8" ht="14.25" thickBot="1">
      <c r="A611" s="3376">
        <v>610</v>
      </c>
      <c r="B611" s="3377" t="s">
        <v>3525</v>
      </c>
      <c r="C611" s="3378" t="s">
        <v>3283</v>
      </c>
      <c r="D611" s="3379" t="s">
        <v>3260</v>
      </c>
      <c r="E611" s="3378" t="s">
        <v>70</v>
      </c>
      <c r="F611" s="3379">
        <v>201</v>
      </c>
      <c r="G611" s="3378">
        <v>67.09</v>
      </c>
      <c r="H611" s="3377" t="s">
        <v>3055</v>
      </c>
    </row>
    <row r="612" spans="1:8" ht="14.25" thickBot="1">
      <c r="A612" s="3376">
        <v>611</v>
      </c>
      <c r="B612" s="3377" t="s">
        <v>3525</v>
      </c>
      <c r="C612" s="3378" t="s">
        <v>3283</v>
      </c>
      <c r="D612" s="3379" t="s">
        <v>3260</v>
      </c>
      <c r="E612" s="3378" t="s">
        <v>70</v>
      </c>
      <c r="F612" s="3379">
        <v>202</v>
      </c>
      <c r="G612" s="3378">
        <v>70.489999999999995</v>
      </c>
      <c r="H612" s="3377" t="s">
        <v>3055</v>
      </c>
    </row>
    <row r="613" spans="1:8" ht="14.25" thickBot="1">
      <c r="A613" s="3376">
        <v>612</v>
      </c>
      <c r="B613" s="3377" t="s">
        <v>3525</v>
      </c>
      <c r="C613" s="3378" t="s">
        <v>3283</v>
      </c>
      <c r="D613" s="3379" t="s">
        <v>3260</v>
      </c>
      <c r="E613" s="3378" t="s">
        <v>70</v>
      </c>
      <c r="F613" s="3379">
        <v>203</v>
      </c>
      <c r="G613" s="3378">
        <v>70.53</v>
      </c>
      <c r="H613" s="3377" t="s">
        <v>3055</v>
      </c>
    </row>
    <row r="614" spans="1:8" ht="14.25" thickBot="1">
      <c r="A614" s="3376">
        <v>613</v>
      </c>
      <c r="B614" s="3377" t="s">
        <v>3525</v>
      </c>
      <c r="C614" s="3378" t="s">
        <v>3283</v>
      </c>
      <c r="D614" s="3379" t="s">
        <v>3260</v>
      </c>
      <c r="E614" s="3378" t="s">
        <v>70</v>
      </c>
      <c r="F614" s="3379">
        <v>205</v>
      </c>
      <c r="G614" s="3378">
        <v>70.53</v>
      </c>
      <c r="H614" s="3377" t="s">
        <v>3055</v>
      </c>
    </row>
    <row r="615" spans="1:8" ht="14.25" thickBot="1">
      <c r="A615" s="3376">
        <v>614</v>
      </c>
      <c r="B615" s="3377" t="s">
        <v>3525</v>
      </c>
      <c r="C615" s="3378" t="s">
        <v>3283</v>
      </c>
      <c r="D615" s="3379" t="s">
        <v>3260</v>
      </c>
      <c r="E615" s="3378" t="s">
        <v>70</v>
      </c>
      <c r="F615" s="3379">
        <v>206</v>
      </c>
      <c r="G615" s="3378">
        <v>70.489999999999995</v>
      </c>
      <c r="H615" s="3377" t="s">
        <v>3055</v>
      </c>
    </row>
    <row r="616" spans="1:8" ht="14.25" thickBot="1">
      <c r="A616" s="3376">
        <v>615</v>
      </c>
      <c r="B616" s="3377" t="s">
        <v>3525</v>
      </c>
      <c r="C616" s="3378" t="s">
        <v>3283</v>
      </c>
      <c r="D616" s="3379" t="s">
        <v>3261</v>
      </c>
      <c r="E616" s="3378" t="s">
        <v>70</v>
      </c>
      <c r="F616" s="3379">
        <v>301</v>
      </c>
      <c r="G616" s="3378">
        <v>67.09</v>
      </c>
      <c r="H616" s="3377" t="s">
        <v>3055</v>
      </c>
    </row>
    <row r="617" spans="1:8" ht="14.25" thickBot="1">
      <c r="A617" s="3376">
        <v>616</v>
      </c>
      <c r="B617" s="3377" t="s">
        <v>3525</v>
      </c>
      <c r="C617" s="3378" t="s">
        <v>3283</v>
      </c>
      <c r="D617" s="3379" t="s">
        <v>3261</v>
      </c>
      <c r="E617" s="3378" t="s">
        <v>70</v>
      </c>
      <c r="F617" s="3379">
        <v>302</v>
      </c>
      <c r="G617" s="3378">
        <v>70.489999999999995</v>
      </c>
      <c r="H617" s="3377" t="s">
        <v>3055</v>
      </c>
    </row>
    <row r="618" spans="1:8" ht="14.25" thickBot="1">
      <c r="A618" s="3376">
        <v>617</v>
      </c>
      <c r="B618" s="3377" t="s">
        <v>3525</v>
      </c>
      <c r="C618" s="3378" t="s">
        <v>3283</v>
      </c>
      <c r="D618" s="3379" t="s">
        <v>3261</v>
      </c>
      <c r="E618" s="3378" t="s">
        <v>70</v>
      </c>
      <c r="F618" s="3379">
        <v>303</v>
      </c>
      <c r="G618" s="3378">
        <v>70.53</v>
      </c>
      <c r="H618" s="3377" t="s">
        <v>3055</v>
      </c>
    </row>
    <row r="619" spans="1:8" ht="14.25" thickBot="1">
      <c r="A619" s="3376">
        <v>618</v>
      </c>
      <c r="B619" s="3377" t="s">
        <v>3525</v>
      </c>
      <c r="C619" s="3378" t="s">
        <v>3283</v>
      </c>
      <c r="D619" s="3379" t="s">
        <v>3261</v>
      </c>
      <c r="E619" s="3378" t="s">
        <v>70</v>
      </c>
      <c r="F619" s="3379">
        <v>305</v>
      </c>
      <c r="G619" s="3378">
        <v>70.53</v>
      </c>
      <c r="H619" s="3377" t="s">
        <v>3055</v>
      </c>
    </row>
    <row r="620" spans="1:8" ht="14.25" thickBot="1">
      <c r="A620" s="3376">
        <v>619</v>
      </c>
      <c r="B620" s="3377" t="s">
        <v>3525</v>
      </c>
      <c r="C620" s="3378" t="s">
        <v>3283</v>
      </c>
      <c r="D620" s="3379" t="s">
        <v>3261</v>
      </c>
      <c r="E620" s="3378" t="s">
        <v>70</v>
      </c>
      <c r="F620" s="3379">
        <v>306</v>
      </c>
      <c r="G620" s="3378">
        <v>70.489999999999995</v>
      </c>
      <c r="H620" s="3377" t="s">
        <v>3055</v>
      </c>
    </row>
    <row r="621" spans="1:8" ht="14.25" thickBot="1">
      <c r="A621" s="3376">
        <v>620</v>
      </c>
      <c r="B621" s="3377" t="s">
        <v>3525</v>
      </c>
      <c r="C621" s="3378" t="s">
        <v>3283</v>
      </c>
      <c r="D621" s="3379" t="s">
        <v>3261</v>
      </c>
      <c r="E621" s="3378" t="s">
        <v>70</v>
      </c>
      <c r="F621" s="3379">
        <v>307</v>
      </c>
      <c r="G621" s="3378">
        <v>67.09</v>
      </c>
      <c r="H621" s="3377" t="s">
        <v>3055</v>
      </c>
    </row>
    <row r="622" spans="1:8" ht="14.25" thickBot="1">
      <c r="A622" s="3376">
        <v>621</v>
      </c>
      <c r="B622" s="3377" t="s">
        <v>3525</v>
      </c>
      <c r="C622" s="3378" t="s">
        <v>3283</v>
      </c>
      <c r="D622" s="3379" t="s">
        <v>3262</v>
      </c>
      <c r="E622" s="3378" t="s">
        <v>70</v>
      </c>
      <c r="F622" s="3379" t="s">
        <v>3145</v>
      </c>
      <c r="G622" s="3378">
        <v>67.09</v>
      </c>
      <c r="H622" s="3377" t="s">
        <v>3055</v>
      </c>
    </row>
    <row r="623" spans="1:8" ht="14.25" thickBot="1">
      <c r="A623" s="3376">
        <v>622</v>
      </c>
      <c r="B623" s="3377" t="s">
        <v>3525</v>
      </c>
      <c r="C623" s="3378" t="s">
        <v>3283</v>
      </c>
      <c r="D623" s="3379" t="s">
        <v>3262</v>
      </c>
      <c r="E623" s="3378" t="s">
        <v>70</v>
      </c>
      <c r="F623" s="3379" t="s">
        <v>3146</v>
      </c>
      <c r="G623" s="3378">
        <v>70.489999999999995</v>
      </c>
      <c r="H623" s="3377" t="s">
        <v>3055</v>
      </c>
    </row>
    <row r="624" spans="1:8" ht="14.25" thickBot="1">
      <c r="A624" s="3376">
        <v>623</v>
      </c>
      <c r="B624" s="3377" t="s">
        <v>3525</v>
      </c>
      <c r="C624" s="3378" t="s">
        <v>3283</v>
      </c>
      <c r="D624" s="3379" t="s">
        <v>3262</v>
      </c>
      <c r="E624" s="3378" t="s">
        <v>70</v>
      </c>
      <c r="F624" s="3379" t="s">
        <v>3147</v>
      </c>
      <c r="G624" s="3378">
        <v>70.53</v>
      </c>
      <c r="H624" s="3377" t="s">
        <v>3055</v>
      </c>
    </row>
    <row r="625" spans="1:8" ht="14.25" thickBot="1">
      <c r="A625" s="3376">
        <v>624</v>
      </c>
      <c r="B625" s="3377" t="s">
        <v>3525</v>
      </c>
      <c r="C625" s="3378" t="s">
        <v>3283</v>
      </c>
      <c r="D625" s="3379" t="s">
        <v>3262</v>
      </c>
      <c r="E625" s="3378" t="s">
        <v>70</v>
      </c>
      <c r="F625" s="3379" t="s">
        <v>3148</v>
      </c>
      <c r="G625" s="3378">
        <v>70.53</v>
      </c>
      <c r="H625" s="3377" t="s">
        <v>3055</v>
      </c>
    </row>
    <row r="626" spans="1:8" ht="14.25" thickBot="1">
      <c r="A626" s="3376">
        <v>625</v>
      </c>
      <c r="B626" s="3377" t="s">
        <v>3525</v>
      </c>
      <c r="C626" s="3378" t="s">
        <v>3283</v>
      </c>
      <c r="D626" s="3379" t="s">
        <v>3262</v>
      </c>
      <c r="E626" s="3378" t="s">
        <v>70</v>
      </c>
      <c r="F626" s="3379" t="s">
        <v>3149</v>
      </c>
      <c r="G626" s="3378">
        <v>70.489999999999995</v>
      </c>
      <c r="H626" s="3377" t="s">
        <v>3055</v>
      </c>
    </row>
    <row r="627" spans="1:8" ht="14.25" thickBot="1">
      <c r="A627" s="3376">
        <v>626</v>
      </c>
      <c r="B627" s="3377" t="s">
        <v>3525</v>
      </c>
      <c r="C627" s="3378" t="s">
        <v>3283</v>
      </c>
      <c r="D627" s="3379" t="s">
        <v>3262</v>
      </c>
      <c r="E627" s="3378" t="s">
        <v>70</v>
      </c>
      <c r="F627" s="3379" t="s">
        <v>3150</v>
      </c>
      <c r="G627" s="3378">
        <v>67.09</v>
      </c>
      <c r="H627" s="3377" t="s">
        <v>3055</v>
      </c>
    </row>
    <row r="628" spans="1:8" ht="14.25" thickBot="1">
      <c r="A628" s="3376">
        <v>627</v>
      </c>
      <c r="B628" s="3377" t="s">
        <v>3525</v>
      </c>
      <c r="C628" s="3378" t="s">
        <v>3283</v>
      </c>
      <c r="D628" s="3379" t="s">
        <v>3263</v>
      </c>
      <c r="E628" s="3378" t="s">
        <v>70</v>
      </c>
      <c r="F628" s="3379">
        <v>502</v>
      </c>
      <c r="G628" s="3378">
        <v>70.489999999999995</v>
      </c>
      <c r="H628" s="3377" t="s">
        <v>3055</v>
      </c>
    </row>
    <row r="629" spans="1:8" ht="14.25" thickBot="1">
      <c r="A629" s="3376">
        <v>628</v>
      </c>
      <c r="B629" s="3377" t="s">
        <v>3525</v>
      </c>
      <c r="C629" s="3378" t="s">
        <v>3283</v>
      </c>
      <c r="D629" s="3379" t="s">
        <v>3263</v>
      </c>
      <c r="E629" s="3378" t="s">
        <v>70</v>
      </c>
      <c r="F629" s="3379">
        <v>503</v>
      </c>
      <c r="G629" s="3378">
        <v>70.53</v>
      </c>
      <c r="H629" s="3377" t="s">
        <v>3055</v>
      </c>
    </row>
    <row r="630" spans="1:8" ht="14.25" thickBot="1">
      <c r="A630" s="3376">
        <v>629</v>
      </c>
      <c r="B630" s="3377" t="s">
        <v>3525</v>
      </c>
      <c r="C630" s="3378" t="s">
        <v>3283</v>
      </c>
      <c r="D630" s="3379" t="s">
        <v>3263</v>
      </c>
      <c r="E630" s="3378" t="s">
        <v>70</v>
      </c>
      <c r="F630" s="3379">
        <v>505</v>
      </c>
      <c r="G630" s="3378">
        <v>70.53</v>
      </c>
      <c r="H630" s="3377" t="s">
        <v>3055</v>
      </c>
    </row>
    <row r="631" spans="1:8" ht="14.25" thickBot="1">
      <c r="A631" s="3376">
        <v>630</v>
      </c>
      <c r="B631" s="3377" t="s">
        <v>3525</v>
      </c>
      <c r="C631" s="3378" t="s">
        <v>3283</v>
      </c>
      <c r="D631" s="3379" t="s">
        <v>3263</v>
      </c>
      <c r="E631" s="3378" t="s">
        <v>70</v>
      </c>
      <c r="F631" s="3379">
        <v>506</v>
      </c>
      <c r="G631" s="3378">
        <v>70.489999999999995</v>
      </c>
      <c r="H631" s="3377" t="s">
        <v>3055</v>
      </c>
    </row>
    <row r="632" spans="1:8" ht="14.25" thickBot="1">
      <c r="A632" s="3376">
        <v>631</v>
      </c>
      <c r="B632" s="3377" t="s">
        <v>3525</v>
      </c>
      <c r="C632" s="3378" t="s">
        <v>3283</v>
      </c>
      <c r="D632" s="3379" t="s">
        <v>3263</v>
      </c>
      <c r="E632" s="3378" t="s">
        <v>70</v>
      </c>
      <c r="F632" s="3379">
        <v>507</v>
      </c>
      <c r="G632" s="3378">
        <v>67.09</v>
      </c>
      <c r="H632" s="3377" t="s">
        <v>3055</v>
      </c>
    </row>
    <row r="633" spans="1:8" ht="14.25" thickBot="1">
      <c r="A633" s="3376">
        <v>632</v>
      </c>
      <c r="B633" s="3377" t="s">
        <v>3525</v>
      </c>
      <c r="C633" s="3378" t="s">
        <v>3283</v>
      </c>
      <c r="D633" s="3379" t="s">
        <v>3264</v>
      </c>
      <c r="E633" s="3378" t="s">
        <v>70</v>
      </c>
      <c r="F633" s="3379">
        <v>601</v>
      </c>
      <c r="G633" s="3378">
        <v>67.09</v>
      </c>
      <c r="H633" s="3377" t="s">
        <v>3055</v>
      </c>
    </row>
    <row r="634" spans="1:8" ht="14.25" thickBot="1">
      <c r="A634" s="3376">
        <v>633</v>
      </c>
      <c r="B634" s="3377" t="s">
        <v>3525</v>
      </c>
      <c r="C634" s="3378" t="s">
        <v>3283</v>
      </c>
      <c r="D634" s="3379" t="s">
        <v>3264</v>
      </c>
      <c r="E634" s="3378" t="s">
        <v>70</v>
      </c>
      <c r="F634" s="3379">
        <v>602</v>
      </c>
      <c r="G634" s="3378">
        <v>70.489999999999995</v>
      </c>
      <c r="H634" s="3377" t="s">
        <v>3055</v>
      </c>
    </row>
    <row r="635" spans="1:8" ht="14.25" thickBot="1">
      <c r="A635" s="3376">
        <v>634</v>
      </c>
      <c r="B635" s="3377" t="s">
        <v>3525</v>
      </c>
      <c r="C635" s="3378" t="s">
        <v>3283</v>
      </c>
      <c r="D635" s="3379" t="s">
        <v>3264</v>
      </c>
      <c r="E635" s="3378" t="s">
        <v>70</v>
      </c>
      <c r="F635" s="3379">
        <v>603</v>
      </c>
      <c r="G635" s="3378">
        <v>70.53</v>
      </c>
      <c r="H635" s="3377" t="s">
        <v>3055</v>
      </c>
    </row>
    <row r="636" spans="1:8" ht="14.25" thickBot="1">
      <c r="A636" s="3376">
        <v>635</v>
      </c>
      <c r="B636" s="3377" t="s">
        <v>3525</v>
      </c>
      <c r="C636" s="3378" t="s">
        <v>3283</v>
      </c>
      <c r="D636" s="3379" t="s">
        <v>3264</v>
      </c>
      <c r="E636" s="3378" t="s">
        <v>70</v>
      </c>
      <c r="F636" s="3379">
        <v>605</v>
      </c>
      <c r="G636" s="3378">
        <v>70.53</v>
      </c>
      <c r="H636" s="3377" t="s">
        <v>3055</v>
      </c>
    </row>
    <row r="637" spans="1:8" ht="14.25" thickBot="1">
      <c r="A637" s="3376">
        <v>636</v>
      </c>
      <c r="B637" s="3377" t="s">
        <v>3525</v>
      </c>
      <c r="C637" s="3378" t="s">
        <v>3283</v>
      </c>
      <c r="D637" s="3379" t="s">
        <v>3264</v>
      </c>
      <c r="E637" s="3378" t="s">
        <v>70</v>
      </c>
      <c r="F637" s="3379">
        <v>606</v>
      </c>
      <c r="G637" s="3378">
        <v>70.489999999999995</v>
      </c>
      <c r="H637" s="3377" t="s">
        <v>3055</v>
      </c>
    </row>
    <row r="638" spans="1:8" ht="14.25" thickBot="1">
      <c r="A638" s="3376">
        <v>637</v>
      </c>
      <c r="B638" s="3377" t="s">
        <v>3525</v>
      </c>
      <c r="C638" s="3378" t="s">
        <v>3283</v>
      </c>
      <c r="D638" s="3379" t="s">
        <v>3264</v>
      </c>
      <c r="E638" s="3378" t="s">
        <v>70</v>
      </c>
      <c r="F638" s="3379">
        <v>607</v>
      </c>
      <c r="G638" s="3378">
        <v>67.09</v>
      </c>
      <c r="H638" s="3377" t="s">
        <v>3055</v>
      </c>
    </row>
    <row r="639" spans="1:8" ht="14.25" thickBot="1">
      <c r="A639" s="3376">
        <v>638</v>
      </c>
      <c r="B639" s="3377" t="s">
        <v>3525</v>
      </c>
      <c r="C639" s="3378" t="s">
        <v>3284</v>
      </c>
      <c r="D639" s="3378" t="s">
        <v>3260</v>
      </c>
      <c r="E639" s="3378" t="s">
        <v>70</v>
      </c>
      <c r="F639" s="3379">
        <v>201</v>
      </c>
      <c r="G639" s="3378">
        <v>69.27</v>
      </c>
      <c r="H639" s="3377" t="s">
        <v>3055</v>
      </c>
    </row>
    <row r="640" spans="1:8" ht="14.25" thickBot="1">
      <c r="A640" s="3376">
        <v>639</v>
      </c>
      <c r="B640" s="3377" t="s">
        <v>3525</v>
      </c>
      <c r="C640" s="3378" t="s">
        <v>3284</v>
      </c>
      <c r="D640" s="3378" t="s">
        <v>3260</v>
      </c>
      <c r="E640" s="3378" t="s">
        <v>70</v>
      </c>
      <c r="F640" s="3379">
        <v>206</v>
      </c>
      <c r="G640" s="3378">
        <v>70.86</v>
      </c>
      <c r="H640" s="3377" t="s">
        <v>3055</v>
      </c>
    </row>
    <row r="641" spans="1:8" ht="14.25" thickBot="1">
      <c r="A641" s="3376">
        <v>640</v>
      </c>
      <c r="B641" s="3377" t="s">
        <v>3525</v>
      </c>
      <c r="C641" s="3378" t="s">
        <v>3284</v>
      </c>
      <c r="D641" s="3378" t="s">
        <v>3261</v>
      </c>
      <c r="E641" s="3378" t="s">
        <v>70</v>
      </c>
      <c r="F641" s="3379">
        <v>301</v>
      </c>
      <c r="G641" s="3378">
        <v>69.27</v>
      </c>
      <c r="H641" s="3377" t="s">
        <v>3055</v>
      </c>
    </row>
    <row r="642" spans="1:8" ht="14.25" thickBot="1">
      <c r="A642" s="3376">
        <v>641</v>
      </c>
      <c r="B642" s="3377" t="s">
        <v>3525</v>
      </c>
      <c r="C642" s="3378" t="s">
        <v>3284</v>
      </c>
      <c r="D642" s="3378" t="s">
        <v>3261</v>
      </c>
      <c r="E642" s="3378" t="s">
        <v>70</v>
      </c>
      <c r="F642" s="3379">
        <v>302</v>
      </c>
      <c r="G642" s="3378">
        <v>70.819999999999993</v>
      </c>
      <c r="H642" s="3377" t="s">
        <v>3055</v>
      </c>
    </row>
    <row r="643" spans="1:8" ht="14.25" thickBot="1">
      <c r="A643" s="3376">
        <v>642</v>
      </c>
      <c r="B643" s="3377" t="s">
        <v>3525</v>
      </c>
      <c r="C643" s="3378" t="s">
        <v>3284</v>
      </c>
      <c r="D643" s="3378" t="s">
        <v>3261</v>
      </c>
      <c r="E643" s="3378" t="s">
        <v>70</v>
      </c>
      <c r="F643" s="3379">
        <v>303</v>
      </c>
      <c r="G643" s="3378">
        <v>70.86</v>
      </c>
      <c r="H643" s="3377" t="s">
        <v>3055</v>
      </c>
    </row>
    <row r="644" spans="1:8" ht="14.25" thickBot="1">
      <c r="A644" s="3376">
        <v>643</v>
      </c>
      <c r="B644" s="3377" t="s">
        <v>3525</v>
      </c>
      <c r="C644" s="3378" t="s">
        <v>3284</v>
      </c>
      <c r="D644" s="3378" t="s">
        <v>3261</v>
      </c>
      <c r="E644" s="3378" t="s">
        <v>70</v>
      </c>
      <c r="F644" s="3379">
        <v>306</v>
      </c>
      <c r="G644" s="3378">
        <v>70.86</v>
      </c>
      <c r="H644" s="3377" t="s">
        <v>3055</v>
      </c>
    </row>
    <row r="645" spans="1:8" ht="14.25" thickBot="1">
      <c r="A645" s="3376">
        <v>644</v>
      </c>
      <c r="B645" s="3377" t="s">
        <v>3525</v>
      </c>
      <c r="C645" s="3378" t="s">
        <v>3284</v>
      </c>
      <c r="D645" s="3378" t="s">
        <v>3261</v>
      </c>
      <c r="E645" s="3378" t="s">
        <v>70</v>
      </c>
      <c r="F645" s="3379">
        <v>308</v>
      </c>
      <c r="G645" s="3378">
        <v>65.739999999999995</v>
      </c>
      <c r="H645" s="3377" t="s">
        <v>3055</v>
      </c>
    </row>
    <row r="646" spans="1:8" ht="14.25" thickBot="1">
      <c r="A646" s="3376">
        <v>645</v>
      </c>
      <c r="B646" s="3377" t="s">
        <v>3525</v>
      </c>
      <c r="C646" s="3378" t="s">
        <v>3284</v>
      </c>
      <c r="D646" s="3378" t="s">
        <v>3262</v>
      </c>
      <c r="E646" s="3378" t="s">
        <v>70</v>
      </c>
      <c r="F646" s="3379" t="s">
        <v>3145</v>
      </c>
      <c r="G646" s="3378">
        <v>69.27</v>
      </c>
      <c r="H646" s="3377" t="s">
        <v>3055</v>
      </c>
    </row>
    <row r="647" spans="1:8" ht="14.25" thickBot="1">
      <c r="A647" s="3376">
        <v>646</v>
      </c>
      <c r="B647" s="3377" t="s">
        <v>3525</v>
      </c>
      <c r="C647" s="3378" t="s">
        <v>3284</v>
      </c>
      <c r="D647" s="3378" t="s">
        <v>3262</v>
      </c>
      <c r="E647" s="3378" t="s">
        <v>70</v>
      </c>
      <c r="F647" s="3379" t="s">
        <v>3146</v>
      </c>
      <c r="G647" s="3378">
        <v>70.819999999999993</v>
      </c>
      <c r="H647" s="3377" t="s">
        <v>3055</v>
      </c>
    </row>
    <row r="648" spans="1:8" ht="14.25" thickBot="1">
      <c r="A648" s="3376">
        <v>647</v>
      </c>
      <c r="B648" s="3377" t="s">
        <v>3525</v>
      </c>
      <c r="C648" s="3378" t="s">
        <v>3284</v>
      </c>
      <c r="D648" s="3378" t="s">
        <v>3262</v>
      </c>
      <c r="E648" s="3378" t="s">
        <v>70</v>
      </c>
      <c r="F648" s="3379" t="s">
        <v>3148</v>
      </c>
      <c r="G648" s="3378">
        <v>70.86</v>
      </c>
      <c r="H648" s="3377" t="s">
        <v>3055</v>
      </c>
    </row>
    <row r="649" spans="1:8" ht="14.25" thickBot="1">
      <c r="A649" s="3376">
        <v>648</v>
      </c>
      <c r="B649" s="3377" t="s">
        <v>3525</v>
      </c>
      <c r="C649" s="3378" t="s">
        <v>3284</v>
      </c>
      <c r="D649" s="3378" t="s">
        <v>3263</v>
      </c>
      <c r="E649" s="3378" t="s">
        <v>70</v>
      </c>
      <c r="F649" s="3379">
        <v>502</v>
      </c>
      <c r="G649" s="3378">
        <v>70.819999999999993</v>
      </c>
      <c r="H649" s="3377" t="s">
        <v>3055</v>
      </c>
    </row>
    <row r="650" spans="1:8" ht="14.25" thickBot="1">
      <c r="A650" s="3376">
        <v>649</v>
      </c>
      <c r="B650" s="3377" t="s">
        <v>3525</v>
      </c>
      <c r="C650" s="3378" t="s">
        <v>3284</v>
      </c>
      <c r="D650" s="3378" t="s">
        <v>3263</v>
      </c>
      <c r="E650" s="3378" t="s">
        <v>70</v>
      </c>
      <c r="F650" s="3379">
        <v>503</v>
      </c>
      <c r="G650" s="3378">
        <v>70.86</v>
      </c>
      <c r="H650" s="3377" t="s">
        <v>3055</v>
      </c>
    </row>
    <row r="651" spans="1:8" ht="14.25" thickBot="1">
      <c r="A651" s="3376">
        <v>650</v>
      </c>
      <c r="B651" s="3377" t="s">
        <v>3525</v>
      </c>
      <c r="C651" s="3378" t="s">
        <v>3284</v>
      </c>
      <c r="D651" s="3378" t="s">
        <v>3263</v>
      </c>
      <c r="E651" s="3378" t="s">
        <v>70</v>
      </c>
      <c r="F651" s="3379">
        <v>505</v>
      </c>
      <c r="G651" s="3378">
        <v>70.86</v>
      </c>
      <c r="H651" s="3377" t="s">
        <v>3055</v>
      </c>
    </row>
    <row r="652" spans="1:8" ht="14.25" thickBot="1">
      <c r="A652" s="3376">
        <v>651</v>
      </c>
      <c r="B652" s="3377" t="s">
        <v>3525</v>
      </c>
      <c r="C652" s="3378" t="s">
        <v>3284</v>
      </c>
      <c r="D652" s="3378" t="s">
        <v>3263</v>
      </c>
      <c r="E652" s="3378" t="s">
        <v>70</v>
      </c>
      <c r="F652" s="3379">
        <v>506</v>
      </c>
      <c r="G652" s="3378">
        <v>70.86</v>
      </c>
      <c r="H652" s="3377" t="s">
        <v>3055</v>
      </c>
    </row>
    <row r="653" spans="1:8" ht="14.25" thickBot="1">
      <c r="A653" s="3376">
        <v>652</v>
      </c>
      <c r="B653" s="3377" t="s">
        <v>3525</v>
      </c>
      <c r="C653" s="3378" t="s">
        <v>3284</v>
      </c>
      <c r="D653" s="3378" t="s">
        <v>3263</v>
      </c>
      <c r="E653" s="3378" t="s">
        <v>70</v>
      </c>
      <c r="F653" s="3379">
        <v>507</v>
      </c>
      <c r="G653" s="3378">
        <v>69.459999999999994</v>
      </c>
      <c r="H653" s="3377" t="s">
        <v>3055</v>
      </c>
    </row>
    <row r="654" spans="1:8" ht="14.25" thickBot="1">
      <c r="A654" s="3376">
        <v>653</v>
      </c>
      <c r="B654" s="3377" t="s">
        <v>3524</v>
      </c>
      <c r="C654" s="3378" t="s">
        <v>3285</v>
      </c>
      <c r="D654" s="3378" t="s">
        <v>3257</v>
      </c>
      <c r="E654" s="3378" t="s">
        <v>3258</v>
      </c>
      <c r="F654" s="3378">
        <v>101</v>
      </c>
      <c r="G654" s="3378">
        <v>66.28</v>
      </c>
      <c r="H654" s="3377" t="s">
        <v>3055</v>
      </c>
    </row>
    <row r="655" spans="1:8" ht="14.25" thickBot="1">
      <c r="A655" s="3376">
        <v>654</v>
      </c>
      <c r="B655" s="3377" t="s">
        <v>3524</v>
      </c>
      <c r="C655" s="3378" t="s">
        <v>3285</v>
      </c>
      <c r="D655" s="3378" t="s">
        <v>3257</v>
      </c>
      <c r="E655" s="3378" t="s">
        <v>3258</v>
      </c>
      <c r="F655" s="3378">
        <v>102</v>
      </c>
      <c r="G655" s="3378">
        <v>69.77</v>
      </c>
      <c r="H655" s="3377" t="s">
        <v>3055</v>
      </c>
    </row>
    <row r="656" spans="1:8" ht="14.25" thickBot="1">
      <c r="A656" s="3376">
        <v>655</v>
      </c>
      <c r="B656" s="3377" t="s">
        <v>3524</v>
      </c>
      <c r="C656" s="3378" t="s">
        <v>3285</v>
      </c>
      <c r="D656" s="3378" t="s">
        <v>3257</v>
      </c>
      <c r="E656" s="3378" t="s">
        <v>3258</v>
      </c>
      <c r="F656" s="3378">
        <v>103</v>
      </c>
      <c r="G656" s="3378">
        <v>69.94</v>
      </c>
      <c r="H656" s="3377" t="s">
        <v>3055</v>
      </c>
    </row>
    <row r="657" spans="1:8" ht="14.25" thickBot="1">
      <c r="A657" s="3376">
        <v>656</v>
      </c>
      <c r="B657" s="3377" t="s">
        <v>3524</v>
      </c>
      <c r="C657" s="3378" t="s">
        <v>3285</v>
      </c>
      <c r="D657" s="3378" t="s">
        <v>3257</v>
      </c>
      <c r="E657" s="3378" t="s">
        <v>3258</v>
      </c>
      <c r="F657" s="3378">
        <v>105</v>
      </c>
      <c r="G657" s="3378">
        <v>69.94</v>
      </c>
      <c r="H657" s="3377" t="s">
        <v>3055</v>
      </c>
    </row>
    <row r="658" spans="1:8" ht="14.25" thickBot="1">
      <c r="A658" s="3376">
        <v>657</v>
      </c>
      <c r="B658" s="3377" t="s">
        <v>3524</v>
      </c>
      <c r="C658" s="3378" t="s">
        <v>3285</v>
      </c>
      <c r="D658" s="3378" t="s">
        <v>3257</v>
      </c>
      <c r="E658" s="3378" t="s">
        <v>3258</v>
      </c>
      <c r="F658" s="3378">
        <v>107</v>
      </c>
      <c r="G658" s="3378">
        <v>66.28</v>
      </c>
      <c r="H658" s="3377" t="s">
        <v>3055</v>
      </c>
    </row>
    <row r="659" spans="1:8" ht="14.25" thickBot="1">
      <c r="A659" s="3376">
        <v>658</v>
      </c>
      <c r="B659" s="3377" t="s">
        <v>3524</v>
      </c>
      <c r="C659" s="3378" t="s">
        <v>3285</v>
      </c>
      <c r="D659" s="3378" t="s">
        <v>3257</v>
      </c>
      <c r="E659" s="3378" t="s">
        <v>3259</v>
      </c>
      <c r="F659" s="3378">
        <v>102</v>
      </c>
      <c r="G659" s="3378">
        <v>69.77</v>
      </c>
      <c r="H659" s="3377" t="s">
        <v>3055</v>
      </c>
    </row>
    <row r="660" spans="1:8" ht="14.25" thickBot="1">
      <c r="A660" s="3376">
        <v>659</v>
      </c>
      <c r="B660" s="3377" t="s">
        <v>3524</v>
      </c>
      <c r="C660" s="3378" t="s">
        <v>3285</v>
      </c>
      <c r="D660" s="3378" t="s">
        <v>3257</v>
      </c>
      <c r="E660" s="3378" t="s">
        <v>3259</v>
      </c>
      <c r="F660" s="3378">
        <v>103</v>
      </c>
      <c r="G660" s="3378">
        <v>69.94</v>
      </c>
      <c r="H660" s="3377" t="s">
        <v>3055</v>
      </c>
    </row>
    <row r="661" spans="1:8" ht="14.25" thickBot="1">
      <c r="A661" s="3376">
        <v>660</v>
      </c>
      <c r="B661" s="3377" t="s">
        <v>3524</v>
      </c>
      <c r="C661" s="3378" t="s">
        <v>3285</v>
      </c>
      <c r="D661" s="3378" t="s">
        <v>3257</v>
      </c>
      <c r="E661" s="3378" t="s">
        <v>3259</v>
      </c>
      <c r="F661" s="3378">
        <v>105</v>
      </c>
      <c r="G661" s="3378">
        <v>69.94</v>
      </c>
      <c r="H661" s="3377" t="s">
        <v>3055</v>
      </c>
    </row>
    <row r="662" spans="1:8" ht="14.25" thickBot="1">
      <c r="A662" s="3376">
        <v>661</v>
      </c>
      <c r="B662" s="3377" t="s">
        <v>3524</v>
      </c>
      <c r="C662" s="3378" t="s">
        <v>3285</v>
      </c>
      <c r="D662" s="3378" t="s">
        <v>3257</v>
      </c>
      <c r="E662" s="3378" t="s">
        <v>3259</v>
      </c>
      <c r="F662" s="3378">
        <v>106</v>
      </c>
      <c r="G662" s="3378">
        <v>69.77</v>
      </c>
      <c r="H662" s="3377" t="s">
        <v>3055</v>
      </c>
    </row>
    <row r="663" spans="1:8" ht="14.25" thickBot="1">
      <c r="A663" s="3376">
        <v>662</v>
      </c>
      <c r="B663" s="3377" t="s">
        <v>3524</v>
      </c>
      <c r="C663" s="3378" t="s">
        <v>3285</v>
      </c>
      <c r="D663" s="3378" t="s">
        <v>3257</v>
      </c>
      <c r="E663" s="3378" t="s">
        <v>3259</v>
      </c>
      <c r="F663" s="3378">
        <v>107</v>
      </c>
      <c r="G663" s="3378">
        <v>66.28</v>
      </c>
      <c r="H663" s="3377" t="s">
        <v>3055</v>
      </c>
    </row>
    <row r="664" spans="1:8" ht="14.25" thickBot="1">
      <c r="A664" s="3376">
        <v>663</v>
      </c>
      <c r="B664" s="3377" t="s">
        <v>3524</v>
      </c>
      <c r="C664" s="3378" t="s">
        <v>3285</v>
      </c>
      <c r="D664" s="3378" t="s">
        <v>3260</v>
      </c>
      <c r="E664" s="3378" t="s">
        <v>3258</v>
      </c>
      <c r="F664" s="3378">
        <v>206</v>
      </c>
      <c r="G664" s="3378">
        <v>69.77</v>
      </c>
      <c r="H664" s="3377" t="s">
        <v>3055</v>
      </c>
    </row>
    <row r="665" spans="1:8" ht="14.25" thickBot="1">
      <c r="A665" s="3376">
        <v>664</v>
      </c>
      <c r="B665" s="3377" t="s">
        <v>3524</v>
      </c>
      <c r="C665" s="3378" t="s">
        <v>3285</v>
      </c>
      <c r="D665" s="3378" t="s">
        <v>3260</v>
      </c>
      <c r="E665" s="3378" t="s">
        <v>3258</v>
      </c>
      <c r="F665" s="3378">
        <v>207</v>
      </c>
      <c r="G665" s="3378">
        <v>66.28</v>
      </c>
      <c r="H665" s="3377" t="s">
        <v>3055</v>
      </c>
    </row>
    <row r="666" spans="1:8" ht="14.25" thickBot="1">
      <c r="A666" s="3376">
        <v>665</v>
      </c>
      <c r="B666" s="3377" t="s">
        <v>3524</v>
      </c>
      <c r="C666" s="3378" t="s">
        <v>3285</v>
      </c>
      <c r="D666" s="3378" t="s">
        <v>3260</v>
      </c>
      <c r="E666" s="3378" t="s">
        <v>3259</v>
      </c>
      <c r="F666" s="3378">
        <v>202</v>
      </c>
      <c r="G666" s="3378">
        <v>69.77</v>
      </c>
      <c r="H666" s="3377" t="s">
        <v>3055</v>
      </c>
    </row>
    <row r="667" spans="1:8" ht="14.25" thickBot="1">
      <c r="A667" s="3376">
        <v>666</v>
      </c>
      <c r="B667" s="3377" t="s">
        <v>3524</v>
      </c>
      <c r="C667" s="3378" t="s">
        <v>3285</v>
      </c>
      <c r="D667" s="3378" t="s">
        <v>3260</v>
      </c>
      <c r="E667" s="3378" t="s">
        <v>3259</v>
      </c>
      <c r="F667" s="3378">
        <v>205</v>
      </c>
      <c r="G667" s="3378">
        <v>69.94</v>
      </c>
      <c r="H667" s="3377" t="s">
        <v>3055</v>
      </c>
    </row>
    <row r="668" spans="1:8" ht="14.25" thickBot="1">
      <c r="A668" s="3376">
        <v>667</v>
      </c>
      <c r="B668" s="3377" t="s">
        <v>3524</v>
      </c>
      <c r="C668" s="3378" t="s">
        <v>3285</v>
      </c>
      <c r="D668" s="3378" t="s">
        <v>3260</v>
      </c>
      <c r="E668" s="3378" t="s">
        <v>3259</v>
      </c>
      <c r="F668" s="3378">
        <v>206</v>
      </c>
      <c r="G668" s="3378">
        <v>69.77</v>
      </c>
      <c r="H668" s="3377" t="s">
        <v>3055</v>
      </c>
    </row>
    <row r="669" spans="1:8" ht="14.25" thickBot="1">
      <c r="A669" s="3376">
        <v>668</v>
      </c>
      <c r="B669" s="3377" t="s">
        <v>3524</v>
      </c>
      <c r="C669" s="3378" t="s">
        <v>3285</v>
      </c>
      <c r="D669" s="3378" t="s">
        <v>3260</v>
      </c>
      <c r="E669" s="3378" t="s">
        <v>3259</v>
      </c>
      <c r="F669" s="3378">
        <v>207</v>
      </c>
      <c r="G669" s="3378">
        <v>66.28</v>
      </c>
      <c r="H669" s="3377" t="s">
        <v>3055</v>
      </c>
    </row>
    <row r="670" spans="1:8" ht="14.25" thickBot="1">
      <c r="A670" s="3376">
        <v>669</v>
      </c>
      <c r="B670" s="3377" t="s">
        <v>3524</v>
      </c>
      <c r="C670" s="3378" t="s">
        <v>3285</v>
      </c>
      <c r="D670" s="3378" t="s">
        <v>3261</v>
      </c>
      <c r="E670" s="3378" t="s">
        <v>3259</v>
      </c>
      <c r="F670" s="3378">
        <v>301</v>
      </c>
      <c r="G670" s="3378">
        <v>66.28</v>
      </c>
      <c r="H670" s="3377" t="s">
        <v>3055</v>
      </c>
    </row>
    <row r="671" spans="1:8" ht="14.25" thickBot="1">
      <c r="A671" s="3376">
        <v>670</v>
      </c>
      <c r="B671" s="3377" t="s">
        <v>3524</v>
      </c>
      <c r="C671" s="3378" t="s">
        <v>3285</v>
      </c>
      <c r="D671" s="3378" t="s">
        <v>3261</v>
      </c>
      <c r="E671" s="3378" t="s">
        <v>3259</v>
      </c>
      <c r="F671" s="3378">
        <v>302</v>
      </c>
      <c r="G671" s="3378">
        <v>69.77</v>
      </c>
      <c r="H671" s="3377" t="s">
        <v>3055</v>
      </c>
    </row>
    <row r="672" spans="1:8" ht="14.25" thickBot="1">
      <c r="A672" s="3376">
        <v>671</v>
      </c>
      <c r="B672" s="3377" t="s">
        <v>3524</v>
      </c>
      <c r="C672" s="3378" t="s">
        <v>3285</v>
      </c>
      <c r="D672" s="3378" t="s">
        <v>3261</v>
      </c>
      <c r="E672" s="3378" t="s">
        <v>3259</v>
      </c>
      <c r="F672" s="3378">
        <v>307</v>
      </c>
      <c r="G672" s="3378">
        <v>66.28</v>
      </c>
      <c r="H672" s="3377" t="s">
        <v>3055</v>
      </c>
    </row>
    <row r="673" spans="1:8" ht="14.25" thickBot="1">
      <c r="A673" s="3376">
        <v>672</v>
      </c>
      <c r="B673" s="3377" t="s">
        <v>3524</v>
      </c>
      <c r="C673" s="3378" t="s">
        <v>3285</v>
      </c>
      <c r="D673" s="3378" t="s">
        <v>3262</v>
      </c>
      <c r="E673" s="3378" t="s">
        <v>3258</v>
      </c>
      <c r="F673" s="3378" t="s">
        <v>3145</v>
      </c>
      <c r="G673" s="3378">
        <v>66.28</v>
      </c>
      <c r="H673" s="3377" t="s">
        <v>3055</v>
      </c>
    </row>
    <row r="674" spans="1:8" ht="14.25" thickBot="1">
      <c r="A674" s="3376">
        <v>673</v>
      </c>
      <c r="B674" s="3377" t="s">
        <v>3524</v>
      </c>
      <c r="C674" s="3378" t="s">
        <v>3285</v>
      </c>
      <c r="D674" s="3378" t="s">
        <v>3262</v>
      </c>
      <c r="E674" s="3378" t="s">
        <v>3258</v>
      </c>
      <c r="F674" s="3378" t="s">
        <v>3150</v>
      </c>
      <c r="G674" s="3378">
        <v>66.28</v>
      </c>
      <c r="H674" s="3377" t="s">
        <v>3055</v>
      </c>
    </row>
    <row r="675" spans="1:8" ht="14.25" thickBot="1">
      <c r="A675" s="3376">
        <v>674</v>
      </c>
      <c r="B675" s="3377" t="s">
        <v>3524</v>
      </c>
      <c r="C675" s="3378" t="s">
        <v>3285</v>
      </c>
      <c r="D675" s="3378" t="s">
        <v>3262</v>
      </c>
      <c r="E675" s="3378" t="s">
        <v>3259</v>
      </c>
      <c r="F675" s="3378" t="s">
        <v>3145</v>
      </c>
      <c r="G675" s="3378">
        <v>66.28</v>
      </c>
      <c r="H675" s="3377" t="s">
        <v>3055</v>
      </c>
    </row>
    <row r="676" spans="1:8" ht="14.25" thickBot="1">
      <c r="A676" s="3376">
        <v>675</v>
      </c>
      <c r="B676" s="3377" t="s">
        <v>3524</v>
      </c>
      <c r="C676" s="3378" t="s">
        <v>3285</v>
      </c>
      <c r="D676" s="3378" t="s">
        <v>3262</v>
      </c>
      <c r="E676" s="3378" t="s">
        <v>3259</v>
      </c>
      <c r="F676" s="3378" t="s">
        <v>3147</v>
      </c>
      <c r="G676" s="3378">
        <v>69.94</v>
      </c>
      <c r="H676" s="3377" t="s">
        <v>3055</v>
      </c>
    </row>
    <row r="677" spans="1:8" ht="14.25" thickBot="1">
      <c r="A677" s="3376">
        <v>676</v>
      </c>
      <c r="B677" s="3377" t="s">
        <v>3524</v>
      </c>
      <c r="C677" s="3378" t="s">
        <v>3285</v>
      </c>
      <c r="D677" s="3378" t="s">
        <v>3262</v>
      </c>
      <c r="E677" s="3378" t="s">
        <v>3259</v>
      </c>
      <c r="F677" s="3378" t="s">
        <v>3148</v>
      </c>
      <c r="G677" s="3378">
        <v>69.94</v>
      </c>
      <c r="H677" s="3377" t="s">
        <v>3055</v>
      </c>
    </row>
    <row r="678" spans="1:8" ht="14.25" thickBot="1">
      <c r="A678" s="3376">
        <v>677</v>
      </c>
      <c r="B678" s="3377" t="s">
        <v>3524</v>
      </c>
      <c r="C678" s="3378" t="s">
        <v>3285</v>
      </c>
      <c r="D678" s="3378" t="s">
        <v>3262</v>
      </c>
      <c r="E678" s="3378" t="s">
        <v>3259</v>
      </c>
      <c r="F678" s="3378" t="s">
        <v>3149</v>
      </c>
      <c r="G678" s="3378">
        <v>69.77</v>
      </c>
      <c r="H678" s="3377" t="s">
        <v>3055</v>
      </c>
    </row>
    <row r="679" spans="1:8" ht="14.25" thickBot="1">
      <c r="A679" s="3376">
        <v>678</v>
      </c>
      <c r="B679" s="3377" t="s">
        <v>3524</v>
      </c>
      <c r="C679" s="3378" t="s">
        <v>3285</v>
      </c>
      <c r="D679" s="3378" t="s">
        <v>3262</v>
      </c>
      <c r="E679" s="3378" t="s">
        <v>3259</v>
      </c>
      <c r="F679" s="3378" t="s">
        <v>3150</v>
      </c>
      <c r="G679" s="3378">
        <v>66.28</v>
      </c>
      <c r="H679" s="3377" t="s">
        <v>3055</v>
      </c>
    </row>
    <row r="680" spans="1:8" ht="14.25" thickBot="1">
      <c r="A680" s="3376">
        <v>679</v>
      </c>
      <c r="B680" s="3377" t="s">
        <v>3524</v>
      </c>
      <c r="C680" s="3378" t="s">
        <v>3285</v>
      </c>
      <c r="D680" s="3378" t="s">
        <v>3263</v>
      </c>
      <c r="E680" s="3378" t="s">
        <v>3258</v>
      </c>
      <c r="F680" s="3378">
        <v>506</v>
      </c>
      <c r="G680" s="3378">
        <v>69.77</v>
      </c>
      <c r="H680" s="3377" t="s">
        <v>3055</v>
      </c>
    </row>
    <row r="681" spans="1:8" ht="14.25" thickBot="1">
      <c r="A681" s="3376">
        <v>680</v>
      </c>
      <c r="B681" s="3377" t="s">
        <v>3524</v>
      </c>
      <c r="C681" s="3378" t="s">
        <v>3285</v>
      </c>
      <c r="D681" s="3378" t="s">
        <v>3263</v>
      </c>
      <c r="E681" s="3378" t="s">
        <v>3258</v>
      </c>
      <c r="F681" s="3378">
        <v>507</v>
      </c>
      <c r="G681" s="3378">
        <v>66.28</v>
      </c>
      <c r="H681" s="3377" t="s">
        <v>3055</v>
      </c>
    </row>
    <row r="682" spans="1:8" ht="14.25" thickBot="1">
      <c r="A682" s="3376">
        <v>681</v>
      </c>
      <c r="B682" s="3377" t="s">
        <v>3524</v>
      </c>
      <c r="C682" s="3378" t="s">
        <v>3285</v>
      </c>
      <c r="D682" s="3378" t="s">
        <v>3263</v>
      </c>
      <c r="E682" s="3378" t="s">
        <v>3259</v>
      </c>
      <c r="F682" s="3378">
        <v>507</v>
      </c>
      <c r="G682" s="3378">
        <v>66.28</v>
      </c>
      <c r="H682" s="3377" t="s">
        <v>3055</v>
      </c>
    </row>
    <row r="683" spans="1:8" ht="14.25" thickBot="1">
      <c r="A683" s="3376">
        <v>682</v>
      </c>
      <c r="B683" s="3377" t="s">
        <v>3524</v>
      </c>
      <c r="C683" s="3378" t="s">
        <v>3285</v>
      </c>
      <c r="D683" s="3378" t="s">
        <v>3264</v>
      </c>
      <c r="E683" s="3378" t="s">
        <v>3258</v>
      </c>
      <c r="F683" s="3378">
        <v>602</v>
      </c>
      <c r="G683" s="3378">
        <v>69.77</v>
      </c>
      <c r="H683" s="3377" t="s">
        <v>3055</v>
      </c>
    </row>
    <row r="684" spans="1:8" ht="14.25" thickBot="1">
      <c r="A684" s="3376">
        <v>683</v>
      </c>
      <c r="B684" s="3377" t="s">
        <v>3524</v>
      </c>
      <c r="C684" s="3378" t="s">
        <v>3285</v>
      </c>
      <c r="D684" s="3378" t="s">
        <v>3264</v>
      </c>
      <c r="E684" s="3378" t="s">
        <v>3258</v>
      </c>
      <c r="F684" s="3378">
        <v>603</v>
      </c>
      <c r="G684" s="3378">
        <v>69.94</v>
      </c>
      <c r="H684" s="3377" t="s">
        <v>3055</v>
      </c>
    </row>
    <row r="685" spans="1:8" ht="14.25" thickBot="1">
      <c r="A685" s="3376">
        <v>684</v>
      </c>
      <c r="B685" s="3377" t="s">
        <v>3524</v>
      </c>
      <c r="C685" s="3378" t="s">
        <v>3285</v>
      </c>
      <c r="D685" s="3378" t="s">
        <v>3264</v>
      </c>
      <c r="E685" s="3378" t="s">
        <v>3258</v>
      </c>
      <c r="F685" s="3378">
        <v>606</v>
      </c>
      <c r="G685" s="3378">
        <v>69.77</v>
      </c>
      <c r="H685" s="3377" t="s">
        <v>3055</v>
      </c>
    </row>
    <row r="686" spans="1:8" ht="14.25" thickBot="1">
      <c r="A686" s="3376">
        <v>685</v>
      </c>
      <c r="B686" s="3377" t="s">
        <v>3524</v>
      </c>
      <c r="C686" s="3378" t="s">
        <v>3285</v>
      </c>
      <c r="D686" s="3378" t="s">
        <v>3264</v>
      </c>
      <c r="E686" s="3378" t="s">
        <v>3259</v>
      </c>
      <c r="F686" s="3378">
        <v>603</v>
      </c>
      <c r="G686" s="3378">
        <v>69.94</v>
      </c>
      <c r="H686" s="3377" t="s">
        <v>3055</v>
      </c>
    </row>
    <row r="687" spans="1:8" ht="14.25" thickBot="1">
      <c r="A687" s="3376">
        <v>686</v>
      </c>
      <c r="B687" s="3377" t="s">
        <v>3524</v>
      </c>
      <c r="C687" s="3378" t="s">
        <v>3285</v>
      </c>
      <c r="D687" s="3378" t="s">
        <v>3264</v>
      </c>
      <c r="E687" s="3378" t="s">
        <v>3259</v>
      </c>
      <c r="F687" s="3378">
        <v>605</v>
      </c>
      <c r="G687" s="3378">
        <v>69.94</v>
      </c>
      <c r="H687" s="3377" t="s">
        <v>3055</v>
      </c>
    </row>
    <row r="688" spans="1:8" ht="14.25" thickBot="1">
      <c r="A688" s="3376">
        <v>687</v>
      </c>
      <c r="B688" s="3377" t="s">
        <v>3524</v>
      </c>
      <c r="C688" s="3378" t="s">
        <v>3285</v>
      </c>
      <c r="D688" s="3378" t="s">
        <v>3264</v>
      </c>
      <c r="E688" s="3378" t="s">
        <v>3259</v>
      </c>
      <c r="F688" s="3378">
        <v>606</v>
      </c>
      <c r="G688" s="3378">
        <v>69.77</v>
      </c>
      <c r="H688" s="3377" t="s">
        <v>3055</v>
      </c>
    </row>
    <row r="689" spans="1:8" ht="14.25" thickBot="1">
      <c r="A689" s="3376">
        <v>688</v>
      </c>
      <c r="B689" s="3377" t="s">
        <v>3525</v>
      </c>
      <c r="C689" s="3378" t="s">
        <v>3267</v>
      </c>
      <c r="D689" s="3379" t="s">
        <v>3257</v>
      </c>
      <c r="E689" s="3378" t="s">
        <v>70</v>
      </c>
      <c r="F689" s="3379" t="s">
        <v>3132</v>
      </c>
      <c r="G689" s="3378">
        <v>98.05</v>
      </c>
      <c r="H689" s="3377" t="s">
        <v>1373</v>
      </c>
    </row>
    <row r="690" spans="1:8" ht="14.25" thickBot="1">
      <c r="A690" s="3376">
        <v>689</v>
      </c>
      <c r="B690" s="3377" t="s">
        <v>3525</v>
      </c>
      <c r="C690" s="3378" t="s">
        <v>3267</v>
      </c>
      <c r="D690" s="3379" t="s">
        <v>3257</v>
      </c>
      <c r="E690" s="3378" t="s">
        <v>70</v>
      </c>
      <c r="F690" s="3379" t="s">
        <v>3134</v>
      </c>
      <c r="G690" s="3378">
        <v>104.43</v>
      </c>
      <c r="H690" s="3377" t="s">
        <v>1373</v>
      </c>
    </row>
    <row r="691" spans="1:8" ht="14.25" thickBot="1">
      <c r="A691" s="3376">
        <v>690</v>
      </c>
      <c r="B691" s="3377" t="s">
        <v>3525</v>
      </c>
      <c r="C691" s="3378" t="s">
        <v>3267</v>
      </c>
      <c r="D691" s="3379" t="s">
        <v>3257</v>
      </c>
      <c r="E691" s="3378" t="s">
        <v>70</v>
      </c>
      <c r="F691" s="3379" t="s">
        <v>3135</v>
      </c>
      <c r="G691" s="3378">
        <v>103.44</v>
      </c>
      <c r="H691" s="3377" t="s">
        <v>1373</v>
      </c>
    </row>
    <row r="692" spans="1:8" ht="14.25" thickBot="1">
      <c r="A692" s="3376">
        <v>691</v>
      </c>
      <c r="B692" s="3377" t="s">
        <v>3525</v>
      </c>
      <c r="C692" s="3378" t="s">
        <v>3267</v>
      </c>
      <c r="D692" s="3379" t="s">
        <v>3257</v>
      </c>
      <c r="E692" s="3378" t="s">
        <v>70</v>
      </c>
      <c r="F692" s="3379" t="s">
        <v>3136</v>
      </c>
      <c r="G692" s="3378">
        <v>53.52</v>
      </c>
      <c r="H692" s="3377" t="s">
        <v>1373</v>
      </c>
    </row>
    <row r="693" spans="1:8" ht="14.25" thickBot="1">
      <c r="A693" s="3376">
        <v>692</v>
      </c>
      <c r="B693" s="3377" t="s">
        <v>3525</v>
      </c>
      <c r="C693" s="3378" t="s">
        <v>3267</v>
      </c>
      <c r="D693" s="3379" t="s">
        <v>3257</v>
      </c>
      <c r="E693" s="3378" t="s">
        <v>70</v>
      </c>
      <c r="F693" s="3379" t="s">
        <v>3137</v>
      </c>
      <c r="G693" s="3378">
        <v>104.44</v>
      </c>
      <c r="H693" s="3377" t="s">
        <v>1373</v>
      </c>
    </row>
    <row r="694" spans="1:8" ht="14.25" thickBot="1">
      <c r="A694" s="3376">
        <v>693</v>
      </c>
      <c r="B694" s="3377" t="s">
        <v>3525</v>
      </c>
      <c r="C694" s="3378" t="s">
        <v>3267</v>
      </c>
      <c r="D694" s="3379" t="s">
        <v>3257</v>
      </c>
      <c r="E694" s="3378" t="s">
        <v>70</v>
      </c>
      <c r="F694" s="3379" t="s">
        <v>3138</v>
      </c>
      <c r="G694" s="3378">
        <v>89.14</v>
      </c>
      <c r="H694" s="3377" t="s">
        <v>1373</v>
      </c>
    </row>
    <row r="695" spans="1:8" ht="14.25" thickBot="1">
      <c r="A695" s="3376">
        <v>694</v>
      </c>
      <c r="B695" s="3377" t="s">
        <v>3525</v>
      </c>
      <c r="C695" s="3378" t="s">
        <v>3267</v>
      </c>
      <c r="D695" s="3379" t="s">
        <v>3257</v>
      </c>
      <c r="E695" s="3378" t="s">
        <v>70</v>
      </c>
      <c r="F695" s="3379" t="s">
        <v>3139</v>
      </c>
      <c r="G695" s="3378">
        <v>89.14</v>
      </c>
      <c r="H695" s="3377" t="s">
        <v>1373</v>
      </c>
    </row>
    <row r="696" spans="1:8" ht="14.25" thickBot="1">
      <c r="A696" s="3376">
        <v>695</v>
      </c>
      <c r="B696" s="3377" t="s">
        <v>3525</v>
      </c>
      <c r="C696" s="3378" t="s">
        <v>3267</v>
      </c>
      <c r="D696" s="3379" t="s">
        <v>3257</v>
      </c>
      <c r="E696" s="3378" t="s">
        <v>70</v>
      </c>
      <c r="F696" s="3379" t="s">
        <v>3140</v>
      </c>
      <c r="G696" s="3378">
        <v>104.44</v>
      </c>
      <c r="H696" s="3377" t="s">
        <v>1373</v>
      </c>
    </row>
    <row r="697" spans="1:8" ht="14.25" thickBot="1">
      <c r="A697" s="3376">
        <v>696</v>
      </c>
      <c r="B697" s="3377" t="s">
        <v>3525</v>
      </c>
      <c r="C697" s="3378" t="s">
        <v>3267</v>
      </c>
      <c r="D697" s="3379" t="s">
        <v>3257</v>
      </c>
      <c r="E697" s="3378" t="s">
        <v>70</v>
      </c>
      <c r="F697" s="3379" t="s">
        <v>3141</v>
      </c>
      <c r="G697" s="3378">
        <v>53.52</v>
      </c>
      <c r="H697" s="3377" t="s">
        <v>1373</v>
      </c>
    </row>
    <row r="698" spans="1:8" ht="14.25" thickBot="1">
      <c r="A698" s="3376">
        <v>697</v>
      </c>
      <c r="B698" s="3377" t="s">
        <v>3525</v>
      </c>
      <c r="C698" s="3378" t="s">
        <v>3267</v>
      </c>
      <c r="D698" s="3379" t="s">
        <v>3257</v>
      </c>
      <c r="E698" s="3378" t="s">
        <v>70</v>
      </c>
      <c r="F698" s="3379" t="s">
        <v>3142</v>
      </c>
      <c r="G698" s="3378">
        <v>103.44</v>
      </c>
      <c r="H698" s="3377" t="s">
        <v>1373</v>
      </c>
    </row>
    <row r="699" spans="1:8" ht="14.25" thickBot="1">
      <c r="A699" s="3376">
        <v>698</v>
      </c>
      <c r="B699" s="3377" t="s">
        <v>3525</v>
      </c>
      <c r="C699" s="3378" t="s">
        <v>3267</v>
      </c>
      <c r="D699" s="3379" t="s">
        <v>3257</v>
      </c>
      <c r="E699" s="3378" t="s">
        <v>70</v>
      </c>
      <c r="F699" s="3379" t="s">
        <v>3164</v>
      </c>
      <c r="G699" s="3378">
        <v>104.43</v>
      </c>
      <c r="H699" s="3377" t="s">
        <v>1373</v>
      </c>
    </row>
    <row r="700" spans="1:8" ht="14.25" thickBot="1">
      <c r="A700" s="3376">
        <v>699</v>
      </c>
      <c r="B700" s="3377" t="s">
        <v>3525</v>
      </c>
      <c r="C700" s="3378" t="s">
        <v>3267</v>
      </c>
      <c r="D700" s="3379" t="s">
        <v>3257</v>
      </c>
      <c r="E700" s="3378" t="s">
        <v>70</v>
      </c>
      <c r="F700" s="3379" t="s">
        <v>3165</v>
      </c>
      <c r="G700" s="3378">
        <v>89.14</v>
      </c>
      <c r="H700" s="3377" t="s">
        <v>1373</v>
      </c>
    </row>
    <row r="701" spans="1:8" ht="14.25" thickBot="1">
      <c r="A701" s="3376">
        <v>700</v>
      </c>
      <c r="B701" s="3377" t="s">
        <v>3525</v>
      </c>
      <c r="C701" s="3378" t="s">
        <v>3268</v>
      </c>
      <c r="D701" s="3379" t="s">
        <v>3257</v>
      </c>
      <c r="E701" s="3378" t="s">
        <v>70</v>
      </c>
      <c r="F701" s="3379" t="s">
        <v>3132</v>
      </c>
      <c r="G701" s="3378">
        <v>117.68</v>
      </c>
      <c r="H701" s="3377" t="s">
        <v>1373</v>
      </c>
    </row>
    <row r="702" spans="1:8" ht="14.25" thickBot="1">
      <c r="A702" s="3376">
        <v>701</v>
      </c>
      <c r="B702" s="3377" t="s">
        <v>3525</v>
      </c>
      <c r="C702" s="3378" t="s">
        <v>3268</v>
      </c>
      <c r="D702" s="3379" t="s">
        <v>3257</v>
      </c>
      <c r="E702" s="3378" t="s">
        <v>70</v>
      </c>
      <c r="F702" s="3379" t="s">
        <v>3134</v>
      </c>
      <c r="G702" s="3378">
        <v>87.15</v>
      </c>
      <c r="H702" s="3377" t="s">
        <v>1373</v>
      </c>
    </row>
    <row r="703" spans="1:8" ht="14.25" thickBot="1">
      <c r="A703" s="3376">
        <v>702</v>
      </c>
      <c r="B703" s="3377" t="s">
        <v>3525</v>
      </c>
      <c r="C703" s="3378" t="s">
        <v>3268</v>
      </c>
      <c r="D703" s="3379" t="s">
        <v>3257</v>
      </c>
      <c r="E703" s="3378" t="s">
        <v>70</v>
      </c>
      <c r="F703" s="3379" t="s">
        <v>3135</v>
      </c>
      <c r="G703" s="3378">
        <v>85.07</v>
      </c>
      <c r="H703" s="3377" t="s">
        <v>1373</v>
      </c>
    </row>
    <row r="704" spans="1:8" ht="14.25" thickBot="1">
      <c r="A704" s="3376">
        <v>703</v>
      </c>
      <c r="B704" s="3377" t="s">
        <v>3525</v>
      </c>
      <c r="C704" s="3378" t="s">
        <v>3268</v>
      </c>
      <c r="D704" s="3379" t="s">
        <v>3257</v>
      </c>
      <c r="E704" s="3378" t="s">
        <v>70</v>
      </c>
      <c r="F704" s="3379" t="s">
        <v>3136</v>
      </c>
      <c r="G704" s="3378">
        <v>86.32</v>
      </c>
      <c r="H704" s="3377" t="s">
        <v>1373</v>
      </c>
    </row>
    <row r="705" spans="1:8" ht="14.25" thickBot="1">
      <c r="A705" s="3376">
        <v>704</v>
      </c>
      <c r="B705" s="3377" t="s">
        <v>3525</v>
      </c>
      <c r="C705" s="3378" t="s">
        <v>3268</v>
      </c>
      <c r="D705" s="3379" t="s">
        <v>3257</v>
      </c>
      <c r="E705" s="3378" t="s">
        <v>70</v>
      </c>
      <c r="F705" s="3379" t="s">
        <v>3137</v>
      </c>
      <c r="G705" s="3378">
        <v>113.33</v>
      </c>
      <c r="H705" s="3377" t="s">
        <v>1373</v>
      </c>
    </row>
    <row r="706" spans="1:8" ht="14.25" thickBot="1">
      <c r="A706" s="3376">
        <v>705</v>
      </c>
      <c r="B706" s="3377" t="s">
        <v>3525</v>
      </c>
      <c r="C706" s="3378" t="s">
        <v>3268</v>
      </c>
      <c r="D706" s="3379" t="s">
        <v>3257</v>
      </c>
      <c r="E706" s="3378" t="s">
        <v>70</v>
      </c>
      <c r="F706" s="3379" t="s">
        <v>3138</v>
      </c>
      <c r="G706" s="3378">
        <v>113.33</v>
      </c>
      <c r="H706" s="3377" t="s">
        <v>1373</v>
      </c>
    </row>
    <row r="707" spans="1:8" ht="14.25" thickBot="1">
      <c r="A707" s="3376">
        <v>706</v>
      </c>
      <c r="B707" s="3377" t="s">
        <v>3525</v>
      </c>
      <c r="C707" s="3378" t="s">
        <v>3268</v>
      </c>
      <c r="D707" s="3379" t="s">
        <v>3257</v>
      </c>
      <c r="E707" s="3378" t="s">
        <v>70</v>
      </c>
      <c r="F707" s="3379" t="s">
        <v>3139</v>
      </c>
      <c r="G707" s="3378">
        <v>86.32</v>
      </c>
      <c r="H707" s="3377" t="s">
        <v>1373</v>
      </c>
    </row>
    <row r="708" spans="1:8" ht="14.25" thickBot="1">
      <c r="A708" s="3376">
        <v>707</v>
      </c>
      <c r="B708" s="3377" t="s">
        <v>3525</v>
      </c>
      <c r="C708" s="3378" t="s">
        <v>3268</v>
      </c>
      <c r="D708" s="3379" t="s">
        <v>3257</v>
      </c>
      <c r="E708" s="3378" t="s">
        <v>70</v>
      </c>
      <c r="F708" s="3379" t="s">
        <v>3140</v>
      </c>
      <c r="G708" s="3378">
        <v>85.07</v>
      </c>
      <c r="H708" s="3377" t="s">
        <v>1373</v>
      </c>
    </row>
    <row r="709" spans="1:8" ht="14.25" thickBot="1">
      <c r="A709" s="3376">
        <v>708</v>
      </c>
      <c r="B709" s="3377" t="s">
        <v>3525</v>
      </c>
      <c r="C709" s="3378" t="s">
        <v>3268</v>
      </c>
      <c r="D709" s="3379" t="s">
        <v>3257</v>
      </c>
      <c r="E709" s="3378" t="s">
        <v>70</v>
      </c>
      <c r="F709" s="3379" t="s">
        <v>3141</v>
      </c>
      <c r="G709" s="3378">
        <v>87.15</v>
      </c>
      <c r="H709" s="3377" t="s">
        <v>1373</v>
      </c>
    </row>
    <row r="710" spans="1:8" ht="14.25" thickBot="1">
      <c r="A710" s="3376">
        <v>709</v>
      </c>
      <c r="B710" s="3377" t="s">
        <v>3525</v>
      </c>
      <c r="C710" s="3378" t="s">
        <v>3268</v>
      </c>
      <c r="D710" s="3379" t="s">
        <v>3257</v>
      </c>
      <c r="E710" s="3378" t="s">
        <v>70</v>
      </c>
      <c r="F710" s="3379" t="s">
        <v>3142</v>
      </c>
      <c r="G710" s="3378">
        <v>117.68</v>
      </c>
      <c r="H710" s="3377" t="s">
        <v>1373</v>
      </c>
    </row>
    <row r="711" spans="1:8" ht="14.25" thickBot="1">
      <c r="A711" s="3376">
        <v>710</v>
      </c>
      <c r="B711" s="3377" t="s">
        <v>3524</v>
      </c>
      <c r="C711" s="3378" t="s">
        <v>3290</v>
      </c>
      <c r="D711" s="3378" t="s">
        <v>3291</v>
      </c>
      <c r="E711" s="3378" t="s">
        <v>70</v>
      </c>
      <c r="F711" s="3378" t="s">
        <v>3130</v>
      </c>
      <c r="G711" s="3378">
        <v>1326.16</v>
      </c>
      <c r="H711" s="3377" t="s">
        <v>3292</v>
      </c>
    </row>
    <row r="712" spans="1:8" ht="14.25" thickBot="1">
      <c r="A712" s="3376">
        <v>711</v>
      </c>
      <c r="B712" s="3377" t="s">
        <v>3524</v>
      </c>
      <c r="C712" s="3378" t="s">
        <v>3293</v>
      </c>
      <c r="D712" s="3378" t="s">
        <v>3291</v>
      </c>
      <c r="E712" s="3378" t="s">
        <v>70</v>
      </c>
      <c r="F712" s="3378" t="s">
        <v>3130</v>
      </c>
      <c r="G712" s="3378">
        <v>884.71</v>
      </c>
      <c r="H712" s="3377" t="s">
        <v>3292</v>
      </c>
    </row>
    <row r="713" spans="1:8" ht="14.25" thickBot="1">
      <c r="A713" s="3376">
        <v>712</v>
      </c>
      <c r="B713" s="3377" t="s">
        <v>3524</v>
      </c>
      <c r="C713" s="3378" t="s">
        <v>3280</v>
      </c>
      <c r="D713" s="3378" t="s">
        <v>3257</v>
      </c>
      <c r="E713" s="3378" t="s">
        <v>70</v>
      </c>
      <c r="F713" s="3378" t="s">
        <v>3132</v>
      </c>
      <c r="G713" s="3378">
        <v>72.75</v>
      </c>
      <c r="H713" s="3377" t="s">
        <v>1373</v>
      </c>
    </row>
    <row r="714" spans="1:8" ht="14.25" thickBot="1">
      <c r="A714" s="3376">
        <v>713</v>
      </c>
      <c r="B714" s="3377" t="s">
        <v>3524</v>
      </c>
      <c r="C714" s="3378" t="s">
        <v>3280</v>
      </c>
      <c r="D714" s="3378" t="s">
        <v>3257</v>
      </c>
      <c r="E714" s="3378" t="s">
        <v>70</v>
      </c>
      <c r="F714" s="3378" t="s">
        <v>3134</v>
      </c>
      <c r="G714" s="3378">
        <v>54.97</v>
      </c>
      <c r="H714" s="3377" t="s">
        <v>1373</v>
      </c>
    </row>
    <row r="715" spans="1:8" ht="14.25" thickBot="1">
      <c r="A715" s="3376">
        <v>714</v>
      </c>
      <c r="B715" s="3377" t="s">
        <v>3524</v>
      </c>
      <c r="C715" s="3378" t="s">
        <v>3280</v>
      </c>
      <c r="D715" s="3378" t="s">
        <v>3257</v>
      </c>
      <c r="E715" s="3378" t="s">
        <v>70</v>
      </c>
      <c r="F715" s="3378" t="s">
        <v>3135</v>
      </c>
      <c r="G715" s="3378">
        <v>55.91</v>
      </c>
      <c r="H715" s="3377" t="s">
        <v>1373</v>
      </c>
    </row>
    <row r="716" spans="1:8" ht="14.25" thickBot="1">
      <c r="A716" s="3376">
        <v>715</v>
      </c>
      <c r="B716" s="3377" t="s">
        <v>3524</v>
      </c>
      <c r="C716" s="3378" t="s">
        <v>3280</v>
      </c>
      <c r="D716" s="3378" t="s">
        <v>3257</v>
      </c>
      <c r="E716" s="3378" t="s">
        <v>70</v>
      </c>
      <c r="F716" s="3378" t="s">
        <v>3136</v>
      </c>
      <c r="G716" s="3378">
        <v>70.09</v>
      </c>
      <c r="H716" s="3377" t="s">
        <v>1373</v>
      </c>
    </row>
    <row r="717" spans="1:8" ht="14.25" thickBot="1">
      <c r="A717" s="3376">
        <v>716</v>
      </c>
      <c r="B717" s="3377" t="s">
        <v>3524</v>
      </c>
      <c r="C717" s="3378" t="s">
        <v>3280</v>
      </c>
      <c r="D717" s="3378" t="s">
        <v>3257</v>
      </c>
      <c r="E717" s="3378" t="s">
        <v>70</v>
      </c>
      <c r="F717" s="3378" t="s">
        <v>3137</v>
      </c>
      <c r="G717" s="3378">
        <v>57.86</v>
      </c>
      <c r="H717" s="3377" t="s">
        <v>1373</v>
      </c>
    </row>
    <row r="718" spans="1:8" ht="14.25" thickBot="1">
      <c r="A718" s="3376">
        <v>717</v>
      </c>
      <c r="B718" s="3377" t="s">
        <v>3524</v>
      </c>
      <c r="C718" s="3378" t="s">
        <v>3280</v>
      </c>
      <c r="D718" s="3378" t="s">
        <v>3257</v>
      </c>
      <c r="E718" s="3378" t="s">
        <v>70</v>
      </c>
      <c r="F718" s="3378" t="s">
        <v>3138</v>
      </c>
      <c r="G718" s="3378">
        <v>55.93</v>
      </c>
      <c r="H718" s="3377" t="s">
        <v>1373</v>
      </c>
    </row>
    <row r="719" spans="1:8" ht="14.25" thickBot="1">
      <c r="A719" s="3376">
        <v>718</v>
      </c>
      <c r="B719" s="3377" t="s">
        <v>3524</v>
      </c>
      <c r="C719" s="3378" t="s">
        <v>3280</v>
      </c>
      <c r="D719" s="3378" t="s">
        <v>3257</v>
      </c>
      <c r="E719" s="3378" t="s">
        <v>70</v>
      </c>
      <c r="F719" s="3378" t="s">
        <v>3139</v>
      </c>
      <c r="G719" s="3378">
        <v>55.93</v>
      </c>
      <c r="H719" s="3377" t="s">
        <v>1373</v>
      </c>
    </row>
    <row r="720" spans="1:8" ht="14.25" thickBot="1">
      <c r="A720" s="3376">
        <v>719</v>
      </c>
      <c r="B720" s="3377" t="s">
        <v>3524</v>
      </c>
      <c r="C720" s="3378" t="s">
        <v>3280</v>
      </c>
      <c r="D720" s="3378" t="s">
        <v>3257</v>
      </c>
      <c r="E720" s="3378" t="s">
        <v>70</v>
      </c>
      <c r="F720" s="3378" t="s">
        <v>3140</v>
      </c>
      <c r="G720" s="3378">
        <v>57.86</v>
      </c>
      <c r="H720" s="3377" t="s">
        <v>1373</v>
      </c>
    </row>
    <row r="721" spans="1:8" ht="14.25" thickBot="1">
      <c r="A721" s="3376">
        <v>720</v>
      </c>
      <c r="B721" s="3377" t="s">
        <v>3524</v>
      </c>
      <c r="C721" s="3378" t="s">
        <v>3280</v>
      </c>
      <c r="D721" s="3378" t="s">
        <v>3257</v>
      </c>
      <c r="E721" s="3378" t="s">
        <v>70</v>
      </c>
      <c r="F721" s="3378" t="s">
        <v>3141</v>
      </c>
      <c r="G721" s="3378">
        <v>57.86</v>
      </c>
      <c r="H721" s="3377" t="s">
        <v>1373</v>
      </c>
    </row>
    <row r="722" spans="1:8" ht="14.25" thickBot="1">
      <c r="A722" s="3376">
        <v>721</v>
      </c>
      <c r="B722" s="3377" t="s">
        <v>3524</v>
      </c>
      <c r="C722" s="3378" t="s">
        <v>3280</v>
      </c>
      <c r="D722" s="3378" t="s">
        <v>3257</v>
      </c>
      <c r="E722" s="3378" t="s">
        <v>70</v>
      </c>
      <c r="F722" s="3378" t="s">
        <v>3142</v>
      </c>
      <c r="G722" s="3378">
        <v>62.36</v>
      </c>
      <c r="H722" s="3377" t="s">
        <v>1373</v>
      </c>
    </row>
    <row r="723" spans="1:8" ht="14.25" thickBot="1">
      <c r="A723" s="3376">
        <v>722</v>
      </c>
      <c r="B723" s="3377" t="s">
        <v>3525</v>
      </c>
      <c r="C723" s="3378" t="s">
        <v>3281</v>
      </c>
      <c r="D723" s="3379" t="s">
        <v>3257</v>
      </c>
      <c r="E723" s="3378" t="s">
        <v>70</v>
      </c>
      <c r="F723" s="3378" t="s">
        <v>3132</v>
      </c>
      <c r="G723" s="3378">
        <v>102.22</v>
      </c>
      <c r="H723" s="3377" t="s">
        <v>1373</v>
      </c>
    </row>
    <row r="724" spans="1:8" ht="14.25" thickBot="1">
      <c r="A724" s="3376">
        <v>723</v>
      </c>
      <c r="B724" s="3377" t="s">
        <v>3525</v>
      </c>
      <c r="C724" s="3378" t="s">
        <v>3281</v>
      </c>
      <c r="D724" s="3379" t="s">
        <v>3257</v>
      </c>
      <c r="E724" s="3378" t="s">
        <v>70</v>
      </c>
      <c r="F724" s="3378" t="s">
        <v>3134</v>
      </c>
      <c r="G724" s="3378">
        <v>111.55</v>
      </c>
      <c r="H724" s="3377" t="s">
        <v>1373</v>
      </c>
    </row>
    <row r="725" spans="1:8" ht="14.25" thickBot="1">
      <c r="A725" s="3376">
        <v>724</v>
      </c>
      <c r="B725" s="3377" t="s">
        <v>3525</v>
      </c>
      <c r="C725" s="3378" t="s">
        <v>3281</v>
      </c>
      <c r="D725" s="3379" t="s">
        <v>3257</v>
      </c>
      <c r="E725" s="3378" t="s">
        <v>70</v>
      </c>
      <c r="F725" s="3378" t="s">
        <v>3135</v>
      </c>
      <c r="G725" s="3378">
        <v>122.56</v>
      </c>
      <c r="H725" s="3377" t="s">
        <v>1373</v>
      </c>
    </row>
    <row r="726" spans="1:8" ht="14.25" thickBot="1">
      <c r="A726" s="3376">
        <v>725</v>
      </c>
      <c r="B726" s="3377" t="s">
        <v>3525</v>
      </c>
      <c r="C726" s="3378" t="s">
        <v>3281</v>
      </c>
      <c r="D726" s="3379" t="s">
        <v>3257</v>
      </c>
      <c r="E726" s="3378" t="s">
        <v>70</v>
      </c>
      <c r="F726" s="3378" t="s">
        <v>3136</v>
      </c>
      <c r="G726" s="3378">
        <v>68</v>
      </c>
      <c r="H726" s="3377" t="s">
        <v>1373</v>
      </c>
    </row>
    <row r="727" spans="1:8" ht="14.25" thickBot="1">
      <c r="A727" s="3376">
        <v>726</v>
      </c>
      <c r="B727" s="3377" t="s">
        <v>3525</v>
      </c>
      <c r="C727" s="3378" t="s">
        <v>3281</v>
      </c>
      <c r="D727" s="3379" t="s">
        <v>3257</v>
      </c>
      <c r="E727" s="3378" t="s">
        <v>70</v>
      </c>
      <c r="F727" s="3378" t="s">
        <v>3137</v>
      </c>
      <c r="G727" s="3378">
        <v>116.07</v>
      </c>
      <c r="H727" s="3377" t="s">
        <v>1373</v>
      </c>
    </row>
    <row r="728" spans="1:8" ht="14.25" thickBot="1">
      <c r="A728" s="3376">
        <v>727</v>
      </c>
      <c r="B728" s="3377" t="s">
        <v>3525</v>
      </c>
      <c r="C728" s="3378" t="s">
        <v>3281</v>
      </c>
      <c r="D728" s="3379" t="s">
        <v>3257</v>
      </c>
      <c r="E728" s="3378" t="s">
        <v>70</v>
      </c>
      <c r="F728" s="3378" t="s">
        <v>3138</v>
      </c>
      <c r="G728" s="3378">
        <v>40.1</v>
      </c>
      <c r="H728" s="3377" t="s">
        <v>1373</v>
      </c>
    </row>
    <row r="729" spans="1:8" ht="14.25" thickBot="1">
      <c r="A729" s="3376">
        <v>728</v>
      </c>
      <c r="B729" s="3377" t="s">
        <v>3525</v>
      </c>
      <c r="C729" s="3378" t="s">
        <v>3281</v>
      </c>
      <c r="D729" s="3379" t="s">
        <v>3257</v>
      </c>
      <c r="E729" s="3378" t="s">
        <v>70</v>
      </c>
      <c r="F729" s="3378" t="s">
        <v>3139</v>
      </c>
      <c r="G729" s="3378">
        <v>39.909999999999997</v>
      </c>
      <c r="H729" s="3377" t="s">
        <v>1373</v>
      </c>
    </row>
    <row r="730" spans="1:8" ht="14.25" thickBot="1">
      <c r="A730" s="3376">
        <v>729</v>
      </c>
      <c r="B730" s="3377" t="s">
        <v>3525</v>
      </c>
      <c r="C730" s="3378" t="s">
        <v>3281</v>
      </c>
      <c r="D730" s="3379" t="s">
        <v>3257</v>
      </c>
      <c r="E730" s="3378" t="s">
        <v>70</v>
      </c>
      <c r="F730" s="3378" t="s">
        <v>3140</v>
      </c>
      <c r="G730" s="3378">
        <v>62.27</v>
      </c>
      <c r="H730" s="3377" t="s">
        <v>1373</v>
      </c>
    </row>
    <row r="731" spans="1:8" ht="14.25" thickBot="1">
      <c r="A731" s="3376">
        <v>730</v>
      </c>
      <c r="B731" s="3377" t="s">
        <v>3525</v>
      </c>
      <c r="C731" s="3378" t="s">
        <v>3281</v>
      </c>
      <c r="D731" s="3379" t="s">
        <v>3257</v>
      </c>
      <c r="E731" s="3378" t="s">
        <v>70</v>
      </c>
      <c r="F731" s="3378" t="s">
        <v>3141</v>
      </c>
      <c r="G731" s="3378">
        <v>75.3</v>
      </c>
      <c r="H731" s="3377" t="s">
        <v>1373</v>
      </c>
    </row>
    <row r="732" spans="1:8" ht="14.25" thickBot="1">
      <c r="A732" s="3376">
        <v>731</v>
      </c>
      <c r="B732" s="3377" t="s">
        <v>3525</v>
      </c>
      <c r="C732" s="3378" t="s">
        <v>3282</v>
      </c>
      <c r="D732" s="3379" t="s">
        <v>3257</v>
      </c>
      <c r="E732" s="3378" t="s">
        <v>70</v>
      </c>
      <c r="F732" s="3379" t="s">
        <v>3132</v>
      </c>
      <c r="G732" s="3378">
        <v>117.32</v>
      </c>
      <c r="H732" s="3377" t="s">
        <v>1373</v>
      </c>
    </row>
    <row r="733" spans="1:8" ht="14.25" thickBot="1">
      <c r="A733" s="3376">
        <v>732</v>
      </c>
      <c r="B733" s="3377" t="s">
        <v>3525</v>
      </c>
      <c r="C733" s="3378" t="s">
        <v>3282</v>
      </c>
      <c r="D733" s="3379" t="s">
        <v>3257</v>
      </c>
      <c r="E733" s="3378" t="s">
        <v>70</v>
      </c>
      <c r="F733" s="3379" t="s">
        <v>3134</v>
      </c>
      <c r="G733" s="3378">
        <v>55.3</v>
      </c>
      <c r="H733" s="3377" t="s">
        <v>1373</v>
      </c>
    </row>
    <row r="734" spans="1:8" ht="14.25" thickBot="1">
      <c r="A734" s="3376">
        <v>733</v>
      </c>
      <c r="B734" s="3377" t="s">
        <v>3525</v>
      </c>
      <c r="C734" s="3378" t="s">
        <v>3282</v>
      </c>
      <c r="D734" s="3379" t="s">
        <v>3257</v>
      </c>
      <c r="E734" s="3378" t="s">
        <v>70</v>
      </c>
      <c r="F734" s="3379" t="s">
        <v>3135</v>
      </c>
      <c r="G734" s="3378">
        <v>100.28</v>
      </c>
      <c r="H734" s="3377" t="s">
        <v>1373</v>
      </c>
    </row>
    <row r="735" spans="1:8" ht="14.25" thickBot="1">
      <c r="A735" s="3376">
        <v>734</v>
      </c>
      <c r="B735" s="3377" t="s">
        <v>3525</v>
      </c>
      <c r="C735" s="3378" t="s">
        <v>3282</v>
      </c>
      <c r="D735" s="3379" t="s">
        <v>3257</v>
      </c>
      <c r="E735" s="3378" t="s">
        <v>70</v>
      </c>
      <c r="F735" s="3379" t="s">
        <v>3136</v>
      </c>
      <c r="G735" s="3378">
        <v>109.23</v>
      </c>
      <c r="H735" s="3377" t="s">
        <v>1373</v>
      </c>
    </row>
    <row r="736" spans="1:8" ht="14.25" thickBot="1">
      <c r="A736" s="3376">
        <v>735</v>
      </c>
      <c r="B736" s="3377" t="s">
        <v>3525</v>
      </c>
      <c r="C736" s="3378" t="s">
        <v>3282</v>
      </c>
      <c r="D736" s="3379" t="s">
        <v>3257</v>
      </c>
      <c r="E736" s="3378" t="s">
        <v>70</v>
      </c>
      <c r="F736" s="3379" t="s">
        <v>3137</v>
      </c>
      <c r="G736" s="3378">
        <v>100.77</v>
      </c>
      <c r="H736" s="3377" t="s">
        <v>1373</v>
      </c>
    </row>
    <row r="737" spans="1:8" ht="14.25" thickBot="1">
      <c r="A737" s="3376">
        <v>736</v>
      </c>
      <c r="B737" s="3377" t="s">
        <v>3525</v>
      </c>
      <c r="C737" s="3378" t="s">
        <v>3282</v>
      </c>
      <c r="D737" s="3379" t="s">
        <v>3257</v>
      </c>
      <c r="E737" s="3378" t="s">
        <v>70</v>
      </c>
      <c r="F737" s="3379" t="s">
        <v>3138</v>
      </c>
      <c r="G737" s="3378">
        <v>88</v>
      </c>
      <c r="H737" s="3377" t="s">
        <v>1373</v>
      </c>
    </row>
    <row r="738" spans="1:8" ht="14.25" thickBot="1">
      <c r="A738" s="3376">
        <v>737</v>
      </c>
      <c r="B738" s="3377" t="s">
        <v>3525</v>
      </c>
      <c r="C738" s="3378" t="s">
        <v>3282</v>
      </c>
      <c r="D738" s="3379" t="s">
        <v>3257</v>
      </c>
      <c r="E738" s="3378" t="s">
        <v>70</v>
      </c>
      <c r="F738" s="3379" t="s">
        <v>3139</v>
      </c>
      <c r="G738" s="3378">
        <v>69.06</v>
      </c>
      <c r="H738" s="3377" t="s">
        <v>1373</v>
      </c>
    </row>
    <row r="739" spans="1:8" ht="14.25" thickBot="1">
      <c r="A739" s="3376">
        <v>738</v>
      </c>
      <c r="B739" s="3377" t="s">
        <v>3525</v>
      </c>
      <c r="C739" s="3378" t="s">
        <v>3282</v>
      </c>
      <c r="D739" s="3379" t="s">
        <v>3257</v>
      </c>
      <c r="E739" s="3378" t="s">
        <v>70</v>
      </c>
      <c r="F739" s="3379" t="s">
        <v>3140</v>
      </c>
      <c r="G739" s="3378">
        <v>95.39</v>
      </c>
      <c r="H739" s="3377" t="s">
        <v>1373</v>
      </c>
    </row>
    <row r="740" spans="1:8" ht="14.25" thickBot="1">
      <c r="A740" s="3376">
        <v>739</v>
      </c>
      <c r="B740" s="3377" t="s">
        <v>3525</v>
      </c>
      <c r="C740" s="3378" t="s">
        <v>3282</v>
      </c>
      <c r="D740" s="3379" t="s">
        <v>3257</v>
      </c>
      <c r="E740" s="3378" t="s">
        <v>70</v>
      </c>
      <c r="F740" s="3379" t="s">
        <v>3141</v>
      </c>
      <c r="G740" s="3378">
        <v>85.24</v>
      </c>
      <c r="H740" s="3377" t="s">
        <v>1373</v>
      </c>
    </row>
    <row r="741" spans="1:8" ht="14.25" thickBot="1">
      <c r="A741" s="3376">
        <v>740</v>
      </c>
      <c r="B741" s="3377" t="s">
        <v>3525</v>
      </c>
      <c r="C741" s="3378" t="s">
        <v>3283</v>
      </c>
      <c r="D741" s="3379" t="s">
        <v>3257</v>
      </c>
      <c r="E741" s="3378" t="s">
        <v>70</v>
      </c>
      <c r="F741" s="3379" t="s">
        <v>3132</v>
      </c>
      <c r="G741" s="3378">
        <v>144.96</v>
      </c>
      <c r="H741" s="3377" t="s">
        <v>1373</v>
      </c>
    </row>
    <row r="742" spans="1:8" ht="14.25" thickBot="1">
      <c r="A742" s="3376">
        <v>741</v>
      </c>
      <c r="B742" s="3377" t="s">
        <v>3525</v>
      </c>
      <c r="C742" s="3378" t="s">
        <v>3283</v>
      </c>
      <c r="D742" s="3379" t="s">
        <v>3257</v>
      </c>
      <c r="E742" s="3378" t="s">
        <v>70</v>
      </c>
      <c r="F742" s="3379" t="s">
        <v>3134</v>
      </c>
      <c r="G742" s="3378">
        <v>98.15</v>
      </c>
      <c r="H742" s="3377" t="s">
        <v>1373</v>
      </c>
    </row>
    <row r="743" spans="1:8" ht="14.25" thickBot="1">
      <c r="A743" s="3376">
        <v>742</v>
      </c>
      <c r="B743" s="3377" t="s">
        <v>3525</v>
      </c>
      <c r="C743" s="3378" t="s">
        <v>3283</v>
      </c>
      <c r="D743" s="3379" t="s">
        <v>3257</v>
      </c>
      <c r="E743" s="3378" t="s">
        <v>70</v>
      </c>
      <c r="F743" s="3379" t="s">
        <v>3135</v>
      </c>
      <c r="G743" s="3378">
        <v>60.77</v>
      </c>
      <c r="H743" s="3377" t="s">
        <v>1373</v>
      </c>
    </row>
    <row r="744" spans="1:8" ht="14.25" thickBot="1">
      <c r="A744" s="3376">
        <v>743</v>
      </c>
      <c r="B744" s="3377" t="s">
        <v>3525</v>
      </c>
      <c r="C744" s="3378" t="s">
        <v>3283</v>
      </c>
      <c r="D744" s="3379" t="s">
        <v>3257</v>
      </c>
      <c r="E744" s="3378" t="s">
        <v>70</v>
      </c>
      <c r="F744" s="3379" t="s">
        <v>3136</v>
      </c>
      <c r="G744" s="3378">
        <v>73.78</v>
      </c>
      <c r="H744" s="3377" t="s">
        <v>1373</v>
      </c>
    </row>
    <row r="745" spans="1:8" ht="14.25" thickBot="1">
      <c r="A745" s="3376">
        <v>744</v>
      </c>
      <c r="B745" s="3377" t="s">
        <v>3525</v>
      </c>
      <c r="C745" s="3378" t="s">
        <v>3283</v>
      </c>
      <c r="D745" s="3379" t="s">
        <v>3260</v>
      </c>
      <c r="E745" s="3378" t="s">
        <v>70</v>
      </c>
      <c r="F745" s="3379" t="s">
        <v>3160</v>
      </c>
      <c r="G745" s="3378">
        <v>119.89</v>
      </c>
      <c r="H745" s="3377" t="s">
        <v>1373</v>
      </c>
    </row>
    <row r="746" spans="1:8" ht="14.25" thickBot="1">
      <c r="A746" s="3376">
        <v>745</v>
      </c>
      <c r="B746" s="3377" t="s">
        <v>3525</v>
      </c>
      <c r="C746" s="3378" t="s">
        <v>3283</v>
      </c>
      <c r="D746" s="3379" t="s">
        <v>3260</v>
      </c>
      <c r="E746" s="3378" t="s">
        <v>70</v>
      </c>
      <c r="F746" s="3379" t="s">
        <v>3161</v>
      </c>
      <c r="G746" s="3378">
        <v>114.44</v>
      </c>
      <c r="H746" s="3377" t="s">
        <v>1373</v>
      </c>
    </row>
    <row r="747" spans="1:8" ht="14.25" thickBot="1">
      <c r="A747" s="3376">
        <v>746</v>
      </c>
      <c r="B747" s="3377" t="s">
        <v>3525</v>
      </c>
      <c r="C747" s="3378" t="s">
        <v>3283</v>
      </c>
      <c r="D747" s="3379" t="s">
        <v>3260</v>
      </c>
      <c r="E747" s="3378" t="s">
        <v>70</v>
      </c>
      <c r="F747" s="3379" t="s">
        <v>3203</v>
      </c>
      <c r="G747" s="3378">
        <v>126.41</v>
      </c>
      <c r="H747" s="3377" t="s">
        <v>1373</v>
      </c>
    </row>
    <row r="748" spans="1:8" ht="14.25" thickBot="1">
      <c r="A748" s="3376">
        <v>747</v>
      </c>
      <c r="B748" s="3377" t="s">
        <v>3525</v>
      </c>
      <c r="C748" s="3378" t="s">
        <v>3284</v>
      </c>
      <c r="D748" s="3379" t="s">
        <v>3257</v>
      </c>
      <c r="E748" s="3378" t="s">
        <v>70</v>
      </c>
      <c r="F748" s="3379" t="s">
        <v>3132</v>
      </c>
      <c r="G748" s="3378">
        <v>108.94</v>
      </c>
      <c r="H748" s="3377" t="s">
        <v>1373</v>
      </c>
    </row>
    <row r="749" spans="1:8" ht="14.25" thickBot="1">
      <c r="A749" s="3376">
        <v>748</v>
      </c>
      <c r="B749" s="3377" t="s">
        <v>3525</v>
      </c>
      <c r="C749" s="3378" t="s">
        <v>3284</v>
      </c>
      <c r="D749" s="3379" t="s">
        <v>3257</v>
      </c>
      <c r="E749" s="3378" t="s">
        <v>70</v>
      </c>
      <c r="F749" s="3379" t="s">
        <v>3134</v>
      </c>
      <c r="G749" s="3378">
        <v>58.89</v>
      </c>
      <c r="H749" s="3377" t="s">
        <v>1373</v>
      </c>
    </row>
    <row r="750" spans="1:8" ht="14.25" thickBot="1">
      <c r="A750" s="3376">
        <v>749</v>
      </c>
      <c r="B750" s="3377" t="s">
        <v>3525</v>
      </c>
      <c r="C750" s="3378" t="s">
        <v>3284</v>
      </c>
      <c r="D750" s="3379" t="s">
        <v>3257</v>
      </c>
      <c r="E750" s="3378" t="s">
        <v>70</v>
      </c>
      <c r="F750" s="3379" t="s">
        <v>3135</v>
      </c>
      <c r="G750" s="3378">
        <v>86.12</v>
      </c>
      <c r="H750" s="3377" t="s">
        <v>1373</v>
      </c>
    </row>
    <row r="751" spans="1:8" ht="14.25" thickBot="1">
      <c r="A751" s="3376">
        <v>750</v>
      </c>
      <c r="B751" s="3377" t="s">
        <v>3525</v>
      </c>
      <c r="C751" s="3378" t="s">
        <v>3284</v>
      </c>
      <c r="D751" s="3378" t="s">
        <v>3260</v>
      </c>
      <c r="E751" s="3378" t="s">
        <v>70</v>
      </c>
      <c r="F751" s="3379" t="s">
        <v>3161</v>
      </c>
      <c r="G751" s="3378">
        <v>124.46</v>
      </c>
      <c r="H751" s="3377" t="s">
        <v>1373</v>
      </c>
    </row>
    <row r="752" spans="1:8" ht="14.25" thickBot="1">
      <c r="A752" s="3376">
        <v>751</v>
      </c>
      <c r="B752" s="3377" t="s">
        <v>3524</v>
      </c>
      <c r="C752" s="3378" t="s">
        <v>3526</v>
      </c>
      <c r="D752" s="3379" t="s">
        <v>3538</v>
      </c>
      <c r="E752" s="3378" t="s">
        <v>3341</v>
      </c>
      <c r="F752" s="3377" t="s">
        <v>3342</v>
      </c>
      <c r="G752" s="3378">
        <v>64.430000000000007</v>
      </c>
      <c r="H752" s="3379" t="s">
        <v>3248</v>
      </c>
    </row>
    <row r="753" spans="1:8" ht="14.25" thickBot="1">
      <c r="A753" s="3376">
        <v>752</v>
      </c>
      <c r="B753" s="3377" t="s">
        <v>3524</v>
      </c>
      <c r="C753" s="3378" t="s">
        <v>3526</v>
      </c>
      <c r="D753" s="3380" t="s">
        <v>3539</v>
      </c>
      <c r="E753" s="3378" t="s">
        <v>3341</v>
      </c>
      <c r="F753" s="3377" t="s">
        <v>3344</v>
      </c>
      <c r="G753" s="3378">
        <v>69.5</v>
      </c>
      <c r="H753" s="3379" t="s">
        <v>3248</v>
      </c>
    </row>
    <row r="754" spans="1:8" ht="14.25" thickBot="1">
      <c r="A754" s="3376">
        <v>753</v>
      </c>
      <c r="B754" s="3377" t="s">
        <v>3524</v>
      </c>
      <c r="C754" s="3378" t="s">
        <v>3526</v>
      </c>
      <c r="D754" s="3379" t="s">
        <v>3540</v>
      </c>
      <c r="E754" s="3378" t="s">
        <v>3341</v>
      </c>
      <c r="F754" s="3377" t="s">
        <v>3345</v>
      </c>
      <c r="G754" s="3378">
        <v>64.430000000000007</v>
      </c>
      <c r="H754" s="3379" t="s">
        <v>3248</v>
      </c>
    </row>
    <row r="755" spans="1:8" ht="14.25" thickBot="1">
      <c r="A755" s="3376">
        <v>754</v>
      </c>
      <c r="B755" s="3377" t="s">
        <v>3525</v>
      </c>
      <c r="C755" s="3378" t="s">
        <v>3527</v>
      </c>
      <c r="D755" s="3379" t="s">
        <v>3538</v>
      </c>
      <c r="E755" s="3378" t="s">
        <v>3341</v>
      </c>
      <c r="F755" s="3377" t="s">
        <v>3346</v>
      </c>
      <c r="G755" s="3378">
        <v>69.959999999999994</v>
      </c>
      <c r="H755" s="3379" t="s">
        <v>3248</v>
      </c>
    </row>
    <row r="756" spans="1:8" ht="14.25" thickBot="1">
      <c r="A756" s="3376">
        <v>755</v>
      </c>
      <c r="B756" s="3377" t="s">
        <v>3525</v>
      </c>
      <c r="C756" s="3378" t="s">
        <v>3527</v>
      </c>
      <c r="D756" s="3380" t="s">
        <v>3539</v>
      </c>
      <c r="E756" s="3378" t="s">
        <v>3341</v>
      </c>
      <c r="F756" s="3377" t="s">
        <v>3347</v>
      </c>
      <c r="G756" s="3378">
        <v>66.209999999999994</v>
      </c>
      <c r="H756" s="3379" t="s">
        <v>3248</v>
      </c>
    </row>
    <row r="757" spans="1:8" ht="14.25" thickBot="1">
      <c r="A757" s="3376">
        <v>756</v>
      </c>
      <c r="B757" s="3377" t="s">
        <v>3525</v>
      </c>
      <c r="C757" s="3378" t="s">
        <v>3527</v>
      </c>
      <c r="D757" s="3380" t="s">
        <v>3539</v>
      </c>
      <c r="E757" s="3378" t="s">
        <v>3341</v>
      </c>
      <c r="F757" s="3377" t="s">
        <v>3348</v>
      </c>
      <c r="G757" s="3378">
        <v>71.37</v>
      </c>
      <c r="H757" s="3379" t="s">
        <v>3248</v>
      </c>
    </row>
    <row r="758" spans="1:8" ht="14.25" thickBot="1">
      <c r="A758" s="3376">
        <v>757</v>
      </c>
      <c r="B758" s="3377" t="s">
        <v>3525</v>
      </c>
      <c r="C758" s="3378" t="s">
        <v>3527</v>
      </c>
      <c r="D758" s="3380" t="s">
        <v>3539</v>
      </c>
      <c r="E758" s="3378" t="s">
        <v>3341</v>
      </c>
      <c r="F758" s="3377" t="s">
        <v>3349</v>
      </c>
      <c r="G758" s="3378">
        <v>71.37</v>
      </c>
      <c r="H758" s="3379" t="s">
        <v>3248</v>
      </c>
    </row>
    <row r="759" spans="1:8" ht="14.25" thickBot="1">
      <c r="A759" s="3376">
        <v>758</v>
      </c>
      <c r="B759" s="3377" t="s">
        <v>3525</v>
      </c>
      <c r="C759" s="3378" t="s">
        <v>3527</v>
      </c>
      <c r="D759" s="3380" t="s">
        <v>3539</v>
      </c>
      <c r="E759" s="3378" t="s">
        <v>3341</v>
      </c>
      <c r="F759" s="3377" t="s">
        <v>3350</v>
      </c>
      <c r="G759" s="3378">
        <v>71.37</v>
      </c>
      <c r="H759" s="3379" t="s">
        <v>3248</v>
      </c>
    </row>
    <row r="760" spans="1:8" ht="14.25" thickBot="1">
      <c r="A760" s="3376">
        <v>759</v>
      </c>
      <c r="B760" s="3377" t="s">
        <v>3525</v>
      </c>
      <c r="C760" s="3378" t="s">
        <v>3527</v>
      </c>
      <c r="D760" s="3379" t="s">
        <v>3540</v>
      </c>
      <c r="E760" s="3378" t="s">
        <v>3341</v>
      </c>
      <c r="F760" s="3377" t="s">
        <v>3351</v>
      </c>
      <c r="G760" s="3378">
        <v>66.209999999999994</v>
      </c>
      <c r="H760" s="3379" t="s">
        <v>3248</v>
      </c>
    </row>
    <row r="761" spans="1:8" ht="14.25" thickBot="1">
      <c r="A761" s="3376">
        <v>760</v>
      </c>
      <c r="B761" s="3377" t="s">
        <v>3525</v>
      </c>
      <c r="C761" s="3378" t="s">
        <v>3527</v>
      </c>
      <c r="D761" s="3379" t="s">
        <v>3540</v>
      </c>
      <c r="E761" s="3378" t="s">
        <v>3341</v>
      </c>
      <c r="F761" s="3377" t="s">
        <v>3352</v>
      </c>
      <c r="G761" s="3378">
        <v>69.959999999999994</v>
      </c>
      <c r="H761" s="3379" t="s">
        <v>3248</v>
      </c>
    </row>
    <row r="762" spans="1:8" ht="14.25" thickBot="1">
      <c r="A762" s="3376">
        <v>761</v>
      </c>
      <c r="B762" s="3377" t="s">
        <v>3525</v>
      </c>
      <c r="C762" s="3378" t="s">
        <v>3527</v>
      </c>
      <c r="D762" s="3379" t="s">
        <v>3540</v>
      </c>
      <c r="E762" s="3378" t="s">
        <v>3341</v>
      </c>
      <c r="F762" s="3377" t="s">
        <v>3353</v>
      </c>
      <c r="G762" s="3378">
        <v>71.37</v>
      </c>
      <c r="H762" s="3379" t="s">
        <v>3248</v>
      </c>
    </row>
    <row r="763" spans="1:8" ht="14.25" thickBot="1">
      <c r="A763" s="3376">
        <v>762</v>
      </c>
      <c r="B763" s="3377" t="s">
        <v>3525</v>
      </c>
      <c r="C763" s="3378" t="s">
        <v>3527</v>
      </c>
      <c r="D763" s="3379" t="s">
        <v>3540</v>
      </c>
      <c r="E763" s="3378" t="s">
        <v>3341</v>
      </c>
      <c r="F763" s="3377" t="s">
        <v>3354</v>
      </c>
      <c r="G763" s="3378">
        <v>71.37</v>
      </c>
      <c r="H763" s="3379" t="s">
        <v>3248</v>
      </c>
    </row>
    <row r="764" spans="1:8" ht="14.25" thickBot="1">
      <c r="A764" s="3376">
        <v>763</v>
      </c>
      <c r="B764" s="3377" t="s">
        <v>3525</v>
      </c>
      <c r="C764" s="3378" t="s">
        <v>3527</v>
      </c>
      <c r="D764" s="3379" t="s">
        <v>3540</v>
      </c>
      <c r="E764" s="3378" t="s">
        <v>3341</v>
      </c>
      <c r="F764" s="3377" t="s">
        <v>3355</v>
      </c>
      <c r="G764" s="3378">
        <v>71.37</v>
      </c>
      <c r="H764" s="3379" t="s">
        <v>3248</v>
      </c>
    </row>
    <row r="765" spans="1:8" ht="14.25" thickBot="1">
      <c r="A765" s="3376">
        <v>764</v>
      </c>
      <c r="B765" s="3377" t="s">
        <v>3525</v>
      </c>
      <c r="C765" s="3378" t="s">
        <v>3527</v>
      </c>
      <c r="D765" s="3379" t="s">
        <v>3540</v>
      </c>
      <c r="E765" s="3378" t="s">
        <v>3341</v>
      </c>
      <c r="F765" s="3377" t="s">
        <v>3356</v>
      </c>
      <c r="G765" s="3378">
        <v>71.33</v>
      </c>
      <c r="H765" s="3379" t="s">
        <v>3248</v>
      </c>
    </row>
    <row r="766" spans="1:8" ht="14.25" thickBot="1">
      <c r="A766" s="3376">
        <v>765</v>
      </c>
      <c r="B766" s="3377" t="s">
        <v>3525</v>
      </c>
      <c r="C766" s="3378" t="s">
        <v>3527</v>
      </c>
      <c r="D766" s="3379" t="s">
        <v>3541</v>
      </c>
      <c r="E766" s="3378" t="s">
        <v>3341</v>
      </c>
      <c r="F766" s="3377" t="s">
        <v>3357</v>
      </c>
      <c r="G766" s="3378">
        <v>69.959999999999994</v>
      </c>
      <c r="H766" s="3379" t="s">
        <v>3248</v>
      </c>
    </row>
    <row r="767" spans="1:8" ht="14.25" thickBot="1">
      <c r="A767" s="3376">
        <v>766</v>
      </c>
      <c r="B767" s="3377" t="s">
        <v>3525</v>
      </c>
      <c r="C767" s="3378" t="s">
        <v>3527</v>
      </c>
      <c r="D767" s="3379" t="s">
        <v>3541</v>
      </c>
      <c r="E767" s="3378" t="s">
        <v>3341</v>
      </c>
      <c r="F767" s="3377" t="s">
        <v>3358</v>
      </c>
      <c r="G767" s="3378">
        <v>71.37</v>
      </c>
      <c r="H767" s="3379" t="s">
        <v>3248</v>
      </c>
    </row>
    <row r="768" spans="1:8" ht="14.25" thickBot="1">
      <c r="A768" s="3376">
        <v>767</v>
      </c>
      <c r="B768" s="3377" t="s">
        <v>3525</v>
      </c>
      <c r="C768" s="3378" t="s">
        <v>3527</v>
      </c>
      <c r="D768" s="3379" t="s">
        <v>3541</v>
      </c>
      <c r="E768" s="3378" t="s">
        <v>3341</v>
      </c>
      <c r="F768" s="3377" t="s">
        <v>3359</v>
      </c>
      <c r="G768" s="3378">
        <v>71.37</v>
      </c>
      <c r="H768" s="3379" t="s">
        <v>3248</v>
      </c>
    </row>
    <row r="769" spans="1:8" ht="14.25" thickBot="1">
      <c r="A769" s="3376">
        <v>768</v>
      </c>
      <c r="B769" s="3377" t="s">
        <v>3525</v>
      </c>
      <c r="C769" s="3378" t="s">
        <v>3527</v>
      </c>
      <c r="D769" s="3379" t="s">
        <v>3541</v>
      </c>
      <c r="E769" s="3378" t="s">
        <v>3341</v>
      </c>
      <c r="F769" s="3377" t="s">
        <v>3360</v>
      </c>
      <c r="G769" s="3378">
        <v>71.37</v>
      </c>
      <c r="H769" s="3379" t="s">
        <v>3248</v>
      </c>
    </row>
    <row r="770" spans="1:8" ht="14.25" thickBot="1">
      <c r="A770" s="3376">
        <v>769</v>
      </c>
      <c r="B770" s="3377" t="s">
        <v>3525</v>
      </c>
      <c r="C770" s="3378" t="s">
        <v>3527</v>
      </c>
      <c r="D770" s="3379" t="s">
        <v>3541</v>
      </c>
      <c r="E770" s="3378" t="s">
        <v>3341</v>
      </c>
      <c r="F770" s="3377" t="s">
        <v>3361</v>
      </c>
      <c r="G770" s="3378">
        <v>71.33</v>
      </c>
      <c r="H770" s="3379" t="s">
        <v>3248</v>
      </c>
    </row>
    <row r="771" spans="1:8" ht="14.25" thickBot="1">
      <c r="A771" s="3376">
        <v>770</v>
      </c>
      <c r="B771" s="3377" t="s">
        <v>3525</v>
      </c>
      <c r="C771" s="3378" t="s">
        <v>3528</v>
      </c>
      <c r="D771" s="3379" t="s">
        <v>3538</v>
      </c>
      <c r="E771" s="3378" t="s">
        <v>3341</v>
      </c>
      <c r="F771" s="3377" t="s">
        <v>3362</v>
      </c>
      <c r="G771" s="3378">
        <v>70.86</v>
      </c>
      <c r="H771" s="3379" t="s">
        <v>3248</v>
      </c>
    </row>
    <row r="772" spans="1:8" ht="14.25" thickBot="1">
      <c r="A772" s="3376">
        <v>771</v>
      </c>
      <c r="B772" s="3377" t="s">
        <v>3525</v>
      </c>
      <c r="C772" s="3378" t="s">
        <v>3528</v>
      </c>
      <c r="D772" s="3379" t="s">
        <v>3538</v>
      </c>
      <c r="E772" s="3378" t="s">
        <v>3341</v>
      </c>
      <c r="F772" s="3377" t="s">
        <v>3363</v>
      </c>
      <c r="G772" s="3378">
        <v>69.27</v>
      </c>
      <c r="H772" s="3379" t="s">
        <v>3248</v>
      </c>
    </row>
    <row r="773" spans="1:8" ht="14.25" thickBot="1">
      <c r="A773" s="3376">
        <v>772</v>
      </c>
      <c r="B773" s="3377" t="s">
        <v>3525</v>
      </c>
      <c r="C773" s="3378" t="s">
        <v>3528</v>
      </c>
      <c r="D773" s="3380" t="s">
        <v>3539</v>
      </c>
      <c r="E773" s="3378" t="s">
        <v>3341</v>
      </c>
      <c r="F773" s="3377" t="s">
        <v>3364</v>
      </c>
      <c r="G773" s="3378">
        <v>69.27</v>
      </c>
      <c r="H773" s="3379" t="s">
        <v>3248</v>
      </c>
    </row>
    <row r="774" spans="1:8" ht="14.25" thickBot="1">
      <c r="A774" s="3376">
        <v>773</v>
      </c>
      <c r="B774" s="3377" t="s">
        <v>3525</v>
      </c>
      <c r="C774" s="3378" t="s">
        <v>3528</v>
      </c>
      <c r="D774" s="3379" t="s">
        <v>3540</v>
      </c>
      <c r="E774" s="3378" t="s">
        <v>3341</v>
      </c>
      <c r="F774" s="3377" t="s">
        <v>3365</v>
      </c>
      <c r="G774" s="3378">
        <v>69.459999999999994</v>
      </c>
      <c r="H774" s="3379" t="s">
        <v>3248</v>
      </c>
    </row>
    <row r="775" spans="1:8" ht="14.25" thickBot="1">
      <c r="A775" s="3376">
        <v>774</v>
      </c>
      <c r="B775" s="3377" t="s">
        <v>3525</v>
      </c>
      <c r="C775" s="3378" t="s">
        <v>3528</v>
      </c>
      <c r="D775" s="3379" t="s">
        <v>3541</v>
      </c>
      <c r="E775" s="3378" t="s">
        <v>3341</v>
      </c>
      <c r="F775" s="3377" t="s">
        <v>3366</v>
      </c>
      <c r="G775" s="3378">
        <v>70.86</v>
      </c>
      <c r="H775" s="3379" t="s">
        <v>3248</v>
      </c>
    </row>
    <row r="776" spans="1:8" ht="14.25" thickBot="1">
      <c r="A776" s="3376">
        <v>775</v>
      </c>
      <c r="B776" s="3377" t="s">
        <v>3525</v>
      </c>
      <c r="C776" s="3378" t="s">
        <v>3528</v>
      </c>
      <c r="D776" s="3379" t="s">
        <v>3542</v>
      </c>
      <c r="E776" s="3378" t="s">
        <v>3341</v>
      </c>
      <c r="F776" s="3377" t="s">
        <v>3367</v>
      </c>
      <c r="G776" s="3378">
        <v>70.86</v>
      </c>
      <c r="H776" s="3379" t="s">
        <v>3248</v>
      </c>
    </row>
    <row r="777" spans="1:8" ht="14.25" thickBot="1">
      <c r="A777" s="3376">
        <v>776</v>
      </c>
      <c r="B777" s="3377" t="s">
        <v>3525</v>
      </c>
      <c r="C777" s="3378" t="s">
        <v>3528</v>
      </c>
      <c r="D777" s="3379" t="s">
        <v>3542</v>
      </c>
      <c r="E777" s="3378" t="s">
        <v>3341</v>
      </c>
      <c r="F777" s="3377" t="s">
        <v>3368</v>
      </c>
      <c r="G777" s="3378">
        <v>70.819999999999993</v>
      </c>
      <c r="H777" s="3379" t="s">
        <v>3248</v>
      </c>
    </row>
    <row r="778" spans="1:8" ht="14.25" thickBot="1">
      <c r="A778" s="3376">
        <v>777</v>
      </c>
      <c r="B778" s="3377" t="s">
        <v>3524</v>
      </c>
      <c r="C778" s="3378" t="s">
        <v>3529</v>
      </c>
      <c r="D778" s="3379" t="s">
        <v>3538</v>
      </c>
      <c r="E778" s="3378" t="s">
        <v>3544</v>
      </c>
      <c r="F778" s="3377" t="s">
        <v>3369</v>
      </c>
      <c r="G778" s="3378">
        <v>66.28</v>
      </c>
      <c r="H778" s="3379" t="s">
        <v>3248</v>
      </c>
    </row>
    <row r="779" spans="1:8" ht="14.25" thickBot="1">
      <c r="A779" s="3376">
        <v>778</v>
      </c>
      <c r="B779" s="3377" t="s">
        <v>3524</v>
      </c>
      <c r="C779" s="3378" t="s">
        <v>3529</v>
      </c>
      <c r="D779" s="3380" t="s">
        <v>3539</v>
      </c>
      <c r="E779" s="3378" t="s">
        <v>3544</v>
      </c>
      <c r="F779" s="3377" t="s">
        <v>3370</v>
      </c>
      <c r="G779" s="3378">
        <v>69.77</v>
      </c>
      <c r="H779" s="3379" t="s">
        <v>3248</v>
      </c>
    </row>
    <row r="780" spans="1:8" ht="14.25" thickBot="1">
      <c r="A780" s="3376">
        <v>779</v>
      </c>
      <c r="B780" s="3377" t="s">
        <v>3524</v>
      </c>
      <c r="C780" s="3378" t="s">
        <v>3529</v>
      </c>
      <c r="D780" s="3380" t="s">
        <v>3539</v>
      </c>
      <c r="E780" s="3378" t="s">
        <v>3544</v>
      </c>
      <c r="F780" s="3377" t="s">
        <v>3371</v>
      </c>
      <c r="G780" s="3378">
        <v>69.94</v>
      </c>
      <c r="H780" s="3379" t="s">
        <v>3248</v>
      </c>
    </row>
    <row r="781" spans="1:8" ht="14.25" thickBot="1">
      <c r="A781" s="3376">
        <v>780</v>
      </c>
      <c r="B781" s="3377" t="s">
        <v>3524</v>
      </c>
      <c r="C781" s="3378" t="s">
        <v>3529</v>
      </c>
      <c r="D781" s="3380" t="s">
        <v>3539</v>
      </c>
      <c r="E781" s="3378" t="s">
        <v>3544</v>
      </c>
      <c r="F781" s="3377" t="s">
        <v>3372</v>
      </c>
      <c r="G781" s="3378">
        <v>69.77</v>
      </c>
      <c r="H781" s="3379" t="s">
        <v>3248</v>
      </c>
    </row>
    <row r="782" spans="1:8" ht="14.25" thickBot="1">
      <c r="A782" s="3376">
        <v>781</v>
      </c>
      <c r="B782" s="3377" t="s">
        <v>3524</v>
      </c>
      <c r="C782" s="3378" t="s">
        <v>3529</v>
      </c>
      <c r="D782" s="3380" t="s">
        <v>3539</v>
      </c>
      <c r="E782" s="3378" t="s">
        <v>3544</v>
      </c>
      <c r="F782" s="3377" t="s">
        <v>3373</v>
      </c>
      <c r="G782" s="3378">
        <v>66.28</v>
      </c>
      <c r="H782" s="3379" t="s">
        <v>3248</v>
      </c>
    </row>
    <row r="783" spans="1:8" ht="14.25" thickBot="1">
      <c r="A783" s="3376">
        <v>782</v>
      </c>
      <c r="B783" s="3377" t="s">
        <v>3524</v>
      </c>
      <c r="C783" s="3378" t="s">
        <v>3529</v>
      </c>
      <c r="D783" s="3379" t="s">
        <v>3542</v>
      </c>
      <c r="E783" s="3378" t="s">
        <v>3544</v>
      </c>
      <c r="F783" s="3377" t="s">
        <v>3374</v>
      </c>
      <c r="G783" s="3378">
        <v>66.28</v>
      </c>
      <c r="H783" s="3379" t="s">
        <v>3248</v>
      </c>
    </row>
    <row r="784" spans="1:8" ht="14.25" thickBot="1">
      <c r="A784" s="3376">
        <v>783</v>
      </c>
      <c r="B784" s="3377" t="s">
        <v>3524</v>
      </c>
      <c r="C784" s="3378" t="s">
        <v>3529</v>
      </c>
      <c r="D784" s="3379" t="s">
        <v>3538</v>
      </c>
      <c r="E784" s="3378" t="s">
        <v>3545</v>
      </c>
      <c r="F784" s="3377" t="s">
        <v>3375</v>
      </c>
      <c r="G784" s="3378">
        <v>66.28</v>
      </c>
      <c r="H784" s="3379" t="s">
        <v>3248</v>
      </c>
    </row>
    <row r="785" spans="1:8" ht="14.25" thickBot="1">
      <c r="A785" s="3376">
        <v>784</v>
      </c>
      <c r="B785" s="3377" t="s">
        <v>3524</v>
      </c>
      <c r="C785" s="3378" t="s">
        <v>3529</v>
      </c>
      <c r="D785" s="3379" t="s">
        <v>3538</v>
      </c>
      <c r="E785" s="3378" t="s">
        <v>3545</v>
      </c>
      <c r="F785" s="3377" t="s">
        <v>3376</v>
      </c>
      <c r="G785" s="3378">
        <v>66.28</v>
      </c>
      <c r="H785" s="3379" t="s">
        <v>3248</v>
      </c>
    </row>
    <row r="786" spans="1:8" ht="14.25" thickBot="1">
      <c r="A786" s="3376">
        <v>785</v>
      </c>
      <c r="B786" s="3377" t="s">
        <v>3524</v>
      </c>
      <c r="C786" s="3378" t="s">
        <v>3529</v>
      </c>
      <c r="D786" s="3380" t="s">
        <v>3539</v>
      </c>
      <c r="E786" s="3378" t="s">
        <v>3545</v>
      </c>
      <c r="F786" s="3377" t="s">
        <v>3377</v>
      </c>
      <c r="G786" s="3378">
        <v>66.28</v>
      </c>
      <c r="H786" s="3379" t="s">
        <v>3248</v>
      </c>
    </row>
    <row r="787" spans="1:8" ht="14.25" thickBot="1">
      <c r="A787" s="3376">
        <v>786</v>
      </c>
      <c r="B787" s="3377" t="s">
        <v>3524</v>
      </c>
      <c r="C787" s="3378" t="s">
        <v>3529</v>
      </c>
      <c r="D787" s="3379" t="s">
        <v>3540</v>
      </c>
      <c r="E787" s="3378" t="s">
        <v>3545</v>
      </c>
      <c r="F787" s="3377" t="s">
        <v>3378</v>
      </c>
      <c r="G787" s="3378">
        <v>69.94</v>
      </c>
      <c r="H787" s="3379" t="s">
        <v>3248</v>
      </c>
    </row>
    <row r="788" spans="1:8" ht="14.25" thickBot="1">
      <c r="A788" s="3376">
        <v>787</v>
      </c>
      <c r="B788" s="3377" t="s">
        <v>3524</v>
      </c>
      <c r="C788" s="3378" t="s">
        <v>3529</v>
      </c>
      <c r="D788" s="3379" t="s">
        <v>3540</v>
      </c>
      <c r="E788" s="3378" t="s">
        <v>3545</v>
      </c>
      <c r="F788" s="3377" t="s">
        <v>3379</v>
      </c>
      <c r="G788" s="3378">
        <v>69.94</v>
      </c>
      <c r="H788" s="3379" t="s">
        <v>3248</v>
      </c>
    </row>
    <row r="789" spans="1:8" ht="14.25" thickBot="1">
      <c r="A789" s="3376">
        <v>788</v>
      </c>
      <c r="B789" s="3377" t="s">
        <v>3524</v>
      </c>
      <c r="C789" s="3378" t="s">
        <v>3529</v>
      </c>
      <c r="D789" s="3379" t="s">
        <v>3540</v>
      </c>
      <c r="E789" s="3378" t="s">
        <v>3545</v>
      </c>
      <c r="F789" s="3377" t="s">
        <v>3380</v>
      </c>
      <c r="G789" s="3378">
        <v>69.77</v>
      </c>
      <c r="H789" s="3379" t="s">
        <v>3248</v>
      </c>
    </row>
    <row r="790" spans="1:8" ht="14.25" thickBot="1">
      <c r="A790" s="3376">
        <v>789</v>
      </c>
      <c r="B790" s="3377" t="s">
        <v>3524</v>
      </c>
      <c r="C790" s="3378" t="s">
        <v>3529</v>
      </c>
      <c r="D790" s="3379" t="s">
        <v>3541</v>
      </c>
      <c r="E790" s="3378" t="s">
        <v>3545</v>
      </c>
      <c r="F790" s="3377" t="s">
        <v>3381</v>
      </c>
      <c r="G790" s="3378">
        <v>66.28</v>
      </c>
      <c r="H790" s="3379" t="s">
        <v>3248</v>
      </c>
    </row>
    <row r="791" spans="1:8" ht="14.25" thickBot="1">
      <c r="A791" s="3376">
        <v>790</v>
      </c>
      <c r="B791" s="3377" t="s">
        <v>3524</v>
      </c>
      <c r="C791" s="3378" t="s">
        <v>3529</v>
      </c>
      <c r="D791" s="3379" t="s">
        <v>3541</v>
      </c>
      <c r="E791" s="3378" t="s">
        <v>3545</v>
      </c>
      <c r="F791" s="3377" t="s">
        <v>3382</v>
      </c>
      <c r="G791" s="3378">
        <v>69.94</v>
      </c>
      <c r="H791" s="3379" t="s">
        <v>3248</v>
      </c>
    </row>
    <row r="792" spans="1:8" ht="14.25" thickBot="1">
      <c r="A792" s="3376">
        <v>791</v>
      </c>
      <c r="B792" s="3377" t="s">
        <v>3524</v>
      </c>
      <c r="C792" s="3378" t="s">
        <v>3529</v>
      </c>
      <c r="D792" s="3379" t="s">
        <v>3541</v>
      </c>
      <c r="E792" s="3378" t="s">
        <v>3545</v>
      </c>
      <c r="F792" s="3377" t="s">
        <v>3383</v>
      </c>
      <c r="G792" s="3378">
        <v>69.94</v>
      </c>
      <c r="H792" s="3379" t="s">
        <v>3248</v>
      </c>
    </row>
    <row r="793" spans="1:8" ht="14.25" thickBot="1">
      <c r="A793" s="3376">
        <v>792</v>
      </c>
      <c r="B793" s="3377" t="s">
        <v>3524</v>
      </c>
      <c r="C793" s="3378" t="s">
        <v>3529</v>
      </c>
      <c r="D793" s="3379" t="s">
        <v>3541</v>
      </c>
      <c r="E793" s="3378" t="s">
        <v>3545</v>
      </c>
      <c r="F793" s="3377" t="s">
        <v>3384</v>
      </c>
      <c r="G793" s="3378">
        <v>66.28</v>
      </c>
      <c r="H793" s="3379" t="s">
        <v>3248</v>
      </c>
    </row>
    <row r="794" spans="1:8" ht="14.25" thickBot="1">
      <c r="A794" s="3376">
        <v>793</v>
      </c>
      <c r="B794" s="3377" t="s">
        <v>3524</v>
      </c>
      <c r="C794" s="3378" t="s">
        <v>3529</v>
      </c>
      <c r="D794" s="3379" t="s">
        <v>3542</v>
      </c>
      <c r="E794" s="3378" t="s">
        <v>3545</v>
      </c>
      <c r="F794" s="3377" t="s">
        <v>3385</v>
      </c>
      <c r="G794" s="3378">
        <v>69.94</v>
      </c>
      <c r="H794" s="3379" t="s">
        <v>3248</v>
      </c>
    </row>
    <row r="795" spans="1:8" ht="14.25" thickBot="1">
      <c r="A795" s="3376">
        <v>794</v>
      </c>
      <c r="B795" s="3377" t="s">
        <v>3524</v>
      </c>
      <c r="C795" s="3378" t="s">
        <v>3529</v>
      </c>
      <c r="D795" s="3379" t="s">
        <v>3542</v>
      </c>
      <c r="E795" s="3378" t="s">
        <v>3545</v>
      </c>
      <c r="F795" s="3377" t="s">
        <v>3386</v>
      </c>
      <c r="G795" s="3378">
        <v>66.28</v>
      </c>
      <c r="H795" s="3379" t="s">
        <v>3248</v>
      </c>
    </row>
    <row r="796" spans="1:8" ht="14.25" thickBot="1">
      <c r="A796" s="3376">
        <v>795</v>
      </c>
      <c r="B796" s="3377" t="s">
        <v>3524</v>
      </c>
      <c r="C796" s="3378" t="s">
        <v>3530</v>
      </c>
      <c r="D796" s="3379" t="s">
        <v>3540</v>
      </c>
      <c r="E796" s="3378" t="s">
        <v>3545</v>
      </c>
      <c r="F796" s="3377" t="s">
        <v>3387</v>
      </c>
      <c r="G796" s="3378">
        <v>66.069999999999993</v>
      </c>
      <c r="H796" s="3379" t="s">
        <v>3248</v>
      </c>
    </row>
    <row r="797" spans="1:8" ht="14.25" thickBot="1">
      <c r="A797" s="3376">
        <v>796</v>
      </c>
      <c r="B797" s="3377" t="s">
        <v>3524</v>
      </c>
      <c r="C797" s="3378" t="s">
        <v>3531</v>
      </c>
      <c r="D797" s="3379" t="s">
        <v>3538</v>
      </c>
      <c r="E797" s="3378" t="s">
        <v>3544</v>
      </c>
      <c r="F797" s="3377" t="s">
        <v>3388</v>
      </c>
      <c r="G797" s="3378">
        <v>85.45</v>
      </c>
      <c r="H797" s="3379" t="s">
        <v>3248</v>
      </c>
    </row>
    <row r="798" spans="1:8" ht="14.25" thickBot="1">
      <c r="A798" s="3376">
        <v>797</v>
      </c>
      <c r="B798" s="3377" t="s">
        <v>3524</v>
      </c>
      <c r="C798" s="3378" t="s">
        <v>3531</v>
      </c>
      <c r="D798" s="3380" t="s">
        <v>3539</v>
      </c>
      <c r="E798" s="3378" t="s">
        <v>3544</v>
      </c>
      <c r="F798" s="3377" t="s">
        <v>3389</v>
      </c>
      <c r="G798" s="3378">
        <v>97.31</v>
      </c>
      <c r="H798" s="3379" t="s">
        <v>3248</v>
      </c>
    </row>
    <row r="799" spans="1:8" ht="14.25" thickBot="1">
      <c r="A799" s="3376">
        <v>798</v>
      </c>
      <c r="B799" s="3377" t="s">
        <v>3524</v>
      </c>
      <c r="C799" s="3378" t="s">
        <v>3531</v>
      </c>
      <c r="D799" s="3379" t="s">
        <v>3540</v>
      </c>
      <c r="E799" s="3378" t="s">
        <v>3544</v>
      </c>
      <c r="F799" s="3377" t="s">
        <v>3390</v>
      </c>
      <c r="G799" s="3378">
        <v>85.45</v>
      </c>
      <c r="H799" s="3379" t="s">
        <v>3248</v>
      </c>
    </row>
    <row r="800" spans="1:8" ht="14.25" thickBot="1">
      <c r="A800" s="3376">
        <v>799</v>
      </c>
      <c r="B800" s="3377" t="s">
        <v>3524</v>
      </c>
      <c r="C800" s="3378" t="s">
        <v>3531</v>
      </c>
      <c r="D800" s="3379" t="s">
        <v>3540</v>
      </c>
      <c r="E800" s="3378" t="s">
        <v>3544</v>
      </c>
      <c r="F800" s="3377" t="s">
        <v>3391</v>
      </c>
      <c r="G800" s="3378">
        <v>85.45</v>
      </c>
      <c r="H800" s="3379" t="s">
        <v>3248</v>
      </c>
    </row>
    <row r="801" spans="1:8" ht="14.25" thickBot="1">
      <c r="A801" s="3376">
        <v>800</v>
      </c>
      <c r="B801" s="3377" t="s">
        <v>3524</v>
      </c>
      <c r="C801" s="3378" t="s">
        <v>3531</v>
      </c>
      <c r="D801" s="3379" t="s">
        <v>3541</v>
      </c>
      <c r="E801" s="3378" t="s">
        <v>3544</v>
      </c>
      <c r="F801" s="3377" t="s">
        <v>3392</v>
      </c>
      <c r="G801" s="3378">
        <v>66.28</v>
      </c>
      <c r="H801" s="3379" t="s">
        <v>3248</v>
      </c>
    </row>
    <row r="802" spans="1:8" ht="14.25" thickBot="1">
      <c r="A802" s="3376">
        <v>801</v>
      </c>
      <c r="B802" s="3377" t="s">
        <v>3524</v>
      </c>
      <c r="C802" s="3378" t="s">
        <v>3531</v>
      </c>
      <c r="D802" s="3379" t="s">
        <v>3541</v>
      </c>
      <c r="E802" s="3378" t="s">
        <v>3544</v>
      </c>
      <c r="F802" s="3377" t="s">
        <v>3393</v>
      </c>
      <c r="G802" s="3378">
        <v>85.45</v>
      </c>
      <c r="H802" s="3379" t="s">
        <v>3248</v>
      </c>
    </row>
    <row r="803" spans="1:8" ht="14.25" thickBot="1">
      <c r="A803" s="3376">
        <v>802</v>
      </c>
      <c r="B803" s="3377" t="s">
        <v>3524</v>
      </c>
      <c r="C803" s="3378" t="s">
        <v>3531</v>
      </c>
      <c r="D803" s="3379" t="s">
        <v>3541</v>
      </c>
      <c r="E803" s="3378" t="s">
        <v>3544</v>
      </c>
      <c r="F803" s="3377" t="s">
        <v>3394</v>
      </c>
      <c r="G803" s="3378">
        <v>85.45</v>
      </c>
      <c r="H803" s="3379" t="s">
        <v>3248</v>
      </c>
    </row>
    <row r="804" spans="1:8" ht="14.25" thickBot="1">
      <c r="A804" s="3376">
        <v>803</v>
      </c>
      <c r="B804" s="3377" t="s">
        <v>3524</v>
      </c>
      <c r="C804" s="3378" t="s">
        <v>3531</v>
      </c>
      <c r="D804" s="3379" t="s">
        <v>3542</v>
      </c>
      <c r="E804" s="3378" t="s">
        <v>3544</v>
      </c>
      <c r="F804" s="3377" t="s">
        <v>3395</v>
      </c>
      <c r="G804" s="3378">
        <v>85.45</v>
      </c>
      <c r="H804" s="3379" t="s">
        <v>3248</v>
      </c>
    </row>
    <row r="805" spans="1:8" ht="14.25" thickBot="1">
      <c r="A805" s="3376">
        <v>804</v>
      </c>
      <c r="B805" s="3377" t="s">
        <v>3524</v>
      </c>
      <c r="C805" s="3378" t="s">
        <v>3531</v>
      </c>
      <c r="D805" s="3379" t="s">
        <v>3542</v>
      </c>
      <c r="E805" s="3378" t="s">
        <v>3544</v>
      </c>
      <c r="F805" s="3377" t="s">
        <v>3396</v>
      </c>
      <c r="G805" s="3378">
        <v>85.45</v>
      </c>
      <c r="H805" s="3379" t="s">
        <v>3248</v>
      </c>
    </row>
    <row r="806" spans="1:8" ht="14.25" thickBot="1">
      <c r="A806" s="3376">
        <v>805</v>
      </c>
      <c r="B806" s="3377" t="s">
        <v>3524</v>
      </c>
      <c r="C806" s="3378" t="s">
        <v>3531</v>
      </c>
      <c r="D806" s="3379" t="s">
        <v>3538</v>
      </c>
      <c r="E806" s="3378" t="s">
        <v>3545</v>
      </c>
      <c r="F806" s="3377" t="s">
        <v>3398</v>
      </c>
      <c r="G806" s="3378">
        <v>67.23</v>
      </c>
      <c r="H806" s="3379" t="s">
        <v>3248</v>
      </c>
    </row>
    <row r="807" spans="1:8" ht="14.25" thickBot="1">
      <c r="A807" s="3376">
        <v>806</v>
      </c>
      <c r="B807" s="3377" t="s">
        <v>3524</v>
      </c>
      <c r="C807" s="3378" t="s">
        <v>3531</v>
      </c>
      <c r="D807" s="3380" t="s">
        <v>3539</v>
      </c>
      <c r="E807" s="3378" t="s">
        <v>3545</v>
      </c>
      <c r="F807" s="3377" t="s">
        <v>3399</v>
      </c>
      <c r="G807" s="3378">
        <v>67.23</v>
      </c>
      <c r="H807" s="3379" t="s">
        <v>3248</v>
      </c>
    </row>
    <row r="808" spans="1:8" ht="14.25" thickBot="1">
      <c r="A808" s="3376">
        <v>807</v>
      </c>
      <c r="B808" s="3377" t="s">
        <v>3524</v>
      </c>
      <c r="C808" s="3378" t="s">
        <v>3531</v>
      </c>
      <c r="D808" s="3379" t="s">
        <v>3540</v>
      </c>
      <c r="E808" s="3378" t="s">
        <v>3545</v>
      </c>
      <c r="F808" s="3377" t="s">
        <v>3400</v>
      </c>
      <c r="G808" s="3378">
        <v>72.48</v>
      </c>
      <c r="H808" s="3379" t="s">
        <v>3248</v>
      </c>
    </row>
    <row r="809" spans="1:8" ht="14.25" thickBot="1">
      <c r="A809" s="3376">
        <v>808</v>
      </c>
      <c r="B809" s="3377" t="s">
        <v>3524</v>
      </c>
      <c r="C809" s="3378" t="s">
        <v>3531</v>
      </c>
      <c r="D809" s="3379" t="s">
        <v>3540</v>
      </c>
      <c r="E809" s="3378" t="s">
        <v>3545</v>
      </c>
      <c r="F809" s="3377" t="s">
        <v>3401</v>
      </c>
      <c r="G809" s="3378">
        <v>86.67</v>
      </c>
      <c r="H809" s="3379" t="s">
        <v>3248</v>
      </c>
    </row>
    <row r="810" spans="1:8" ht="14.25" thickBot="1">
      <c r="A810" s="3376">
        <v>809</v>
      </c>
      <c r="B810" s="3377" t="s">
        <v>3524</v>
      </c>
      <c r="C810" s="3378" t="s">
        <v>3531</v>
      </c>
      <c r="D810" s="3379" t="s">
        <v>3540</v>
      </c>
      <c r="E810" s="3378" t="s">
        <v>3545</v>
      </c>
      <c r="F810" s="3377" t="s">
        <v>3402</v>
      </c>
      <c r="G810" s="3378">
        <v>86.67</v>
      </c>
      <c r="H810" s="3379" t="s">
        <v>3248</v>
      </c>
    </row>
    <row r="811" spans="1:8" ht="14.25" thickBot="1">
      <c r="A811" s="3376">
        <v>810</v>
      </c>
      <c r="B811" s="3377" t="s">
        <v>3524</v>
      </c>
      <c r="C811" s="3378" t="s">
        <v>3531</v>
      </c>
      <c r="D811" s="3379" t="s">
        <v>3540</v>
      </c>
      <c r="E811" s="3378" t="s">
        <v>3545</v>
      </c>
      <c r="F811" s="3377" t="s">
        <v>3403</v>
      </c>
      <c r="G811" s="3378">
        <v>67.23</v>
      </c>
      <c r="H811" s="3379" t="s">
        <v>3248</v>
      </c>
    </row>
    <row r="812" spans="1:8" ht="14.25" thickBot="1">
      <c r="A812" s="3376">
        <v>811</v>
      </c>
      <c r="B812" s="3377" t="s">
        <v>3524</v>
      </c>
      <c r="C812" s="3378" t="s">
        <v>3531</v>
      </c>
      <c r="D812" s="3379" t="s">
        <v>3541</v>
      </c>
      <c r="E812" s="3378" t="s">
        <v>3545</v>
      </c>
      <c r="F812" s="3377" t="s">
        <v>3404</v>
      </c>
      <c r="G812" s="3378">
        <v>67.23</v>
      </c>
      <c r="H812" s="3379" t="s">
        <v>3248</v>
      </c>
    </row>
    <row r="813" spans="1:8" ht="14.25" thickBot="1">
      <c r="A813" s="3376">
        <v>812</v>
      </c>
      <c r="B813" s="3377" t="s">
        <v>3524</v>
      </c>
      <c r="C813" s="3378" t="s">
        <v>3531</v>
      </c>
      <c r="D813" s="3379" t="s">
        <v>3542</v>
      </c>
      <c r="E813" s="3378" t="s">
        <v>3545</v>
      </c>
      <c r="F813" s="3377" t="s">
        <v>3405</v>
      </c>
      <c r="G813" s="3378">
        <v>72.48</v>
      </c>
      <c r="H813" s="3379" t="s">
        <v>3248</v>
      </c>
    </row>
    <row r="814" spans="1:8" ht="14.25" thickBot="1">
      <c r="A814" s="3376">
        <v>813</v>
      </c>
      <c r="B814" s="3377" t="s">
        <v>3524</v>
      </c>
      <c r="C814" s="3378" t="s">
        <v>3531</v>
      </c>
      <c r="D814" s="3379" t="s">
        <v>3542</v>
      </c>
      <c r="E814" s="3378" t="s">
        <v>3545</v>
      </c>
      <c r="F814" s="3377" t="s">
        <v>3406</v>
      </c>
      <c r="G814" s="3378">
        <v>67.23</v>
      </c>
      <c r="H814" s="3379" t="s">
        <v>3248</v>
      </c>
    </row>
    <row r="815" spans="1:8" ht="14.25" thickBot="1">
      <c r="A815" s="3376">
        <v>814</v>
      </c>
      <c r="B815" s="3377" t="s">
        <v>3525</v>
      </c>
      <c r="C815" s="3378" t="s">
        <v>3532</v>
      </c>
      <c r="D815" s="3379" t="s">
        <v>3541</v>
      </c>
      <c r="E815" s="3378" t="s">
        <v>3544</v>
      </c>
      <c r="F815" s="3377" t="s">
        <v>3407</v>
      </c>
      <c r="G815" s="3378">
        <v>68.990000000000009</v>
      </c>
      <c r="H815" s="3379" t="s">
        <v>3248</v>
      </c>
    </row>
    <row r="816" spans="1:8" ht="14.25" thickBot="1">
      <c r="A816" s="3376">
        <v>815</v>
      </c>
      <c r="B816" s="3377" t="s">
        <v>3524</v>
      </c>
      <c r="C816" s="3378" t="s">
        <v>3533</v>
      </c>
      <c r="D816" s="3379" t="s">
        <v>3538</v>
      </c>
      <c r="E816" s="3378" t="s">
        <v>3544</v>
      </c>
      <c r="F816" s="3377" t="s">
        <v>3408</v>
      </c>
      <c r="G816" s="3378">
        <v>66.069999999999993</v>
      </c>
      <c r="H816" s="3379" t="s">
        <v>3248</v>
      </c>
    </row>
    <row r="817" spans="1:8" ht="14.25" thickBot="1">
      <c r="A817" s="3376">
        <v>816</v>
      </c>
      <c r="B817" s="3377" t="s">
        <v>3524</v>
      </c>
      <c r="C817" s="3378" t="s">
        <v>3533</v>
      </c>
      <c r="D817" s="3379" t="s">
        <v>3538</v>
      </c>
      <c r="E817" s="3378" t="s">
        <v>3544</v>
      </c>
      <c r="F817" s="3377" t="s">
        <v>3409</v>
      </c>
      <c r="G817" s="3378">
        <v>69.75</v>
      </c>
      <c r="H817" s="3379" t="s">
        <v>3248</v>
      </c>
    </row>
    <row r="818" spans="1:8" ht="14.25" thickBot="1">
      <c r="A818" s="3376">
        <v>817</v>
      </c>
      <c r="B818" s="3377" t="s">
        <v>3524</v>
      </c>
      <c r="C818" s="3378" t="s">
        <v>3533</v>
      </c>
      <c r="D818" s="3379" t="s">
        <v>3540</v>
      </c>
      <c r="E818" s="3378" t="s">
        <v>3544</v>
      </c>
      <c r="F818" s="3377" t="s">
        <v>3410</v>
      </c>
      <c r="G818" s="3378">
        <v>66.069999999999993</v>
      </c>
      <c r="H818" s="3379" t="s">
        <v>3248</v>
      </c>
    </row>
    <row r="819" spans="1:8" ht="14.25" thickBot="1">
      <c r="A819" s="3376">
        <v>818</v>
      </c>
      <c r="B819" s="3377" t="s">
        <v>3524</v>
      </c>
      <c r="C819" s="3378" t="s">
        <v>3533</v>
      </c>
      <c r="D819" s="3379" t="s">
        <v>3540</v>
      </c>
      <c r="E819" s="3378" t="s">
        <v>3544</v>
      </c>
      <c r="F819" s="3377" t="s">
        <v>3411</v>
      </c>
      <c r="G819" s="3378">
        <v>94.74</v>
      </c>
      <c r="H819" s="3379" t="s">
        <v>3248</v>
      </c>
    </row>
    <row r="820" spans="1:8" ht="14.25" thickBot="1">
      <c r="A820" s="3376">
        <v>819</v>
      </c>
      <c r="B820" s="3377" t="s">
        <v>3524</v>
      </c>
      <c r="C820" s="3378" t="s">
        <v>3533</v>
      </c>
      <c r="D820" s="3379" t="s">
        <v>3541</v>
      </c>
      <c r="E820" s="3378" t="s">
        <v>3544</v>
      </c>
      <c r="F820" s="3377" t="s">
        <v>3412</v>
      </c>
      <c r="G820" s="3378">
        <v>69.56</v>
      </c>
      <c r="H820" s="3379" t="s">
        <v>3248</v>
      </c>
    </row>
    <row r="821" spans="1:8" ht="14.25" thickBot="1">
      <c r="A821" s="3376">
        <v>820</v>
      </c>
      <c r="B821" s="3377" t="s">
        <v>3524</v>
      </c>
      <c r="C821" s="3378" t="s">
        <v>3533</v>
      </c>
      <c r="D821" s="3379" t="s">
        <v>3541</v>
      </c>
      <c r="E821" s="3378" t="s">
        <v>3544</v>
      </c>
      <c r="F821" s="3377" t="s">
        <v>3413</v>
      </c>
      <c r="G821" s="3378">
        <v>69.75</v>
      </c>
      <c r="H821" s="3379" t="s">
        <v>3248</v>
      </c>
    </row>
    <row r="822" spans="1:8" ht="14.25" thickBot="1">
      <c r="A822" s="3376">
        <v>821</v>
      </c>
      <c r="B822" s="3377" t="s">
        <v>3524</v>
      </c>
      <c r="C822" s="3378" t="s">
        <v>3533</v>
      </c>
      <c r="D822" s="3379" t="s">
        <v>3542</v>
      </c>
      <c r="E822" s="3378" t="s">
        <v>3544</v>
      </c>
      <c r="F822" s="3377" t="s">
        <v>3414</v>
      </c>
      <c r="G822" s="3378">
        <v>69.75</v>
      </c>
      <c r="H822" s="3379" t="s">
        <v>3248</v>
      </c>
    </row>
    <row r="823" spans="1:8" ht="14.25" thickBot="1">
      <c r="A823" s="3376">
        <v>822</v>
      </c>
      <c r="B823" s="3377" t="s">
        <v>3524</v>
      </c>
      <c r="C823" s="3378" t="s">
        <v>3533</v>
      </c>
      <c r="D823" s="3379" t="s">
        <v>3542</v>
      </c>
      <c r="E823" s="3378" t="s">
        <v>3544</v>
      </c>
      <c r="F823" s="3377" t="s">
        <v>3415</v>
      </c>
      <c r="G823" s="3378">
        <v>69.56</v>
      </c>
      <c r="H823" s="3379" t="s">
        <v>3248</v>
      </c>
    </row>
    <row r="824" spans="1:8" ht="14.25" thickBot="1">
      <c r="A824" s="3376">
        <v>823</v>
      </c>
      <c r="B824" s="3377" t="s">
        <v>3524</v>
      </c>
      <c r="C824" s="3378" t="s">
        <v>3533</v>
      </c>
      <c r="D824" s="3379" t="s">
        <v>3538</v>
      </c>
      <c r="E824" s="3378" t="s">
        <v>3545</v>
      </c>
      <c r="F824" s="3377" t="s">
        <v>3416</v>
      </c>
      <c r="G824" s="3378">
        <v>69.75</v>
      </c>
      <c r="H824" s="3379" t="s">
        <v>3248</v>
      </c>
    </row>
    <row r="825" spans="1:8" ht="14.25" thickBot="1">
      <c r="A825" s="3376">
        <v>824</v>
      </c>
      <c r="B825" s="3377" t="s">
        <v>3524</v>
      </c>
      <c r="C825" s="3378" t="s">
        <v>3533</v>
      </c>
      <c r="D825" s="3379" t="s">
        <v>3538</v>
      </c>
      <c r="E825" s="3378" t="s">
        <v>3545</v>
      </c>
      <c r="F825" s="3377" t="s">
        <v>3417</v>
      </c>
      <c r="G825" s="3378">
        <v>69.56</v>
      </c>
      <c r="H825" s="3379" t="s">
        <v>3248</v>
      </c>
    </row>
    <row r="826" spans="1:8" ht="14.25" thickBot="1">
      <c r="A826" s="3376">
        <v>825</v>
      </c>
      <c r="B826" s="3377" t="s">
        <v>3524</v>
      </c>
      <c r="C826" s="3378" t="s">
        <v>3533</v>
      </c>
      <c r="D826" s="3379" t="s">
        <v>3538</v>
      </c>
      <c r="E826" s="3378" t="s">
        <v>3545</v>
      </c>
      <c r="F826" s="3377" t="s">
        <v>3418</v>
      </c>
      <c r="G826" s="3378">
        <v>66.069999999999993</v>
      </c>
      <c r="H826" s="3379" t="s">
        <v>3248</v>
      </c>
    </row>
    <row r="827" spans="1:8" ht="14.25" thickBot="1">
      <c r="A827" s="3376">
        <v>826</v>
      </c>
      <c r="B827" s="3377" t="s">
        <v>3524</v>
      </c>
      <c r="C827" s="3378" t="s">
        <v>3533</v>
      </c>
      <c r="D827" s="3380" t="s">
        <v>3539</v>
      </c>
      <c r="E827" s="3378" t="s">
        <v>3545</v>
      </c>
      <c r="F827" s="3377" t="s">
        <v>3419</v>
      </c>
      <c r="G827" s="3378">
        <v>66.069999999999993</v>
      </c>
      <c r="H827" s="3379" t="s">
        <v>3248</v>
      </c>
    </row>
    <row r="828" spans="1:8" ht="14.25" thickBot="1">
      <c r="A828" s="3376">
        <v>827</v>
      </c>
      <c r="B828" s="3377" t="s">
        <v>3524</v>
      </c>
      <c r="C828" s="3378" t="s">
        <v>3533</v>
      </c>
      <c r="D828" s="3379" t="s">
        <v>3540</v>
      </c>
      <c r="E828" s="3378" t="s">
        <v>3545</v>
      </c>
      <c r="F828" s="3377" t="s">
        <v>3421</v>
      </c>
      <c r="G828" s="3378">
        <v>69.56</v>
      </c>
      <c r="H828" s="3379" t="s">
        <v>3248</v>
      </c>
    </row>
    <row r="829" spans="1:8" ht="14.25" thickBot="1">
      <c r="A829" s="3376">
        <v>828</v>
      </c>
      <c r="B829" s="3377" t="s">
        <v>3524</v>
      </c>
      <c r="C829" s="3378" t="s">
        <v>3533</v>
      </c>
      <c r="D829" s="3379" t="s">
        <v>3540</v>
      </c>
      <c r="E829" s="3378" t="s">
        <v>3545</v>
      </c>
      <c r="F829" s="3377" t="s">
        <v>3422</v>
      </c>
      <c r="G829" s="3378">
        <v>69.56</v>
      </c>
      <c r="H829" s="3379" t="s">
        <v>3248</v>
      </c>
    </row>
    <row r="830" spans="1:8" ht="14.25" thickBot="1">
      <c r="A830" s="3376">
        <v>829</v>
      </c>
      <c r="B830" s="3377" t="s">
        <v>3524</v>
      </c>
      <c r="C830" s="3378" t="s">
        <v>3533</v>
      </c>
      <c r="D830" s="3379" t="s">
        <v>3540</v>
      </c>
      <c r="E830" s="3378" t="s">
        <v>3545</v>
      </c>
      <c r="F830" s="3377" t="s">
        <v>3423</v>
      </c>
      <c r="G830" s="3378">
        <v>66.069999999999993</v>
      </c>
      <c r="H830" s="3379" t="s">
        <v>3248</v>
      </c>
    </row>
    <row r="831" spans="1:8" ht="14.25" thickBot="1">
      <c r="A831" s="3376">
        <v>830</v>
      </c>
      <c r="B831" s="3377" t="s">
        <v>3524</v>
      </c>
      <c r="C831" s="3378" t="s">
        <v>3533</v>
      </c>
      <c r="D831" s="3379" t="s">
        <v>3541</v>
      </c>
      <c r="E831" s="3378" t="s">
        <v>3545</v>
      </c>
      <c r="F831" s="3377" t="s">
        <v>3424</v>
      </c>
      <c r="G831" s="3378">
        <v>66.069999999999993</v>
      </c>
      <c r="H831" s="3379" t="s">
        <v>3248</v>
      </c>
    </row>
    <row r="832" spans="1:8" ht="14.25" thickBot="1">
      <c r="A832" s="3376">
        <v>831</v>
      </c>
      <c r="B832" s="3377" t="s">
        <v>3524</v>
      </c>
      <c r="C832" s="3378" t="s">
        <v>3533</v>
      </c>
      <c r="D832" s="3379" t="s">
        <v>3542</v>
      </c>
      <c r="E832" s="3378" t="s">
        <v>3545</v>
      </c>
      <c r="F832" s="3377" t="s">
        <v>3425</v>
      </c>
      <c r="G832" s="3378">
        <v>69.56</v>
      </c>
      <c r="H832" s="3379" t="s">
        <v>3248</v>
      </c>
    </row>
    <row r="833" spans="1:8" ht="14.25" thickBot="1">
      <c r="A833" s="3376">
        <v>832</v>
      </c>
      <c r="B833" s="3377" t="s">
        <v>3524</v>
      </c>
      <c r="C833" s="3378" t="s">
        <v>3533</v>
      </c>
      <c r="D833" s="3379" t="s">
        <v>3542</v>
      </c>
      <c r="E833" s="3378" t="s">
        <v>3545</v>
      </c>
      <c r="F833" s="3377" t="s">
        <v>3426</v>
      </c>
      <c r="G833" s="3378">
        <v>69.56</v>
      </c>
      <c r="H833" s="3379" t="s">
        <v>3248</v>
      </c>
    </row>
    <row r="834" spans="1:8" ht="14.25" thickBot="1">
      <c r="A834" s="3376">
        <v>833</v>
      </c>
      <c r="B834" s="3377" t="s">
        <v>3524</v>
      </c>
      <c r="C834" s="3378" t="s">
        <v>3534</v>
      </c>
      <c r="D834" s="3379" t="s">
        <v>3538</v>
      </c>
      <c r="E834" s="3378" t="s">
        <v>3544</v>
      </c>
      <c r="F834" s="3377" t="s">
        <v>3427</v>
      </c>
      <c r="G834" s="3378">
        <v>65.510000000000005</v>
      </c>
      <c r="H834" s="3379" t="s">
        <v>3248</v>
      </c>
    </row>
    <row r="835" spans="1:8" ht="14.25" thickBot="1">
      <c r="A835" s="3376">
        <v>834</v>
      </c>
      <c r="B835" s="3377" t="s">
        <v>3524</v>
      </c>
      <c r="C835" s="3378" t="s">
        <v>3534</v>
      </c>
      <c r="D835" s="3379" t="s">
        <v>3538</v>
      </c>
      <c r="E835" s="3378" t="s">
        <v>3544</v>
      </c>
      <c r="F835" s="3377" t="s">
        <v>3428</v>
      </c>
      <c r="G835" s="3378">
        <v>93.91</v>
      </c>
      <c r="H835" s="3379" t="s">
        <v>3248</v>
      </c>
    </row>
    <row r="836" spans="1:8" ht="14.25" thickBot="1">
      <c r="A836" s="3376">
        <v>835</v>
      </c>
      <c r="B836" s="3377" t="s">
        <v>3524</v>
      </c>
      <c r="C836" s="3378" t="s">
        <v>3534</v>
      </c>
      <c r="D836" s="3380" t="s">
        <v>3539</v>
      </c>
      <c r="E836" s="3378" t="s">
        <v>3544</v>
      </c>
      <c r="F836" s="3377" t="s">
        <v>3429</v>
      </c>
      <c r="G836" s="3378">
        <v>69.290000000000006</v>
      </c>
      <c r="H836" s="3379" t="s">
        <v>3248</v>
      </c>
    </row>
    <row r="837" spans="1:8" ht="14.25" thickBot="1">
      <c r="A837" s="3376">
        <v>836</v>
      </c>
      <c r="B837" s="3377" t="s">
        <v>3524</v>
      </c>
      <c r="C837" s="3378" t="s">
        <v>3534</v>
      </c>
      <c r="D837" s="3380" t="s">
        <v>3539</v>
      </c>
      <c r="E837" s="3378" t="s">
        <v>3544</v>
      </c>
      <c r="F837" s="3377" t="s">
        <v>3430</v>
      </c>
      <c r="G837" s="3378">
        <v>69.290000000000006</v>
      </c>
      <c r="H837" s="3379" t="s">
        <v>3248</v>
      </c>
    </row>
    <row r="838" spans="1:8" ht="14.25" thickBot="1">
      <c r="A838" s="3376">
        <v>837</v>
      </c>
      <c r="B838" s="3377" t="s">
        <v>3524</v>
      </c>
      <c r="C838" s="3378" t="s">
        <v>3534</v>
      </c>
      <c r="D838" s="3380" t="s">
        <v>3539</v>
      </c>
      <c r="E838" s="3378" t="s">
        <v>3544</v>
      </c>
      <c r="F838" s="3377" t="s">
        <v>3431</v>
      </c>
      <c r="G838" s="3378">
        <v>68.94</v>
      </c>
      <c r="H838" s="3379" t="s">
        <v>3248</v>
      </c>
    </row>
    <row r="839" spans="1:8" ht="14.25" thickBot="1">
      <c r="A839" s="3376">
        <v>838</v>
      </c>
      <c r="B839" s="3377" t="s">
        <v>3524</v>
      </c>
      <c r="C839" s="3378" t="s">
        <v>3534</v>
      </c>
      <c r="D839" s="3379" t="s">
        <v>3540</v>
      </c>
      <c r="E839" s="3378" t="s">
        <v>3544</v>
      </c>
      <c r="F839" s="3377" t="s">
        <v>3432</v>
      </c>
      <c r="G839" s="3378">
        <v>68.94</v>
      </c>
      <c r="H839" s="3379" t="s">
        <v>3248</v>
      </c>
    </row>
    <row r="840" spans="1:8" ht="14.25" thickBot="1">
      <c r="A840" s="3376">
        <v>839</v>
      </c>
      <c r="B840" s="3377" t="s">
        <v>3524</v>
      </c>
      <c r="C840" s="3378" t="s">
        <v>3534</v>
      </c>
      <c r="D840" s="3379" t="s">
        <v>3540</v>
      </c>
      <c r="E840" s="3378" t="s">
        <v>3544</v>
      </c>
      <c r="F840" s="3377" t="s">
        <v>3433</v>
      </c>
      <c r="G840" s="3378">
        <v>69.290000000000006</v>
      </c>
      <c r="H840" s="3379" t="s">
        <v>3248</v>
      </c>
    </row>
    <row r="841" spans="1:8" ht="14.25" thickBot="1">
      <c r="A841" s="3376">
        <v>840</v>
      </c>
      <c r="B841" s="3377" t="s">
        <v>3524</v>
      </c>
      <c r="C841" s="3378" t="s">
        <v>3534</v>
      </c>
      <c r="D841" s="3379" t="s">
        <v>3540</v>
      </c>
      <c r="E841" s="3378" t="s">
        <v>3544</v>
      </c>
      <c r="F841" s="3377" t="s">
        <v>3434</v>
      </c>
      <c r="G841" s="3378">
        <v>68.94</v>
      </c>
      <c r="H841" s="3379" t="s">
        <v>3248</v>
      </c>
    </row>
    <row r="842" spans="1:8" ht="14.25" thickBot="1">
      <c r="A842" s="3376">
        <v>841</v>
      </c>
      <c r="B842" s="3377" t="s">
        <v>3524</v>
      </c>
      <c r="C842" s="3378" t="s">
        <v>3534</v>
      </c>
      <c r="D842" s="3379" t="s">
        <v>3541</v>
      </c>
      <c r="E842" s="3378" t="s">
        <v>3544</v>
      </c>
      <c r="F842" s="3377" t="s">
        <v>3435</v>
      </c>
      <c r="G842" s="3378">
        <v>69.290000000000006</v>
      </c>
      <c r="H842" s="3379" t="s">
        <v>3248</v>
      </c>
    </row>
    <row r="843" spans="1:8" ht="14.25" thickBot="1">
      <c r="A843" s="3376">
        <v>842</v>
      </c>
      <c r="B843" s="3377" t="s">
        <v>3524</v>
      </c>
      <c r="C843" s="3378" t="s">
        <v>3534</v>
      </c>
      <c r="D843" s="3379" t="s">
        <v>3541</v>
      </c>
      <c r="E843" s="3378" t="s">
        <v>3544</v>
      </c>
      <c r="F843" s="3377" t="s">
        <v>3436</v>
      </c>
      <c r="G843" s="3378">
        <v>69.290000000000006</v>
      </c>
      <c r="H843" s="3379" t="s">
        <v>3248</v>
      </c>
    </row>
    <row r="844" spans="1:8" ht="14.25" thickBot="1">
      <c r="A844" s="3376">
        <v>843</v>
      </c>
      <c r="B844" s="3377" t="s">
        <v>3524</v>
      </c>
      <c r="C844" s="3378" t="s">
        <v>3534</v>
      </c>
      <c r="D844" s="3379" t="s">
        <v>3541</v>
      </c>
      <c r="E844" s="3378" t="s">
        <v>3544</v>
      </c>
      <c r="F844" s="3377" t="s">
        <v>3437</v>
      </c>
      <c r="G844" s="3378">
        <v>68.94</v>
      </c>
      <c r="H844" s="3379" t="s">
        <v>3248</v>
      </c>
    </row>
    <row r="845" spans="1:8" ht="14.25" thickBot="1">
      <c r="A845" s="3376">
        <v>844</v>
      </c>
      <c r="B845" s="3377" t="s">
        <v>3524</v>
      </c>
      <c r="C845" s="3378" t="s">
        <v>3534</v>
      </c>
      <c r="D845" s="3379" t="s">
        <v>3541</v>
      </c>
      <c r="E845" s="3378" t="s">
        <v>3544</v>
      </c>
      <c r="F845" s="3377" t="s">
        <v>3439</v>
      </c>
      <c r="G845" s="3378">
        <v>93.91</v>
      </c>
      <c r="H845" s="3379" t="s">
        <v>3248</v>
      </c>
    </row>
    <row r="846" spans="1:8" ht="14.25" thickBot="1">
      <c r="A846" s="3376">
        <v>845</v>
      </c>
      <c r="B846" s="3377" t="s">
        <v>3524</v>
      </c>
      <c r="C846" s="3378" t="s">
        <v>3534</v>
      </c>
      <c r="D846" s="3379" t="s">
        <v>3542</v>
      </c>
      <c r="E846" s="3378" t="s">
        <v>3544</v>
      </c>
      <c r="F846" s="3377" t="s">
        <v>3440</v>
      </c>
      <c r="G846" s="3378">
        <v>68.94</v>
      </c>
      <c r="H846" s="3379" t="s">
        <v>3248</v>
      </c>
    </row>
    <row r="847" spans="1:8" ht="14.25" thickBot="1">
      <c r="A847" s="3376">
        <v>846</v>
      </c>
      <c r="B847" s="3377" t="s">
        <v>3524</v>
      </c>
      <c r="C847" s="3378" t="s">
        <v>3534</v>
      </c>
      <c r="D847" s="3379" t="s">
        <v>3542</v>
      </c>
      <c r="E847" s="3378" t="s">
        <v>3544</v>
      </c>
      <c r="F847" s="3377" t="s">
        <v>3441</v>
      </c>
      <c r="G847" s="3378">
        <v>69.290000000000006</v>
      </c>
      <c r="H847" s="3379" t="s">
        <v>3248</v>
      </c>
    </row>
    <row r="848" spans="1:8" ht="14.25" thickBot="1">
      <c r="A848" s="3376">
        <v>847</v>
      </c>
      <c r="B848" s="3377" t="s">
        <v>3524</v>
      </c>
      <c r="C848" s="3378" t="s">
        <v>3534</v>
      </c>
      <c r="D848" s="3379" t="s">
        <v>3542</v>
      </c>
      <c r="E848" s="3378" t="s">
        <v>3544</v>
      </c>
      <c r="F848" s="3377" t="s">
        <v>3443</v>
      </c>
      <c r="G848" s="3378">
        <v>69.290000000000006</v>
      </c>
      <c r="H848" s="3379" t="s">
        <v>3248</v>
      </c>
    </row>
    <row r="849" spans="1:8" ht="14.25" thickBot="1">
      <c r="A849" s="3376">
        <v>848</v>
      </c>
      <c r="B849" s="3377" t="s">
        <v>3524</v>
      </c>
      <c r="C849" s="3378" t="s">
        <v>3534</v>
      </c>
      <c r="D849" s="3379" t="s">
        <v>3542</v>
      </c>
      <c r="E849" s="3378" t="s">
        <v>3544</v>
      </c>
      <c r="F849" s="3377" t="s">
        <v>3444</v>
      </c>
      <c r="G849" s="3378">
        <v>68.94</v>
      </c>
      <c r="H849" s="3379" t="s">
        <v>3248</v>
      </c>
    </row>
    <row r="850" spans="1:8" ht="14.25" thickBot="1">
      <c r="A850" s="3376">
        <v>849</v>
      </c>
      <c r="B850" s="3377" t="s">
        <v>3524</v>
      </c>
      <c r="C850" s="3378" t="s">
        <v>3534</v>
      </c>
      <c r="D850" s="3379" t="s">
        <v>3542</v>
      </c>
      <c r="E850" s="3378" t="s">
        <v>3544</v>
      </c>
      <c r="F850" s="3377" t="s">
        <v>3445</v>
      </c>
      <c r="G850" s="3378">
        <v>93.91</v>
      </c>
      <c r="H850" s="3379" t="s">
        <v>3248</v>
      </c>
    </row>
    <row r="851" spans="1:8" ht="14.25" thickBot="1">
      <c r="A851" s="3376">
        <v>850</v>
      </c>
      <c r="B851" s="3377" t="s">
        <v>3524</v>
      </c>
      <c r="C851" s="3378" t="s">
        <v>3534</v>
      </c>
      <c r="D851" s="3379" t="s">
        <v>3543</v>
      </c>
      <c r="E851" s="3378" t="s">
        <v>3544</v>
      </c>
      <c r="F851" s="3377" t="s">
        <v>3446</v>
      </c>
      <c r="G851" s="3378">
        <v>68.94</v>
      </c>
      <c r="H851" s="3379" t="s">
        <v>3248</v>
      </c>
    </row>
    <row r="852" spans="1:8" ht="14.25" thickBot="1">
      <c r="A852" s="3376">
        <v>851</v>
      </c>
      <c r="B852" s="3377" t="s">
        <v>3524</v>
      </c>
      <c r="C852" s="3378" t="s">
        <v>3534</v>
      </c>
      <c r="D852" s="3379" t="s">
        <v>3538</v>
      </c>
      <c r="E852" s="3378" t="s">
        <v>3545</v>
      </c>
      <c r="F852" s="3377" t="s">
        <v>3447</v>
      </c>
      <c r="G852" s="3378">
        <v>93.91</v>
      </c>
      <c r="H852" s="3379" t="s">
        <v>3248</v>
      </c>
    </row>
    <row r="853" spans="1:8" ht="14.25" thickBot="1">
      <c r="A853" s="3376">
        <v>852</v>
      </c>
      <c r="B853" s="3377" t="s">
        <v>3524</v>
      </c>
      <c r="C853" s="3378" t="s">
        <v>3534</v>
      </c>
      <c r="D853" s="3379" t="s">
        <v>3538</v>
      </c>
      <c r="E853" s="3378" t="s">
        <v>3545</v>
      </c>
      <c r="F853" s="3377" t="s">
        <v>3448</v>
      </c>
      <c r="G853" s="3378">
        <v>68.94</v>
      </c>
      <c r="H853" s="3379" t="s">
        <v>3248</v>
      </c>
    </row>
    <row r="854" spans="1:8" ht="14.25" thickBot="1">
      <c r="A854" s="3376">
        <v>853</v>
      </c>
      <c r="B854" s="3377" t="s">
        <v>3524</v>
      </c>
      <c r="C854" s="3378" t="s">
        <v>3534</v>
      </c>
      <c r="D854" s="3379" t="s">
        <v>3538</v>
      </c>
      <c r="E854" s="3378" t="s">
        <v>3545</v>
      </c>
      <c r="F854" s="3377" t="s">
        <v>3449</v>
      </c>
      <c r="G854" s="3378">
        <v>65.510000000000005</v>
      </c>
      <c r="H854" s="3379" t="s">
        <v>3248</v>
      </c>
    </row>
    <row r="855" spans="1:8" ht="14.25" thickBot="1">
      <c r="A855" s="3376">
        <v>854</v>
      </c>
      <c r="B855" s="3377" t="s">
        <v>3524</v>
      </c>
      <c r="C855" s="3378" t="s">
        <v>3534</v>
      </c>
      <c r="D855" s="3380" t="s">
        <v>3539</v>
      </c>
      <c r="E855" s="3378" t="s">
        <v>3545</v>
      </c>
      <c r="F855" s="3377" t="s">
        <v>3450</v>
      </c>
      <c r="G855" s="3378">
        <v>68.94</v>
      </c>
      <c r="H855" s="3379" t="s">
        <v>3248</v>
      </c>
    </row>
    <row r="856" spans="1:8" ht="14.25" thickBot="1">
      <c r="A856" s="3376">
        <v>855</v>
      </c>
      <c r="B856" s="3377" t="s">
        <v>3524</v>
      </c>
      <c r="C856" s="3378" t="s">
        <v>3534</v>
      </c>
      <c r="D856" s="3380" t="s">
        <v>3539</v>
      </c>
      <c r="E856" s="3378" t="s">
        <v>3545</v>
      </c>
      <c r="F856" s="3377" t="s">
        <v>3451</v>
      </c>
      <c r="G856" s="3378">
        <v>69.290000000000006</v>
      </c>
      <c r="H856" s="3379" t="s">
        <v>3248</v>
      </c>
    </row>
    <row r="857" spans="1:8" ht="14.25" thickBot="1">
      <c r="A857" s="3376">
        <v>856</v>
      </c>
      <c r="B857" s="3377" t="s">
        <v>3524</v>
      </c>
      <c r="C857" s="3378" t="s">
        <v>3534</v>
      </c>
      <c r="D857" s="3380" t="s">
        <v>3539</v>
      </c>
      <c r="E857" s="3378" t="s">
        <v>3545</v>
      </c>
      <c r="F857" s="3377" t="s">
        <v>3452</v>
      </c>
      <c r="G857" s="3378">
        <v>69.290000000000006</v>
      </c>
      <c r="H857" s="3379" t="s">
        <v>3248</v>
      </c>
    </row>
    <row r="858" spans="1:8" ht="14.25" thickBot="1">
      <c r="A858" s="3376">
        <v>857</v>
      </c>
      <c r="B858" s="3377" t="s">
        <v>3524</v>
      </c>
      <c r="C858" s="3378" t="s">
        <v>3534</v>
      </c>
      <c r="D858" s="3380" t="s">
        <v>3539</v>
      </c>
      <c r="E858" s="3378" t="s">
        <v>3545</v>
      </c>
      <c r="F858" s="3377" t="s">
        <v>3453</v>
      </c>
      <c r="G858" s="3378">
        <v>68.94</v>
      </c>
      <c r="H858" s="3379" t="s">
        <v>3248</v>
      </c>
    </row>
    <row r="859" spans="1:8" ht="14.25" thickBot="1">
      <c r="A859" s="3376">
        <v>858</v>
      </c>
      <c r="B859" s="3377" t="s">
        <v>3524</v>
      </c>
      <c r="C859" s="3378" t="s">
        <v>3534</v>
      </c>
      <c r="D859" s="3380" t="s">
        <v>3539</v>
      </c>
      <c r="E859" s="3378" t="s">
        <v>3545</v>
      </c>
      <c r="F859" s="3377" t="s">
        <v>3454</v>
      </c>
      <c r="G859" s="3378">
        <v>65.510000000000005</v>
      </c>
      <c r="H859" s="3379" t="s">
        <v>3248</v>
      </c>
    </row>
    <row r="860" spans="1:8" ht="14.25" thickBot="1">
      <c r="A860" s="3376">
        <v>859</v>
      </c>
      <c r="B860" s="3377" t="s">
        <v>3524</v>
      </c>
      <c r="C860" s="3378" t="s">
        <v>3534</v>
      </c>
      <c r="D860" s="3379" t="s">
        <v>3540</v>
      </c>
      <c r="E860" s="3378" t="s">
        <v>3545</v>
      </c>
      <c r="F860" s="3377" t="s">
        <v>3455</v>
      </c>
      <c r="G860" s="3378">
        <v>69.290000000000006</v>
      </c>
      <c r="H860" s="3379" t="s">
        <v>3248</v>
      </c>
    </row>
    <row r="861" spans="1:8" ht="14.25" thickBot="1">
      <c r="A861" s="3376">
        <v>860</v>
      </c>
      <c r="B861" s="3377" t="s">
        <v>3524</v>
      </c>
      <c r="C861" s="3378" t="s">
        <v>3534</v>
      </c>
      <c r="D861" s="3379" t="s">
        <v>3540</v>
      </c>
      <c r="E861" s="3378" t="s">
        <v>3545</v>
      </c>
      <c r="F861" s="3377" t="s">
        <v>3456</v>
      </c>
      <c r="G861" s="3378">
        <v>69.290000000000006</v>
      </c>
      <c r="H861" s="3379" t="s">
        <v>3248</v>
      </c>
    </row>
    <row r="862" spans="1:8" ht="14.25" thickBot="1">
      <c r="A862" s="3376">
        <v>861</v>
      </c>
      <c r="B862" s="3377" t="s">
        <v>3524</v>
      </c>
      <c r="C862" s="3378" t="s">
        <v>3534</v>
      </c>
      <c r="D862" s="3379" t="s">
        <v>3540</v>
      </c>
      <c r="E862" s="3378" t="s">
        <v>3545</v>
      </c>
      <c r="F862" s="3377" t="s">
        <v>3457</v>
      </c>
      <c r="G862" s="3378">
        <v>68.94</v>
      </c>
      <c r="H862" s="3379" t="s">
        <v>3248</v>
      </c>
    </row>
    <row r="863" spans="1:8" ht="14.25" thickBot="1">
      <c r="A863" s="3376">
        <v>862</v>
      </c>
      <c r="B863" s="3377" t="s">
        <v>3524</v>
      </c>
      <c r="C863" s="3378" t="s">
        <v>3534</v>
      </c>
      <c r="D863" s="3379" t="s">
        <v>3540</v>
      </c>
      <c r="E863" s="3378" t="s">
        <v>3545</v>
      </c>
      <c r="F863" s="3377" t="s">
        <v>3458</v>
      </c>
      <c r="G863" s="3378">
        <v>65.510000000000005</v>
      </c>
      <c r="H863" s="3379" t="s">
        <v>3248</v>
      </c>
    </row>
    <row r="864" spans="1:8" ht="14.25" thickBot="1">
      <c r="A864" s="3376">
        <v>863</v>
      </c>
      <c r="B864" s="3377" t="s">
        <v>3524</v>
      </c>
      <c r="C864" s="3378" t="s">
        <v>3534</v>
      </c>
      <c r="D864" s="3379" t="s">
        <v>3541</v>
      </c>
      <c r="E864" s="3378" t="s">
        <v>3545</v>
      </c>
      <c r="F864" s="3377" t="s">
        <v>3459</v>
      </c>
      <c r="G864" s="3378">
        <v>93.91</v>
      </c>
      <c r="H864" s="3379" t="s">
        <v>3248</v>
      </c>
    </row>
    <row r="865" spans="1:8" ht="14.25" thickBot="1">
      <c r="A865" s="3376">
        <v>864</v>
      </c>
      <c r="B865" s="3377" t="s">
        <v>3524</v>
      </c>
      <c r="C865" s="3378" t="s">
        <v>3534</v>
      </c>
      <c r="D865" s="3379" t="s">
        <v>3541</v>
      </c>
      <c r="E865" s="3378" t="s">
        <v>3545</v>
      </c>
      <c r="F865" s="3377" t="s">
        <v>3460</v>
      </c>
      <c r="G865" s="3378">
        <v>68.94</v>
      </c>
      <c r="H865" s="3379" t="s">
        <v>3248</v>
      </c>
    </row>
    <row r="866" spans="1:8" ht="14.25" thickBot="1">
      <c r="A866" s="3376">
        <v>865</v>
      </c>
      <c r="B866" s="3377" t="s">
        <v>3524</v>
      </c>
      <c r="C866" s="3378" t="s">
        <v>3534</v>
      </c>
      <c r="D866" s="3379" t="s">
        <v>3541</v>
      </c>
      <c r="E866" s="3378" t="s">
        <v>3545</v>
      </c>
      <c r="F866" s="3377" t="s">
        <v>3461</v>
      </c>
      <c r="G866" s="3378">
        <v>69.290000000000006</v>
      </c>
      <c r="H866" s="3379" t="s">
        <v>3248</v>
      </c>
    </row>
    <row r="867" spans="1:8" ht="14.25" thickBot="1">
      <c r="A867" s="3376">
        <v>866</v>
      </c>
      <c r="B867" s="3377" t="s">
        <v>3524</v>
      </c>
      <c r="C867" s="3378" t="s">
        <v>3534</v>
      </c>
      <c r="D867" s="3379" t="s">
        <v>3541</v>
      </c>
      <c r="E867" s="3378" t="s">
        <v>3545</v>
      </c>
      <c r="F867" s="3377" t="s">
        <v>3462</v>
      </c>
      <c r="G867" s="3378">
        <v>69.290000000000006</v>
      </c>
      <c r="H867" s="3379" t="s">
        <v>3248</v>
      </c>
    </row>
    <row r="868" spans="1:8" ht="14.25" thickBot="1">
      <c r="A868" s="3376">
        <v>867</v>
      </c>
      <c r="B868" s="3377" t="s">
        <v>3524</v>
      </c>
      <c r="C868" s="3378" t="s">
        <v>3534</v>
      </c>
      <c r="D868" s="3379" t="s">
        <v>3542</v>
      </c>
      <c r="E868" s="3378" t="s">
        <v>3545</v>
      </c>
      <c r="F868" s="3377" t="s">
        <v>3463</v>
      </c>
      <c r="G868" s="3378">
        <v>93.91</v>
      </c>
      <c r="H868" s="3379" t="s">
        <v>3248</v>
      </c>
    </row>
    <row r="869" spans="1:8" ht="14.25" thickBot="1">
      <c r="A869" s="3376">
        <v>868</v>
      </c>
      <c r="B869" s="3377" t="s">
        <v>3524</v>
      </c>
      <c r="C869" s="3378" t="s">
        <v>3534</v>
      </c>
      <c r="D869" s="3379" t="s">
        <v>3542</v>
      </c>
      <c r="E869" s="3378" t="s">
        <v>3545</v>
      </c>
      <c r="F869" s="3377" t="s">
        <v>3464</v>
      </c>
      <c r="G869" s="3378">
        <v>68.94</v>
      </c>
      <c r="H869" s="3379" t="s">
        <v>3248</v>
      </c>
    </row>
    <row r="870" spans="1:8" ht="14.25" thickBot="1">
      <c r="A870" s="3376">
        <v>869</v>
      </c>
      <c r="B870" s="3377" t="s">
        <v>3524</v>
      </c>
      <c r="C870" s="3378" t="s">
        <v>3534</v>
      </c>
      <c r="D870" s="3379" t="s">
        <v>3542</v>
      </c>
      <c r="E870" s="3378" t="s">
        <v>3545</v>
      </c>
      <c r="F870" s="3377" t="s">
        <v>3465</v>
      </c>
      <c r="G870" s="3378">
        <v>69.290000000000006</v>
      </c>
      <c r="H870" s="3379" t="s">
        <v>3248</v>
      </c>
    </row>
    <row r="871" spans="1:8" ht="14.25" thickBot="1">
      <c r="A871" s="3376">
        <v>870</v>
      </c>
      <c r="B871" s="3377" t="s">
        <v>3524</v>
      </c>
      <c r="C871" s="3378" t="s">
        <v>3534</v>
      </c>
      <c r="D871" s="3379" t="s">
        <v>3542</v>
      </c>
      <c r="E871" s="3378" t="s">
        <v>3545</v>
      </c>
      <c r="F871" s="3377" t="s">
        <v>3466</v>
      </c>
      <c r="G871" s="3378">
        <v>69.290000000000006</v>
      </c>
      <c r="H871" s="3379" t="s">
        <v>3248</v>
      </c>
    </row>
    <row r="872" spans="1:8" ht="14.25" thickBot="1">
      <c r="A872" s="3376">
        <v>871</v>
      </c>
      <c r="B872" s="3377" t="s">
        <v>3524</v>
      </c>
      <c r="C872" s="3378" t="s">
        <v>3535</v>
      </c>
      <c r="D872" s="3379" t="s">
        <v>3538</v>
      </c>
      <c r="E872" s="3378" t="s">
        <v>3341</v>
      </c>
      <c r="F872" s="3377" t="s">
        <v>3468</v>
      </c>
      <c r="G872" s="3378">
        <v>65.52</v>
      </c>
      <c r="H872" s="3379" t="s">
        <v>3248</v>
      </c>
    </row>
    <row r="873" spans="1:8" ht="14.25" thickBot="1">
      <c r="A873" s="3376">
        <v>872</v>
      </c>
      <c r="B873" s="3377" t="s">
        <v>3524</v>
      </c>
      <c r="C873" s="3378" t="s">
        <v>3535</v>
      </c>
      <c r="D873" s="3379" t="s">
        <v>3538</v>
      </c>
      <c r="E873" s="3378" t="s">
        <v>3341</v>
      </c>
      <c r="F873" s="3377" t="s">
        <v>3470</v>
      </c>
      <c r="G873" s="3378">
        <v>93.93</v>
      </c>
      <c r="H873" s="3379" t="s">
        <v>3248</v>
      </c>
    </row>
    <row r="874" spans="1:8" ht="14.25" thickBot="1">
      <c r="A874" s="3376">
        <v>873</v>
      </c>
      <c r="B874" s="3377" t="s">
        <v>3524</v>
      </c>
      <c r="C874" s="3378" t="s">
        <v>3535</v>
      </c>
      <c r="D874" s="3380" t="s">
        <v>3539</v>
      </c>
      <c r="E874" s="3378" t="s">
        <v>3341</v>
      </c>
      <c r="F874" s="3377" t="s">
        <v>3471</v>
      </c>
      <c r="G874" s="3378">
        <v>69.05</v>
      </c>
      <c r="H874" s="3379" t="s">
        <v>3248</v>
      </c>
    </row>
    <row r="875" spans="1:8" ht="14.25" thickBot="1">
      <c r="A875" s="3376">
        <v>874</v>
      </c>
      <c r="B875" s="3377" t="s">
        <v>3524</v>
      </c>
      <c r="C875" s="3378" t="s">
        <v>3535</v>
      </c>
      <c r="D875" s="3380" t="s">
        <v>3539</v>
      </c>
      <c r="E875" s="3378" t="s">
        <v>3341</v>
      </c>
      <c r="F875" s="3377" t="s">
        <v>3472</v>
      </c>
      <c r="G875" s="3378">
        <v>69.05</v>
      </c>
      <c r="H875" s="3379" t="s">
        <v>3248</v>
      </c>
    </row>
    <row r="876" spans="1:8" ht="14.25" thickBot="1">
      <c r="A876" s="3376">
        <v>875</v>
      </c>
      <c r="B876" s="3377" t="s">
        <v>3524</v>
      </c>
      <c r="C876" s="3378" t="s">
        <v>3535</v>
      </c>
      <c r="D876" s="3380" t="s">
        <v>3539</v>
      </c>
      <c r="E876" s="3378" t="s">
        <v>3341</v>
      </c>
      <c r="F876" s="3377" t="s">
        <v>3473</v>
      </c>
      <c r="G876" s="3378">
        <v>68.95</v>
      </c>
      <c r="H876" s="3379" t="s">
        <v>3248</v>
      </c>
    </row>
    <row r="877" spans="1:8" ht="14.25" thickBot="1">
      <c r="A877" s="3376">
        <v>876</v>
      </c>
      <c r="B877" s="3377" t="s">
        <v>3524</v>
      </c>
      <c r="C877" s="3378" t="s">
        <v>3535</v>
      </c>
      <c r="D877" s="3380" t="s">
        <v>3539</v>
      </c>
      <c r="E877" s="3378" t="s">
        <v>3341</v>
      </c>
      <c r="F877" s="3377" t="s">
        <v>3475</v>
      </c>
      <c r="G877" s="3378">
        <v>93.93</v>
      </c>
      <c r="H877" s="3379" t="s">
        <v>3248</v>
      </c>
    </row>
    <row r="878" spans="1:8" ht="14.25" thickBot="1">
      <c r="A878" s="3376">
        <v>877</v>
      </c>
      <c r="B878" s="3377" t="s">
        <v>3524</v>
      </c>
      <c r="C878" s="3378" t="s">
        <v>3535</v>
      </c>
      <c r="D878" s="3379" t="s">
        <v>3540</v>
      </c>
      <c r="E878" s="3378" t="s">
        <v>3341</v>
      </c>
      <c r="F878" s="3377" t="s">
        <v>3476</v>
      </c>
      <c r="G878" s="3378">
        <v>68.95</v>
      </c>
      <c r="H878" s="3379" t="s">
        <v>3248</v>
      </c>
    </row>
    <row r="879" spans="1:8" ht="14.25" thickBot="1">
      <c r="A879" s="3376">
        <v>878</v>
      </c>
      <c r="B879" s="3377" t="s">
        <v>3524</v>
      </c>
      <c r="C879" s="3378" t="s">
        <v>3535</v>
      </c>
      <c r="D879" s="3379" t="s">
        <v>3540</v>
      </c>
      <c r="E879" s="3378" t="s">
        <v>3341</v>
      </c>
      <c r="F879" s="3377" t="s">
        <v>3477</v>
      </c>
      <c r="G879" s="3378">
        <v>69.05</v>
      </c>
      <c r="H879" s="3379" t="s">
        <v>3248</v>
      </c>
    </row>
    <row r="880" spans="1:8" ht="14.25" thickBot="1">
      <c r="A880" s="3376">
        <v>879</v>
      </c>
      <c r="B880" s="3377" t="s">
        <v>3524</v>
      </c>
      <c r="C880" s="3378" t="s">
        <v>3535</v>
      </c>
      <c r="D880" s="3379" t="s">
        <v>3540</v>
      </c>
      <c r="E880" s="3378" t="s">
        <v>3341</v>
      </c>
      <c r="F880" s="3377" t="s">
        <v>3478</v>
      </c>
      <c r="G880" s="3378">
        <v>69.05</v>
      </c>
      <c r="H880" s="3379" t="s">
        <v>3248</v>
      </c>
    </row>
    <row r="881" spans="1:8" ht="14.25" thickBot="1">
      <c r="A881" s="3376">
        <v>880</v>
      </c>
      <c r="B881" s="3377" t="s">
        <v>3524</v>
      </c>
      <c r="C881" s="3378" t="s">
        <v>3535</v>
      </c>
      <c r="D881" s="3379" t="s">
        <v>3540</v>
      </c>
      <c r="E881" s="3378" t="s">
        <v>3341</v>
      </c>
      <c r="F881" s="3377" t="s">
        <v>3479</v>
      </c>
      <c r="G881" s="3378">
        <v>68.95</v>
      </c>
      <c r="H881" s="3379" t="s">
        <v>3248</v>
      </c>
    </row>
    <row r="882" spans="1:8" ht="14.25" thickBot="1">
      <c r="A882" s="3376">
        <v>881</v>
      </c>
      <c r="B882" s="3377" t="s">
        <v>3524</v>
      </c>
      <c r="C882" s="3378" t="s">
        <v>3535</v>
      </c>
      <c r="D882" s="3379" t="s">
        <v>3540</v>
      </c>
      <c r="E882" s="3378" t="s">
        <v>3341</v>
      </c>
      <c r="F882" s="3377" t="s">
        <v>3480</v>
      </c>
      <c r="G882" s="3378">
        <v>93.93</v>
      </c>
      <c r="H882" s="3379" t="s">
        <v>3248</v>
      </c>
    </row>
    <row r="883" spans="1:8" ht="14.25" thickBot="1">
      <c r="A883" s="3376">
        <v>882</v>
      </c>
      <c r="B883" s="3377" t="s">
        <v>3524</v>
      </c>
      <c r="C883" s="3378" t="s">
        <v>3535</v>
      </c>
      <c r="D883" s="3379" t="s">
        <v>3541</v>
      </c>
      <c r="E883" s="3378" t="s">
        <v>3341</v>
      </c>
      <c r="F883" s="3377" t="s">
        <v>3481</v>
      </c>
      <c r="G883" s="3378">
        <v>68.95</v>
      </c>
      <c r="H883" s="3379" t="s">
        <v>3248</v>
      </c>
    </row>
    <row r="884" spans="1:8" ht="14.25" thickBot="1">
      <c r="A884" s="3376">
        <v>883</v>
      </c>
      <c r="B884" s="3377" t="s">
        <v>3524</v>
      </c>
      <c r="C884" s="3378" t="s">
        <v>3535</v>
      </c>
      <c r="D884" s="3379" t="s">
        <v>3541</v>
      </c>
      <c r="E884" s="3378" t="s">
        <v>3341</v>
      </c>
      <c r="F884" s="3377" t="s">
        <v>3482</v>
      </c>
      <c r="G884" s="3378">
        <v>69.05</v>
      </c>
      <c r="H884" s="3379" t="s">
        <v>3248</v>
      </c>
    </row>
    <row r="885" spans="1:8" ht="14.25" thickBot="1">
      <c r="A885" s="3376">
        <v>884</v>
      </c>
      <c r="B885" s="3377" t="s">
        <v>3524</v>
      </c>
      <c r="C885" s="3378" t="s">
        <v>3535</v>
      </c>
      <c r="D885" s="3379" t="s">
        <v>3541</v>
      </c>
      <c r="E885" s="3378" t="s">
        <v>3341</v>
      </c>
      <c r="F885" s="3377" t="s">
        <v>3483</v>
      </c>
      <c r="G885" s="3378">
        <v>69.05</v>
      </c>
      <c r="H885" s="3379" t="s">
        <v>3248</v>
      </c>
    </row>
    <row r="886" spans="1:8" ht="14.25" thickBot="1">
      <c r="A886" s="3376">
        <v>885</v>
      </c>
      <c r="B886" s="3377" t="s">
        <v>3524</v>
      </c>
      <c r="C886" s="3378" t="s">
        <v>3535</v>
      </c>
      <c r="D886" s="3379" t="s">
        <v>3541</v>
      </c>
      <c r="E886" s="3378" t="s">
        <v>3341</v>
      </c>
      <c r="F886" s="3377" t="s">
        <v>3484</v>
      </c>
      <c r="G886" s="3378">
        <v>68.95</v>
      </c>
      <c r="H886" s="3379" t="s">
        <v>3248</v>
      </c>
    </row>
    <row r="887" spans="1:8" ht="14.25" thickBot="1">
      <c r="A887" s="3376">
        <v>886</v>
      </c>
      <c r="B887" s="3377" t="s">
        <v>3524</v>
      </c>
      <c r="C887" s="3378" t="s">
        <v>3535</v>
      </c>
      <c r="D887" s="3379" t="s">
        <v>3541</v>
      </c>
      <c r="E887" s="3378" t="s">
        <v>3341</v>
      </c>
      <c r="F887" s="3377" t="s">
        <v>3485</v>
      </c>
      <c r="G887" s="3378">
        <v>93.93</v>
      </c>
      <c r="H887" s="3379" t="s">
        <v>3248</v>
      </c>
    </row>
    <row r="888" spans="1:8" ht="14.25" thickBot="1">
      <c r="A888" s="3376">
        <v>887</v>
      </c>
      <c r="B888" s="3377" t="s">
        <v>3524</v>
      </c>
      <c r="C888" s="3378" t="s">
        <v>3535</v>
      </c>
      <c r="D888" s="3379" t="s">
        <v>3542</v>
      </c>
      <c r="E888" s="3378" t="s">
        <v>3341</v>
      </c>
      <c r="F888" s="3377" t="s">
        <v>3486</v>
      </c>
      <c r="G888" s="3378">
        <v>65.52</v>
      </c>
      <c r="H888" s="3379" t="s">
        <v>3248</v>
      </c>
    </row>
    <row r="889" spans="1:8" ht="14.25" thickBot="1">
      <c r="A889" s="3376">
        <v>888</v>
      </c>
      <c r="B889" s="3377" t="s">
        <v>3524</v>
      </c>
      <c r="C889" s="3378" t="s">
        <v>3535</v>
      </c>
      <c r="D889" s="3379" t="s">
        <v>3542</v>
      </c>
      <c r="E889" s="3378" t="s">
        <v>3341</v>
      </c>
      <c r="F889" s="3377" t="s">
        <v>3487</v>
      </c>
      <c r="G889" s="3378">
        <v>68.95</v>
      </c>
      <c r="H889" s="3379" t="s">
        <v>3248</v>
      </c>
    </row>
    <row r="890" spans="1:8" ht="14.25" thickBot="1">
      <c r="A890" s="3376">
        <v>889</v>
      </c>
      <c r="B890" s="3377" t="s">
        <v>3524</v>
      </c>
      <c r="C890" s="3378" t="s">
        <v>3535</v>
      </c>
      <c r="D890" s="3379" t="s">
        <v>3542</v>
      </c>
      <c r="E890" s="3378" t="s">
        <v>3341</v>
      </c>
      <c r="F890" s="3377" t="s">
        <v>3488</v>
      </c>
      <c r="G890" s="3378">
        <v>69.05</v>
      </c>
      <c r="H890" s="3379" t="s">
        <v>3248</v>
      </c>
    </row>
    <row r="891" spans="1:8" ht="14.25" thickBot="1">
      <c r="A891" s="3376">
        <v>890</v>
      </c>
      <c r="B891" s="3377" t="s">
        <v>3524</v>
      </c>
      <c r="C891" s="3378" t="s">
        <v>3535</v>
      </c>
      <c r="D891" s="3379" t="s">
        <v>3542</v>
      </c>
      <c r="E891" s="3378" t="s">
        <v>3341</v>
      </c>
      <c r="F891" s="3377" t="s">
        <v>3489</v>
      </c>
      <c r="G891" s="3378">
        <v>69.05</v>
      </c>
      <c r="H891" s="3379" t="s">
        <v>3248</v>
      </c>
    </row>
    <row r="892" spans="1:8" ht="14.25" thickBot="1">
      <c r="A892" s="3376">
        <v>891</v>
      </c>
      <c r="B892" s="3377" t="s">
        <v>3524</v>
      </c>
      <c r="C892" s="3378" t="s">
        <v>3535</v>
      </c>
      <c r="D892" s="3379" t="s">
        <v>3542</v>
      </c>
      <c r="E892" s="3378" t="s">
        <v>3341</v>
      </c>
      <c r="F892" s="3377" t="s">
        <v>3490</v>
      </c>
      <c r="G892" s="3378">
        <v>68.95</v>
      </c>
      <c r="H892" s="3379" t="s">
        <v>3248</v>
      </c>
    </row>
    <row r="893" spans="1:8" ht="14.25" thickBot="1">
      <c r="A893" s="3376">
        <v>892</v>
      </c>
      <c r="B893" s="3377" t="s">
        <v>3524</v>
      </c>
      <c r="C893" s="3378" t="s">
        <v>3535</v>
      </c>
      <c r="D893" s="3379" t="s">
        <v>3542</v>
      </c>
      <c r="E893" s="3378" t="s">
        <v>3341</v>
      </c>
      <c r="F893" s="3377" t="s">
        <v>3491</v>
      </c>
      <c r="G893" s="3378">
        <v>93.93</v>
      </c>
      <c r="H893" s="3379" t="s">
        <v>3248</v>
      </c>
    </row>
    <row r="894" spans="1:8" ht="14.25" thickBot="1">
      <c r="A894" s="3376">
        <v>893</v>
      </c>
      <c r="B894" s="3377" t="s">
        <v>3524</v>
      </c>
      <c r="C894" s="3378" t="s">
        <v>3536</v>
      </c>
      <c r="D894" s="3379" t="s">
        <v>3538</v>
      </c>
      <c r="E894" s="3378" t="s">
        <v>3341</v>
      </c>
      <c r="F894" s="3377" t="s">
        <v>3492</v>
      </c>
      <c r="G894" s="3378">
        <v>69.47</v>
      </c>
      <c r="H894" s="3379" t="s">
        <v>3248</v>
      </c>
    </row>
    <row r="895" spans="1:8" ht="14.25" thickBot="1">
      <c r="A895" s="3376">
        <v>894</v>
      </c>
      <c r="B895" s="3377" t="s">
        <v>3524</v>
      </c>
      <c r="C895" s="3378" t="s">
        <v>3536</v>
      </c>
      <c r="D895" s="3380" t="s">
        <v>3539</v>
      </c>
      <c r="E895" s="3378" t="s">
        <v>3341</v>
      </c>
      <c r="F895" s="3377" t="s">
        <v>3493</v>
      </c>
      <c r="G895" s="3378">
        <v>94.63</v>
      </c>
      <c r="H895" s="3379" t="s">
        <v>3248</v>
      </c>
    </row>
    <row r="896" spans="1:8" ht="14.25" thickBot="1">
      <c r="A896" s="3376">
        <v>895</v>
      </c>
      <c r="B896" s="3377" t="s">
        <v>3524</v>
      </c>
      <c r="C896" s="3378" t="s">
        <v>3536</v>
      </c>
      <c r="D896" s="3379" t="s">
        <v>3540</v>
      </c>
      <c r="E896" s="3378" t="s">
        <v>3341</v>
      </c>
      <c r="F896" s="3377" t="s">
        <v>3494</v>
      </c>
      <c r="G896" s="3378">
        <v>94.63</v>
      </c>
      <c r="H896" s="3379" t="s">
        <v>3248</v>
      </c>
    </row>
    <row r="897" spans="1:8" ht="14.25" thickBot="1">
      <c r="A897" s="3376">
        <v>896</v>
      </c>
      <c r="B897" s="3377" t="s">
        <v>3524</v>
      </c>
      <c r="C897" s="3378" t="s">
        <v>3536</v>
      </c>
      <c r="D897" s="3379" t="s">
        <v>3541</v>
      </c>
      <c r="E897" s="3378" t="s">
        <v>3341</v>
      </c>
      <c r="F897" s="3377" t="s">
        <v>3495</v>
      </c>
      <c r="G897" s="3378">
        <v>69.47</v>
      </c>
      <c r="H897" s="3379" t="s">
        <v>3248</v>
      </c>
    </row>
    <row r="898" spans="1:8" ht="14.25" thickBot="1">
      <c r="A898" s="3376">
        <v>897</v>
      </c>
      <c r="B898" s="3377" t="s">
        <v>3524</v>
      </c>
      <c r="C898" s="3378" t="s">
        <v>3537</v>
      </c>
      <c r="D898" s="3379" t="s">
        <v>3538</v>
      </c>
      <c r="E898" s="3378" t="s">
        <v>3544</v>
      </c>
      <c r="F898" s="3377" t="s">
        <v>3496</v>
      </c>
      <c r="G898" s="3378">
        <v>66.069999999999993</v>
      </c>
      <c r="H898" s="3379" t="s">
        <v>3248</v>
      </c>
    </row>
    <row r="899" spans="1:8" ht="14.25" thickBot="1">
      <c r="A899" s="3376">
        <v>898</v>
      </c>
      <c r="B899" s="3377" t="s">
        <v>3524</v>
      </c>
      <c r="C899" s="3378" t="s">
        <v>3537</v>
      </c>
      <c r="D899" s="3379" t="s">
        <v>3538</v>
      </c>
      <c r="E899" s="3378" t="s">
        <v>3544</v>
      </c>
      <c r="F899" s="3377" t="s">
        <v>3497</v>
      </c>
      <c r="G899" s="3378">
        <v>94.74</v>
      </c>
      <c r="H899" s="3379" t="s">
        <v>3248</v>
      </c>
    </row>
    <row r="900" spans="1:8" ht="14.25" thickBot="1">
      <c r="A900" s="3376">
        <v>899</v>
      </c>
      <c r="B900" s="3377" t="s">
        <v>3524</v>
      </c>
      <c r="C900" s="3378" t="s">
        <v>3537</v>
      </c>
      <c r="D900" s="3380" t="s">
        <v>3539</v>
      </c>
      <c r="E900" s="3378" t="s">
        <v>3544</v>
      </c>
      <c r="F900" s="3377" t="s">
        <v>3498</v>
      </c>
      <c r="G900" s="3378">
        <v>69.56</v>
      </c>
      <c r="H900" s="3379" t="s">
        <v>3248</v>
      </c>
    </row>
    <row r="901" spans="1:8" ht="14.25" thickBot="1">
      <c r="A901" s="3376">
        <v>900</v>
      </c>
      <c r="B901" s="3377" t="s">
        <v>3524</v>
      </c>
      <c r="C901" s="3378" t="s">
        <v>3537</v>
      </c>
      <c r="D901" s="3380" t="s">
        <v>3539</v>
      </c>
      <c r="E901" s="3378" t="s">
        <v>3544</v>
      </c>
      <c r="F901" s="3377" t="s">
        <v>3499</v>
      </c>
      <c r="G901" s="3378">
        <v>69.75</v>
      </c>
      <c r="H901" s="3379" t="s">
        <v>3248</v>
      </c>
    </row>
    <row r="902" spans="1:8" ht="14.25" thickBot="1">
      <c r="A902" s="3376">
        <v>901</v>
      </c>
      <c r="B902" s="3377" t="s">
        <v>3524</v>
      </c>
      <c r="C902" s="3378" t="s">
        <v>3537</v>
      </c>
      <c r="D902" s="3379" t="s">
        <v>3540</v>
      </c>
      <c r="E902" s="3378" t="s">
        <v>3544</v>
      </c>
      <c r="F902" s="3377" t="s">
        <v>3500</v>
      </c>
      <c r="G902" s="3378">
        <v>66.069999999999993</v>
      </c>
      <c r="H902" s="3379" t="s">
        <v>3248</v>
      </c>
    </row>
    <row r="903" spans="1:8" ht="14.25" thickBot="1">
      <c r="A903" s="3376">
        <v>902</v>
      </c>
      <c r="B903" s="3377" t="s">
        <v>3524</v>
      </c>
      <c r="C903" s="3378" t="s">
        <v>3537</v>
      </c>
      <c r="D903" s="3379" t="s">
        <v>3540</v>
      </c>
      <c r="E903" s="3378" t="s">
        <v>3544</v>
      </c>
      <c r="F903" s="3377" t="s">
        <v>3501</v>
      </c>
      <c r="G903" s="3378">
        <v>69.75</v>
      </c>
      <c r="H903" s="3379" t="s">
        <v>3248</v>
      </c>
    </row>
    <row r="904" spans="1:8" ht="14.25" thickBot="1">
      <c r="A904" s="3376">
        <v>903</v>
      </c>
      <c r="B904" s="3377" t="s">
        <v>3524</v>
      </c>
      <c r="C904" s="3378" t="s">
        <v>3537</v>
      </c>
      <c r="D904" s="3379" t="s">
        <v>3540</v>
      </c>
      <c r="E904" s="3378" t="s">
        <v>3544</v>
      </c>
      <c r="F904" s="3377" t="s">
        <v>3502</v>
      </c>
      <c r="G904" s="3378">
        <v>69.75</v>
      </c>
      <c r="H904" s="3379" t="s">
        <v>3248</v>
      </c>
    </row>
    <row r="905" spans="1:8" ht="14.25" thickBot="1">
      <c r="A905" s="3376">
        <v>904</v>
      </c>
      <c r="B905" s="3377" t="s">
        <v>3524</v>
      </c>
      <c r="C905" s="3378" t="s">
        <v>3537</v>
      </c>
      <c r="D905" s="3379" t="s">
        <v>3541</v>
      </c>
      <c r="E905" s="3378" t="s">
        <v>3544</v>
      </c>
      <c r="F905" s="3377" t="s">
        <v>3503</v>
      </c>
      <c r="G905" s="3378">
        <v>69.75</v>
      </c>
      <c r="H905" s="3379" t="s">
        <v>3248</v>
      </c>
    </row>
    <row r="906" spans="1:8" ht="14.25" thickBot="1">
      <c r="A906" s="3376">
        <v>905</v>
      </c>
      <c r="B906" s="3377" t="s">
        <v>3524</v>
      </c>
      <c r="C906" s="3378" t="s">
        <v>3537</v>
      </c>
      <c r="D906" s="3379" t="s">
        <v>3541</v>
      </c>
      <c r="E906" s="3378" t="s">
        <v>3544</v>
      </c>
      <c r="F906" s="3377" t="s">
        <v>3504</v>
      </c>
      <c r="G906" s="3378">
        <v>69.75</v>
      </c>
      <c r="H906" s="3379" t="s">
        <v>3248</v>
      </c>
    </row>
    <row r="907" spans="1:8" ht="14.25" thickBot="1">
      <c r="A907" s="3376">
        <v>906</v>
      </c>
      <c r="B907" s="3377" t="s">
        <v>3524</v>
      </c>
      <c r="C907" s="3378" t="s">
        <v>3537</v>
      </c>
      <c r="D907" s="3379" t="s">
        <v>3542</v>
      </c>
      <c r="E907" s="3378" t="s">
        <v>3544</v>
      </c>
      <c r="F907" s="3377" t="s">
        <v>3505</v>
      </c>
      <c r="G907" s="3378">
        <v>69.75</v>
      </c>
      <c r="H907" s="3379" t="s">
        <v>3248</v>
      </c>
    </row>
    <row r="908" spans="1:8" ht="14.25" thickBot="1">
      <c r="A908" s="3376">
        <v>907</v>
      </c>
      <c r="B908" s="3377" t="s">
        <v>3524</v>
      </c>
      <c r="C908" s="3378" t="s">
        <v>3537</v>
      </c>
      <c r="D908" s="3379" t="s">
        <v>3542</v>
      </c>
      <c r="E908" s="3378" t="s">
        <v>3544</v>
      </c>
      <c r="F908" s="3377" t="s">
        <v>3506</v>
      </c>
      <c r="G908" s="3378">
        <v>69.75</v>
      </c>
      <c r="H908" s="3379" t="s">
        <v>3248</v>
      </c>
    </row>
    <row r="909" spans="1:8" ht="14.25" thickBot="1">
      <c r="A909" s="3376">
        <v>908</v>
      </c>
      <c r="B909" s="3377" t="s">
        <v>3524</v>
      </c>
      <c r="C909" s="3378" t="s">
        <v>3537</v>
      </c>
      <c r="D909" s="3379" t="s">
        <v>3538</v>
      </c>
      <c r="E909" s="3378" t="s">
        <v>3545</v>
      </c>
      <c r="F909" s="3377" t="s">
        <v>3507</v>
      </c>
      <c r="G909" s="3378">
        <v>94.74</v>
      </c>
      <c r="H909" s="3379" t="s">
        <v>3248</v>
      </c>
    </row>
    <row r="910" spans="1:8" ht="14.25" thickBot="1">
      <c r="A910" s="3376">
        <v>909</v>
      </c>
      <c r="B910" s="3377" t="s">
        <v>3524</v>
      </c>
      <c r="C910" s="3378" t="s">
        <v>3537</v>
      </c>
      <c r="D910" s="3380" t="s">
        <v>3539</v>
      </c>
      <c r="E910" s="3378" t="s">
        <v>3545</v>
      </c>
      <c r="F910" s="3377" t="s">
        <v>3508</v>
      </c>
      <c r="G910" s="3378">
        <v>69.75</v>
      </c>
      <c r="H910" s="3379" t="s">
        <v>3248</v>
      </c>
    </row>
    <row r="911" spans="1:8" ht="14.25" thickBot="1">
      <c r="A911" s="3376">
        <v>910</v>
      </c>
      <c r="B911" s="3377" t="s">
        <v>3524</v>
      </c>
      <c r="C911" s="3378" t="s">
        <v>3537</v>
      </c>
      <c r="D911" s="3380" t="s">
        <v>3539</v>
      </c>
      <c r="E911" s="3378" t="s">
        <v>3545</v>
      </c>
      <c r="F911" s="3377" t="s">
        <v>3509</v>
      </c>
      <c r="G911" s="3378">
        <v>69.75</v>
      </c>
      <c r="H911" s="3379" t="s">
        <v>3248</v>
      </c>
    </row>
    <row r="912" spans="1:8" ht="14.25" thickBot="1">
      <c r="A912" s="3376">
        <v>911</v>
      </c>
      <c r="B912" s="3377" t="s">
        <v>3524</v>
      </c>
      <c r="C912" s="3378" t="s">
        <v>3537</v>
      </c>
      <c r="D912" s="3380" t="s">
        <v>3539</v>
      </c>
      <c r="E912" s="3378" t="s">
        <v>3545</v>
      </c>
      <c r="F912" s="3377" t="s">
        <v>3510</v>
      </c>
      <c r="G912" s="3378">
        <v>69.56</v>
      </c>
      <c r="H912" s="3379" t="s">
        <v>3248</v>
      </c>
    </row>
    <row r="913" spans="1:8" ht="14.25" thickBot="1">
      <c r="A913" s="3376">
        <v>912</v>
      </c>
      <c r="B913" s="3377" t="s">
        <v>3524</v>
      </c>
      <c r="C913" s="3378" t="s">
        <v>3537</v>
      </c>
      <c r="D913" s="3379" t="s">
        <v>3540</v>
      </c>
      <c r="E913" s="3378" t="s">
        <v>3545</v>
      </c>
      <c r="F913" s="3377" t="s">
        <v>3511</v>
      </c>
      <c r="G913" s="3378">
        <v>69.56</v>
      </c>
      <c r="H913" s="3379" t="s">
        <v>3248</v>
      </c>
    </row>
    <row r="914" spans="1:8" ht="14.25" thickBot="1">
      <c r="A914" s="3376">
        <v>913</v>
      </c>
      <c r="B914" s="3377" t="s">
        <v>3524</v>
      </c>
      <c r="C914" s="3378" t="s">
        <v>3537</v>
      </c>
      <c r="D914" s="3379" t="s">
        <v>3540</v>
      </c>
      <c r="E914" s="3378" t="s">
        <v>3545</v>
      </c>
      <c r="F914" s="3377" t="s">
        <v>3512</v>
      </c>
      <c r="G914" s="3378">
        <v>69.75</v>
      </c>
      <c r="H914" s="3379" t="s">
        <v>3248</v>
      </c>
    </row>
    <row r="915" spans="1:8" ht="14.25" thickBot="1">
      <c r="A915" s="3376">
        <v>914</v>
      </c>
      <c r="B915" s="3377" t="s">
        <v>3524</v>
      </c>
      <c r="C915" s="3378" t="s">
        <v>3537</v>
      </c>
      <c r="D915" s="3379" t="s">
        <v>3540</v>
      </c>
      <c r="E915" s="3378" t="s">
        <v>3545</v>
      </c>
      <c r="F915" s="3377" t="s">
        <v>3513</v>
      </c>
      <c r="G915" s="3378">
        <v>69.75</v>
      </c>
      <c r="H915" s="3379" t="s">
        <v>3248</v>
      </c>
    </row>
    <row r="916" spans="1:8" ht="14.25" thickBot="1">
      <c r="A916" s="3376">
        <v>915</v>
      </c>
      <c r="B916" s="3377" t="s">
        <v>3524</v>
      </c>
      <c r="C916" s="3378" t="s">
        <v>3537</v>
      </c>
      <c r="D916" s="3379" t="s">
        <v>3540</v>
      </c>
      <c r="E916" s="3378" t="s">
        <v>3545</v>
      </c>
      <c r="F916" s="3377" t="s">
        <v>3514</v>
      </c>
      <c r="G916" s="3378">
        <v>69.56</v>
      </c>
      <c r="H916" s="3379" t="s">
        <v>3248</v>
      </c>
    </row>
    <row r="917" spans="1:8" ht="14.25" thickBot="1">
      <c r="A917" s="3376">
        <v>916</v>
      </c>
      <c r="B917" s="3377" t="s">
        <v>3524</v>
      </c>
      <c r="C917" s="3378" t="s">
        <v>3537</v>
      </c>
      <c r="D917" s="3379" t="s">
        <v>3541</v>
      </c>
      <c r="E917" s="3378" t="s">
        <v>3545</v>
      </c>
      <c r="F917" s="3377" t="s">
        <v>3515</v>
      </c>
      <c r="G917" s="3378">
        <v>69.75</v>
      </c>
      <c r="H917" s="3379" t="s">
        <v>3248</v>
      </c>
    </row>
    <row r="918" spans="1:8" ht="14.25" thickBot="1">
      <c r="A918" s="3376">
        <v>917</v>
      </c>
      <c r="B918" s="3377" t="s">
        <v>3524</v>
      </c>
      <c r="C918" s="3378" t="s">
        <v>3537</v>
      </c>
      <c r="D918" s="3379" t="s">
        <v>3541</v>
      </c>
      <c r="E918" s="3378" t="s">
        <v>3545</v>
      </c>
      <c r="F918" s="3377" t="s">
        <v>3516</v>
      </c>
      <c r="G918" s="3378">
        <v>69.75</v>
      </c>
      <c r="H918" s="3379" t="s">
        <v>3248</v>
      </c>
    </row>
    <row r="919" spans="1:8" ht="14.25" thickBot="1">
      <c r="A919" s="3376">
        <v>918</v>
      </c>
      <c r="B919" s="3377" t="s">
        <v>3524</v>
      </c>
      <c r="C919" s="3378" t="s">
        <v>3537</v>
      </c>
      <c r="D919" s="3379" t="s">
        <v>3541</v>
      </c>
      <c r="E919" s="3378" t="s">
        <v>3545</v>
      </c>
      <c r="F919" s="3377" t="s">
        <v>3517</v>
      </c>
      <c r="G919" s="3378">
        <v>69.56</v>
      </c>
      <c r="H919" s="3379" t="s">
        <v>3248</v>
      </c>
    </row>
    <row r="920" spans="1:8" ht="14.25" thickBot="1">
      <c r="A920" s="3376">
        <v>919</v>
      </c>
      <c r="B920" s="3377" t="s">
        <v>3524</v>
      </c>
      <c r="C920" s="3378" t="s">
        <v>3537</v>
      </c>
      <c r="D920" s="3379" t="s">
        <v>3542</v>
      </c>
      <c r="E920" s="3378" t="s">
        <v>3545</v>
      </c>
      <c r="F920" s="3377" t="s">
        <v>3518</v>
      </c>
      <c r="G920" s="3378">
        <v>69.56</v>
      </c>
      <c r="H920" s="3379" t="s">
        <v>3248</v>
      </c>
    </row>
    <row r="921" spans="1:8" ht="14.25" thickBot="1">
      <c r="A921" s="3376">
        <v>920</v>
      </c>
      <c r="B921" s="3377" t="s">
        <v>3524</v>
      </c>
      <c r="C921" s="3378" t="s">
        <v>3537</v>
      </c>
      <c r="D921" s="3379" t="s">
        <v>3542</v>
      </c>
      <c r="E921" s="3378" t="s">
        <v>3545</v>
      </c>
      <c r="F921" s="3377" t="s">
        <v>3519</v>
      </c>
      <c r="G921" s="3378">
        <v>69.75</v>
      </c>
      <c r="H921" s="3379" t="s">
        <v>3248</v>
      </c>
    </row>
    <row r="922" spans="1:8" ht="14.25" thickBot="1">
      <c r="A922" s="3376">
        <v>921</v>
      </c>
      <c r="B922" s="3377" t="s">
        <v>3524</v>
      </c>
      <c r="C922" s="3378" t="s">
        <v>3537</v>
      </c>
      <c r="D922" s="3379" t="s">
        <v>3542</v>
      </c>
      <c r="E922" s="3378" t="s">
        <v>3545</v>
      </c>
      <c r="F922" s="3377" t="s">
        <v>3520</v>
      </c>
      <c r="G922" s="3378">
        <v>69.75</v>
      </c>
      <c r="H922" s="3379" t="s">
        <v>3248</v>
      </c>
    </row>
    <row r="923" spans="1:8" ht="14.25" thickBot="1">
      <c r="A923" s="3376">
        <v>922</v>
      </c>
      <c r="B923" s="3377" t="s">
        <v>3524</v>
      </c>
      <c r="C923" s="3378" t="s">
        <v>3537</v>
      </c>
      <c r="D923" s="3379" t="s">
        <v>3542</v>
      </c>
      <c r="E923" s="3378" t="s">
        <v>3545</v>
      </c>
      <c r="F923" s="3377" t="s">
        <v>3521</v>
      </c>
      <c r="G923" s="3378">
        <v>69.56</v>
      </c>
      <c r="H923" s="3379" t="s">
        <v>3248</v>
      </c>
    </row>
    <row r="924" spans="1:8">
      <c r="G924">
        <f>SUM(G2:G923)</f>
        <v>71473.909999999771</v>
      </c>
    </row>
  </sheetData>
  <autoFilter ref="A1:H923">
    <sortState ref="A2:H923">
      <sortCondition ref="A1"/>
    </sortState>
  </autoFilter>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58" t="s">
        <v>1658</v>
      </c>
      <c r="B1" s="3058"/>
      <c r="C1" s="3058"/>
      <c r="D1" s="3058"/>
    </row>
    <row r="2" spans="1:4" ht="18">
      <c r="A2" s="3059" t="s">
        <v>1642</v>
      </c>
      <c r="B2" s="3059"/>
      <c r="C2" s="3059"/>
      <c r="D2" s="3059"/>
    </row>
    <row r="3" spans="1:4" ht="18.75">
      <c r="A3" s="1972" t="s">
        <v>1643</v>
      </c>
      <c r="B3" s="1972" t="s">
        <v>1644</v>
      </c>
      <c r="C3" s="1972" t="s">
        <v>1645</v>
      </c>
      <c r="D3" s="1972" t="s">
        <v>1646</v>
      </c>
    </row>
    <row r="4" spans="1:4" ht="56.25" customHeight="1">
      <c r="A4" s="1973" t="str">
        <f>项目基本情况!B4</f>
        <v>郑燚</v>
      </c>
      <c r="B4" s="1974">
        <f ca="1">项目基本情况!C4</f>
        <v>1120070131</v>
      </c>
      <c r="C4" s="1975"/>
      <c r="D4" s="1976" t="s">
        <v>1647</v>
      </c>
    </row>
    <row r="5" spans="1:4" ht="56.25" customHeight="1">
      <c r="A5" s="1973" t="str">
        <f>项目基本情况!D4</f>
        <v>王鹏</v>
      </c>
      <c r="B5" s="1974">
        <f ca="1">项目基本情况!E4</f>
        <v>1120050019</v>
      </c>
      <c r="C5" s="1977"/>
      <c r="D5" s="1976" t="s">
        <v>1647</v>
      </c>
    </row>
    <row r="6" spans="1:4" ht="18">
      <c r="A6" s="3059" t="s">
        <v>1648</v>
      </c>
      <c r="B6" s="3059"/>
      <c r="C6" s="3059"/>
      <c r="D6" s="3059"/>
    </row>
    <row r="7" spans="1:4" ht="18.75">
      <c r="A7" s="1972" t="s">
        <v>1643</v>
      </c>
      <c r="B7" s="1974" t="s">
        <v>1649</v>
      </c>
      <c r="C7" s="1972" t="s">
        <v>1645</v>
      </c>
      <c r="D7" s="1972" t="s">
        <v>1646</v>
      </c>
    </row>
    <row r="8" spans="1:4" ht="56.25" customHeight="1">
      <c r="A8" s="1978" t="s">
        <v>866</v>
      </c>
      <c r="B8" s="1978" t="s">
        <v>1</v>
      </c>
      <c r="C8" s="1975"/>
      <c r="D8" s="1976" t="s">
        <v>1647</v>
      </c>
    </row>
    <row r="9" spans="1:4">
      <c r="A9" s="727"/>
      <c r="B9" s="727"/>
      <c r="C9" s="727"/>
      <c r="D9" s="727"/>
    </row>
    <row r="10" spans="1:4" ht="18.75">
      <c r="A10" s="1979" t="s">
        <v>1650</v>
      </c>
      <c r="B10" s="727"/>
      <c r="C10" s="727"/>
      <c r="D10" s="727"/>
    </row>
    <row r="11" spans="1:4" ht="30" customHeight="1">
      <c r="A11" s="3060"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61" t="str">
        <f>IF(项目基本情况!B8="抵押","4.本次评估估价师所知悉的法定优先受偿款情况说明如下：","——")</f>
        <v>4.本次评估估价师所知悉的法定优先受偿款情况说明如下：</v>
      </c>
      <c r="B14" s="3062"/>
      <c r="C14" s="3062"/>
      <c r="D14" s="3062"/>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4" t="s">
        <v>1652</v>
      </c>
      <c r="B16" s="3064"/>
      <c r="C16" s="3064"/>
      <c r="D16" s="3064"/>
    </row>
    <row r="17" spans="1:4" ht="144" customHeight="1">
      <c r="A17" s="3064" t="s">
        <v>1653</v>
      </c>
      <c r="B17" s="3064"/>
      <c r="C17" s="3064"/>
      <c r="D17" s="3064"/>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1"/>
      <c r="C20" s="3061"/>
      <c r="D20" s="3061"/>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5"/>
      <c r="C21" s="3065"/>
      <c r="D21" s="3065"/>
    </row>
    <row r="22" spans="1:4" ht="18.75" customHeight="1">
      <c r="A22" s="3066" t="s">
        <v>1654</v>
      </c>
      <c r="B22" s="3066"/>
      <c r="C22" s="3066"/>
      <c r="D22" s="3066"/>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3063">
        <v>42551</v>
      </c>
      <c r="D31" s="30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72" t="s">
        <v>1665</v>
      </c>
      <c r="B15" s="3067" t="s">
        <v>136</v>
      </c>
      <c r="C15" s="3068"/>
    </row>
    <row r="16" spans="1:7" ht="13.5">
      <c r="A16" s="3073"/>
      <c r="B16" s="3067" t="s">
        <v>69</v>
      </c>
      <c r="C16" s="3068"/>
    </row>
    <row r="17" spans="1:3" ht="13.5">
      <c r="A17" s="3073"/>
      <c r="B17" s="3070" t="s">
        <v>1666</v>
      </c>
      <c r="C17" s="1995" t="s">
        <v>1665</v>
      </c>
    </row>
    <row r="18" spans="1:3" ht="13.5">
      <c r="A18" s="3073"/>
      <c r="B18" s="3070"/>
      <c r="C18" s="1995" t="s">
        <v>1667</v>
      </c>
    </row>
    <row r="19" spans="1:3" ht="13.5">
      <c r="A19" s="3073"/>
      <c r="B19" s="3070"/>
      <c r="C19" s="1995" t="s">
        <v>1668</v>
      </c>
    </row>
    <row r="20" spans="1:3" ht="13.5">
      <c r="A20" s="3074"/>
      <c r="B20" s="3069" t="s">
        <v>1669</v>
      </c>
      <c r="C20" s="3068"/>
    </row>
    <row r="21" spans="1:3" ht="13.5">
      <c r="A21" s="1996" t="s">
        <v>1670</v>
      </c>
      <c r="B21" s="1997"/>
      <c r="C21" s="1998"/>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1995" t="s">
        <v>1676</v>
      </c>
    </row>
    <row r="26" spans="1:3" ht="13.5">
      <c r="A26" s="3071"/>
      <c r="B26" s="3070"/>
      <c r="C26" s="1995" t="s">
        <v>1677</v>
      </c>
    </row>
    <row r="27" spans="1:3" ht="13.5">
      <c r="A27" s="3071"/>
      <c r="B27" s="3070"/>
      <c r="C27" s="1995" t="s">
        <v>1678</v>
      </c>
    </row>
    <row r="28" spans="1:3" ht="13.5">
      <c r="A28" s="3071"/>
      <c r="B28" s="3070"/>
      <c r="C28" s="1995" t="s">
        <v>1679</v>
      </c>
    </row>
    <row r="29" spans="1:3" ht="13.5">
      <c r="A29" s="3071"/>
      <c r="B29" s="3070"/>
      <c r="C29" s="1995" t="s">
        <v>1680</v>
      </c>
    </row>
    <row r="30" spans="1:3" ht="13.5">
      <c r="A30" s="3071"/>
      <c r="B30" s="3070"/>
      <c r="C30" s="1995" t="s">
        <v>1681</v>
      </c>
    </row>
    <row r="31" spans="1:3" ht="13.5">
      <c r="A31" s="3071"/>
      <c r="B31" s="3070"/>
      <c r="C31" s="1995" t="s">
        <v>1682</v>
      </c>
    </row>
    <row r="32" spans="1:3" ht="13.5">
      <c r="A32" s="3071"/>
      <c r="B32" s="3070"/>
      <c r="C32" s="1995" t="s">
        <v>1683</v>
      </c>
    </row>
    <row r="33" spans="1:3" ht="13.5">
      <c r="A33" s="3071"/>
      <c r="B33" s="3070"/>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43766</v>
      </c>
      <c r="C2" s="1014" t="s">
        <v>826</v>
      </c>
      <c r="D2" s="1014"/>
    </row>
    <row r="3" spans="1:6" ht="24" customHeight="1">
      <c r="A3" s="1015" t="s">
        <v>827</v>
      </c>
      <c r="B3" s="1016" t="s">
        <v>828</v>
      </c>
      <c r="C3" s="2343" t="s">
        <v>829</v>
      </c>
      <c r="D3" s="2346" t="s">
        <v>830</v>
      </c>
      <c r="E3" s="1017" t="s">
        <v>831</v>
      </c>
      <c r="F3" s="1016" t="s">
        <v>829</v>
      </c>
    </row>
    <row r="4" spans="1:6" ht="24" customHeight="1">
      <c r="A4" s="1697" t="s">
        <v>832</v>
      </c>
      <c r="B4" s="1017">
        <f ca="1">IF(C4&lt;B2,"已过期",1119970066)</f>
        <v>1119970066</v>
      </c>
      <c r="C4" s="2344">
        <v>43849</v>
      </c>
      <c r="D4" s="2347" t="s">
        <v>832</v>
      </c>
      <c r="E4" s="1017">
        <f ca="1">IF(F4&lt;B2,"已过期",96010014)</f>
        <v>96010014</v>
      </c>
      <c r="F4" s="1025">
        <v>47118</v>
      </c>
    </row>
    <row r="5" spans="1:6" ht="24" customHeight="1">
      <c r="A5" s="1697" t="s">
        <v>833</v>
      </c>
      <c r="B5" s="1017">
        <f ca="1">IF(C5&lt;B2,"已过期",1119970074)</f>
        <v>1119970074</v>
      </c>
      <c r="C5" s="2344">
        <v>43849</v>
      </c>
      <c r="D5" s="2347" t="s">
        <v>833</v>
      </c>
      <c r="E5" s="1017">
        <f ca="1">IF(F5&lt;B2,"已过期",2002110027)</f>
        <v>2002110027</v>
      </c>
      <c r="F5" s="1025">
        <v>46752</v>
      </c>
    </row>
    <row r="6" spans="1:6" ht="24" customHeight="1">
      <c r="A6" s="1697" t="s">
        <v>834</v>
      </c>
      <c r="B6" s="1017">
        <f ca="1">IF(C6&lt;B2,"已过期",1119970111)</f>
        <v>1119970111</v>
      </c>
      <c r="C6" s="2344">
        <v>43849</v>
      </c>
      <c r="D6" s="2347" t="s">
        <v>834</v>
      </c>
      <c r="E6" s="1017">
        <f ca="1">IF(F6&lt;B2,"已过期",94010078)</f>
        <v>94010078</v>
      </c>
      <c r="F6" s="1025">
        <v>46387</v>
      </c>
    </row>
    <row r="7" spans="1:6" ht="24" customHeight="1">
      <c r="A7" s="1697" t="s">
        <v>835</v>
      </c>
      <c r="B7" s="1017">
        <f ca="1">IF(C7&lt;B2,"已过期",1120050019)</f>
        <v>1120050019</v>
      </c>
      <c r="C7" s="2344">
        <v>44395</v>
      </c>
      <c r="D7" s="2347" t="s">
        <v>835</v>
      </c>
      <c r="E7" s="1017">
        <f ca="1">IF(F7&lt;B2,"已过期",2002110030)</f>
        <v>2002110030</v>
      </c>
      <c r="F7" s="1025">
        <v>46387</v>
      </c>
    </row>
    <row r="8" spans="1:6" ht="24" customHeight="1">
      <c r="A8" s="1697" t="s">
        <v>836</v>
      </c>
      <c r="B8" s="1017">
        <f ca="1">IF(C8&lt;B2,"已过期",1120000080)</f>
        <v>1120000080</v>
      </c>
      <c r="C8" s="2344">
        <v>43849</v>
      </c>
      <c r="D8" s="2347" t="s">
        <v>836</v>
      </c>
      <c r="E8" s="1017">
        <f ca="1">IF(F8&lt;B2,"已过期",2000110082)</f>
        <v>2000110082</v>
      </c>
      <c r="F8" s="1025">
        <v>46387</v>
      </c>
    </row>
    <row r="9" spans="1:6" ht="24" customHeight="1">
      <c r="A9" s="1697" t="s">
        <v>837</v>
      </c>
      <c r="B9" s="1017">
        <f ca="1">IF(C9&lt;B2,"已过期",1419970001)</f>
        <v>1419970001</v>
      </c>
      <c r="C9" s="2344">
        <v>43867</v>
      </c>
      <c r="D9" s="2347" t="s">
        <v>837</v>
      </c>
      <c r="E9" s="1017">
        <f ca="1">IF(F9&lt;B2,"已过期",2002110125)</f>
        <v>2002110125</v>
      </c>
      <c r="F9" s="1025">
        <v>47118</v>
      </c>
    </row>
    <row r="10" spans="1:6" ht="24" customHeight="1">
      <c r="A10" s="1697" t="s">
        <v>838</v>
      </c>
      <c r="B10" s="1017" t="str">
        <f ca="1">IF(C10&lt;B2,"已过期",1120060040)</f>
        <v>已过期</v>
      </c>
      <c r="C10" s="2344">
        <v>43483</v>
      </c>
      <c r="D10" s="2347" t="s">
        <v>838</v>
      </c>
      <c r="E10" s="1017">
        <f ca="1">IF(F10&lt;B2,"已过期",2004110096)</f>
        <v>2004110096</v>
      </c>
      <c r="F10" s="1025">
        <v>47118</v>
      </c>
    </row>
    <row r="11" spans="1:6" ht="24" customHeight="1">
      <c r="A11" s="1697" t="s">
        <v>839</v>
      </c>
      <c r="B11" s="1017" t="str">
        <f ca="1">IF(C11&lt;B2,"已过期",1120100036)</f>
        <v>已过期</v>
      </c>
      <c r="C11" s="2344">
        <v>43622</v>
      </c>
      <c r="D11" s="2347" t="s">
        <v>839</v>
      </c>
      <c r="E11" s="1017">
        <f ca="1">IF(F11&lt;B2,"已过期",2010110070)</f>
        <v>2010110070</v>
      </c>
      <c r="F11" s="1025">
        <v>47907</v>
      </c>
    </row>
    <row r="12" spans="1:6" ht="24" customHeight="1">
      <c r="A12" s="1697"/>
      <c r="B12" s="1017"/>
      <c r="C12" s="2924"/>
      <c r="D12" s="1697"/>
      <c r="E12" s="1017"/>
      <c r="F12" s="1025"/>
    </row>
    <row r="13" spans="1:6" ht="24" customHeight="1">
      <c r="A13" s="1697" t="s">
        <v>840</v>
      </c>
      <c r="B13" s="1017">
        <f ca="1">IF(C13&lt;B2,"已过期",1120070131)</f>
        <v>1120070131</v>
      </c>
      <c r="C13" s="2344">
        <v>43814</v>
      </c>
      <c r="D13" s="2347" t="s">
        <v>840</v>
      </c>
      <c r="E13" s="1017">
        <f ca="1">IF(F13&lt;B2,"已过期",2014110011)</f>
        <v>2014110011</v>
      </c>
      <c r="F13" s="1025">
        <v>49302</v>
      </c>
    </row>
    <row r="14" spans="1:6" ht="24" customHeight="1">
      <c r="A14" s="1697" t="s">
        <v>3041</v>
      </c>
      <c r="B14" s="1017">
        <f ca="1">IF(C14&lt;B2,"已过期",1120040230)</f>
        <v>1120040230</v>
      </c>
      <c r="C14" s="2344">
        <v>43835</v>
      </c>
      <c r="D14" s="2347" t="s">
        <v>3041</v>
      </c>
      <c r="E14" s="1017">
        <f ca="1">IF(F14&lt;B2,"已过期",98030020)</f>
        <v>98030020</v>
      </c>
      <c r="F14" s="1025">
        <v>47118</v>
      </c>
    </row>
    <row r="15" spans="1:6" ht="24" customHeight="1">
      <c r="A15" s="1698" t="s">
        <v>3042</v>
      </c>
      <c r="B15" s="1017">
        <f ca="1">IF(C15&lt;B2,"已过期",1120070085)</f>
        <v>1120070085</v>
      </c>
      <c r="C15" s="2344">
        <v>43814</v>
      </c>
      <c r="D15" s="2348" t="s">
        <v>3042</v>
      </c>
      <c r="E15" s="1017">
        <f ca="1">IF(F15&lt;B2,"已过期",2004110128)</f>
        <v>2004110128</v>
      </c>
      <c r="F15" s="1018">
        <v>47118</v>
      </c>
    </row>
    <row r="16" spans="1:6" ht="24" customHeight="1">
      <c r="A16" s="1697" t="s">
        <v>3043</v>
      </c>
      <c r="B16" s="1017">
        <f ca="1">IF(C16&lt;B2,"已过期",1120140022)</f>
        <v>1120140022</v>
      </c>
      <c r="C16" s="2924">
        <v>44029</v>
      </c>
      <c r="D16" s="2347" t="s">
        <v>3043</v>
      </c>
      <c r="E16" s="1017">
        <f ca="1">IF(F16&lt;B2,"已过期",2008110059)</f>
        <v>2008110059</v>
      </c>
      <c r="F16" s="1025">
        <v>47177</v>
      </c>
    </row>
    <row r="17" spans="1:7" ht="24" customHeight="1">
      <c r="A17" s="1697"/>
      <c r="B17" s="1017"/>
      <c r="C17" s="2344"/>
      <c r="D17" s="2347" t="s">
        <v>3044</v>
      </c>
      <c r="E17" s="1017">
        <f ca="1">IF(F17&lt;B2,"已过期",2014110076)</f>
        <v>2014110076</v>
      </c>
      <c r="F17" s="1025">
        <v>49302</v>
      </c>
    </row>
    <row r="18" spans="1:7" ht="24" customHeight="1">
      <c r="A18" s="1697"/>
      <c r="B18" s="1017"/>
      <c r="C18" s="2344"/>
      <c r="D18" s="2347"/>
      <c r="E18" s="1017"/>
      <c r="F18" s="1025"/>
    </row>
    <row r="19" spans="1:7" ht="24" customHeight="1">
      <c r="A19" s="1697"/>
      <c r="B19" s="1017"/>
      <c r="C19" s="2344"/>
      <c r="D19" s="2347"/>
      <c r="E19" s="1017"/>
      <c r="F19" s="1017"/>
    </row>
    <row r="20" spans="1:7" ht="24" customHeight="1">
      <c r="A20" s="1697"/>
      <c r="B20" s="1017"/>
      <c r="C20" s="2344"/>
      <c r="D20" s="2347"/>
      <c r="E20" s="1017"/>
      <c r="F20" s="1017"/>
    </row>
    <row r="21" spans="1:7" ht="24" customHeight="1">
      <c r="A21" s="1697"/>
      <c r="B21" s="1017"/>
      <c r="C21" s="2344"/>
      <c r="D21" s="2347" t="s">
        <v>841</v>
      </c>
      <c r="E21" s="1017">
        <f ca="1">IF(F21&lt;B2,"已过期",2011110090)</f>
        <v>2011110090</v>
      </c>
      <c r="F21" s="1025">
        <v>48302</v>
      </c>
    </row>
    <row r="22" spans="1:7" ht="24" customHeight="1">
      <c r="A22" s="1697" t="s">
        <v>842</v>
      </c>
      <c r="B22" s="1017">
        <f ca="1">IF(C22&lt;B2,"已过期",1120020033)</f>
        <v>1120020033</v>
      </c>
      <c r="C22" s="2924">
        <v>44339</v>
      </c>
      <c r="D22" s="2347" t="s">
        <v>842</v>
      </c>
      <c r="E22" s="1017">
        <f ca="1">IF(F22&lt;B2,"已过期",2000110137)</f>
        <v>2000110137</v>
      </c>
      <c r="F22" s="1025">
        <v>46387</v>
      </c>
    </row>
    <row r="23" spans="1:7" ht="24" customHeight="1">
      <c r="A23" s="1697"/>
      <c r="B23" s="1017"/>
      <c r="C23" s="2344"/>
      <c r="D23" s="2347"/>
      <c r="E23" s="1017"/>
      <c r="F23" s="1017"/>
    </row>
    <row r="24" spans="1:7" s="1019" customFormat="1" ht="24" customHeight="1">
      <c r="A24" s="1698" t="s">
        <v>1329</v>
      </c>
      <c r="B24" s="1698" t="s">
        <v>1329</v>
      </c>
      <c r="C24" s="2345" t="s">
        <v>1329</v>
      </c>
      <c r="D24" s="2348" t="s">
        <v>1329</v>
      </c>
      <c r="E24" s="1698" t="s">
        <v>1329</v>
      </c>
      <c r="F24" s="1698" t="s">
        <v>1329</v>
      </c>
    </row>
    <row r="25" spans="1:7" ht="24" customHeight="1">
      <c r="A25" s="3075" t="s">
        <v>843</v>
      </c>
      <c r="B25" s="3075"/>
      <c r="C25" s="3075"/>
      <c r="D25" s="3075"/>
      <c r="E25" s="3075"/>
      <c r="F25" s="3075"/>
      <c r="G25" s="3075"/>
    </row>
    <row r="26" spans="1:7" s="1020" customFormat="1" ht="24" customHeight="1">
      <c r="A26" s="3076" t="s">
        <v>844</v>
      </c>
      <c r="B26" s="3076"/>
      <c r="C26" s="3077"/>
      <c r="D26" s="3078" t="s">
        <v>845</v>
      </c>
      <c r="E26" s="3076"/>
      <c r="F26" s="3076"/>
    </row>
    <row r="27" spans="1:7" s="1022" customFormat="1" ht="24" customHeight="1">
      <c r="A27" s="1021" t="s">
        <v>846</v>
      </c>
      <c r="B27" s="1016" t="s">
        <v>847</v>
      </c>
      <c r="C27" s="2343" t="s">
        <v>848</v>
      </c>
      <c r="D27" s="2351" t="s">
        <v>846</v>
      </c>
      <c r="E27" s="1016" t="s">
        <v>847</v>
      </c>
      <c r="F27" s="1016" t="s">
        <v>848</v>
      </c>
    </row>
    <row r="28" spans="1:7" s="1022" customFormat="1" ht="24" customHeight="1">
      <c r="A28" s="1023" t="s">
        <v>849</v>
      </c>
      <c r="B28" s="1024" t="s">
        <v>850</v>
      </c>
      <c r="C28" s="2349">
        <v>43725</v>
      </c>
      <c r="D28" s="2352" t="s">
        <v>851</v>
      </c>
      <c r="E28" s="1023" t="s">
        <v>852</v>
      </c>
      <c r="F28" s="1053">
        <v>44377</v>
      </c>
    </row>
    <row r="29" spans="1:7" s="1022" customFormat="1" ht="24" customHeight="1">
      <c r="A29" s="1023"/>
      <c r="B29" s="1023"/>
      <c r="C29" s="2350"/>
      <c r="D29" s="2352"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抵押物清单7.20 (2)</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土地比较法-住宅、综合</vt:lpstr>
      <vt:lpstr>土地案例</vt:lpstr>
      <vt:lpstr>假设开发法</vt:lpstr>
      <vt:lpstr>比较法-住宅</vt:lpstr>
      <vt:lpstr>收益法</vt:lpstr>
      <vt:lpstr>收益法 (元)</vt:lpstr>
      <vt:lpstr>收益法（汇总）</vt:lpstr>
      <vt:lpstr>酒店收入计算</vt:lpstr>
      <vt:lpstr>收益法会所</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已投</vt:lpstr>
      <vt:lpstr>抵押物清单</vt:lpstr>
      <vt:lpstr>抵押物清单 (2)</vt:lpstr>
      <vt:lpstr>抵押物清单7.20</vt:lpstr>
      <vt:lpstr>抵押物清单9.18</vt:lpstr>
      <vt:lpstr>抵押物清单9.26</vt:lpstr>
      <vt:lpstr>10.26新增</vt:lpstr>
      <vt:lpstr>抵押物清单10.26</vt:lpstr>
      <vt:lpstr>成本法!Print_Area</vt:lpstr>
      <vt:lpstr>估价师及机构信息!Print_Area</vt:lpstr>
      <vt:lpstr>假设开发法!Print_Area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wangyang</cp:lastModifiedBy>
  <cp:lastPrinted>2019-06-25T02:01:41Z</cp:lastPrinted>
  <dcterms:created xsi:type="dcterms:W3CDTF">2015-07-13T07:17:23Z</dcterms:created>
  <dcterms:modified xsi:type="dcterms:W3CDTF">2019-10-28T14:26:53Z</dcterms:modified>
</cp:coreProperties>
</file>